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GitHub\E-RModel\"/>
    </mc:Choice>
  </mc:AlternateContent>
  <xr:revisionPtr revIDLastSave="0" documentId="13_ncr:1_{2CB77A9C-432D-47E2-B592-3149A583D954}" xr6:coauthVersionLast="47" xr6:coauthVersionMax="47" xr10:uidLastSave="{00000000-0000-0000-0000-000000000000}"/>
  <bookViews>
    <workbookView xWindow="-110" yWindow="-110" windowWidth="25820" windowHeight="15500" xr2:uid="{00000000-000D-0000-FFFF-FFFF00000000}"/>
  </bookViews>
  <sheets>
    <sheet name="GCI Portfolio" sheetId="1" r:id="rId1"/>
    <sheet name="Sector Breakdown" sheetId="2" r:id="rId2"/>
    <sheet name="TMT" sheetId="3" r:id="rId3"/>
    <sheet name="PNR" sheetId="4" r:id="rId4"/>
    <sheet name="IND" sheetId="5" r:id="rId5"/>
    <sheet name="CNR" sheetId="6" r:id="rId6"/>
    <sheet name="HC" sheetId="7" r:id="rId7"/>
    <sheet name="ER"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PGiMxj5DBMvZUORRAPG8DLkTssmk/EWUNlfvPsgVHn0="/>
    </ext>
  </extLst>
</workbook>
</file>

<file path=xl/calcChain.xml><?xml version="1.0" encoding="utf-8"?>
<calcChain xmlns="http://schemas.openxmlformats.org/spreadsheetml/2006/main">
  <c r="G11" i="8" l="1" a="1"/>
  <c r="G11" i="8" s="1"/>
  <c r="I11" i="8" s="1"/>
  <c r="G12" i="8" a="1"/>
  <c r="G12" i="8" s="1"/>
  <c r="I12" i="8" s="1"/>
  <c r="G10" i="8" a="1"/>
  <c r="G10" i="8" s="1"/>
  <c r="I10" i="8" s="1"/>
  <c r="G11" i="7" a="1"/>
  <c r="G11" i="7" s="1"/>
  <c r="I11" i="7" s="1"/>
  <c r="G12" i="7" a="1"/>
  <c r="G12" i="7" s="1"/>
  <c r="I12" i="7" s="1"/>
  <c r="G13" i="7" a="1"/>
  <c r="G13" i="7" s="1"/>
  <c r="I13" i="7" s="1"/>
  <c r="G14" i="7" a="1"/>
  <c r="G14" i="7"/>
  <c r="I14" i="7" s="1"/>
  <c r="G15" i="7" a="1"/>
  <c r="G15" i="7" s="1"/>
  <c r="H15" i="7" s="1"/>
  <c r="M15" i="7" s="1"/>
  <c r="G16" i="7" a="1"/>
  <c r="G16" i="7" s="1"/>
  <c r="I16" i="7" s="1"/>
  <c r="G17" i="7" a="1"/>
  <c r="G17" i="7"/>
  <c r="I17" i="7" s="1"/>
  <c r="G18" i="7" a="1"/>
  <c r="G18" i="7"/>
  <c r="H18" i="7" s="1"/>
  <c r="M18" i="7" s="1"/>
  <c r="G10" i="7" a="1"/>
  <c r="G10" i="7" s="1"/>
  <c r="H10" i="7" s="1"/>
  <c r="G11" i="6" a="1"/>
  <c r="G11" i="6" s="1"/>
  <c r="I11" i="6" s="1"/>
  <c r="G12" i="6" a="1"/>
  <c r="G12" i="6" s="1"/>
  <c r="I12" i="6" s="1"/>
  <c r="G13" i="6" a="1"/>
  <c r="G13" i="6" s="1"/>
  <c r="H13" i="6" s="1"/>
  <c r="M13" i="6" s="1"/>
  <c r="G14" i="6" a="1"/>
  <c r="G14" i="6" s="1"/>
  <c r="I14" i="6" s="1"/>
  <c r="G15" i="6" a="1"/>
  <c r="G15" i="6" s="1"/>
  <c r="H15" i="6" s="1"/>
  <c r="M15" i="6" s="1"/>
  <c r="G10" i="6" a="1"/>
  <c r="G10" i="6" s="1"/>
  <c r="I10" i="6" s="1"/>
  <c r="G11" i="5" a="1"/>
  <c r="G11" i="5" s="1"/>
  <c r="I11" i="5" s="1"/>
  <c r="G12" i="5" a="1"/>
  <c r="G12" i="5" s="1"/>
  <c r="H12" i="5" s="1"/>
  <c r="M12" i="5" s="1"/>
  <c r="G13" i="5" a="1"/>
  <c r="G13" i="5" s="1"/>
  <c r="I13" i="5" s="1"/>
  <c r="G14" i="5" a="1"/>
  <c r="G14" i="5" s="1"/>
  <c r="I14" i="5" s="1"/>
  <c r="G15" i="5" a="1"/>
  <c r="G15" i="5"/>
  <c r="I15" i="5" s="1"/>
  <c r="G16" i="5" a="1"/>
  <c r="G16" i="5"/>
  <c r="H16" i="5" s="1"/>
  <c r="M16" i="5" s="1"/>
  <c r="G17" i="5" a="1"/>
  <c r="G17" i="5" s="1"/>
  <c r="I17" i="5" s="1"/>
  <c r="G18" i="5" a="1"/>
  <c r="G18" i="5" s="1"/>
  <c r="H18" i="5" s="1"/>
  <c r="M18" i="5" s="1"/>
  <c r="G19" i="5" a="1"/>
  <c r="G19" i="5" s="1"/>
  <c r="I19" i="5" s="1"/>
  <c r="G20" i="5" a="1"/>
  <c r="G20" i="5" s="1"/>
  <c r="I20" i="5" s="1"/>
  <c r="G21" i="5" a="1"/>
  <c r="G21" i="5" s="1"/>
  <c r="I21" i="5" s="1"/>
  <c r="G10" i="5" a="1"/>
  <c r="G10" i="5" s="1"/>
  <c r="H10" i="5" s="1"/>
  <c r="G11" i="4" a="1"/>
  <c r="G11" i="4" s="1"/>
  <c r="I11" i="4" s="1"/>
  <c r="G12" i="4" a="1"/>
  <c r="G12" i="4" s="1"/>
  <c r="I12" i="4" s="1"/>
  <c r="G13" i="4" a="1"/>
  <c r="G13" i="4" s="1"/>
  <c r="I13" i="4" s="1"/>
  <c r="G14" i="4" a="1"/>
  <c r="G14" i="4" s="1"/>
  <c r="H14" i="4" s="1"/>
  <c r="M14" i="4" s="1"/>
  <c r="G15" i="4" a="1"/>
  <c r="G15" i="4" s="1"/>
  <c r="I15" i="4" s="1"/>
  <c r="G16" i="4" a="1"/>
  <c r="G16" i="4" s="1"/>
  <c r="I16" i="4" s="1"/>
  <c r="G17" i="4" a="1"/>
  <c r="G17" i="4"/>
  <c r="I17" i="4" s="1"/>
  <c r="G18" i="4" a="1"/>
  <c r="G18" i="4" s="1"/>
  <c r="I18" i="4" s="1"/>
  <c r="G19" i="4" a="1"/>
  <c r="G19" i="4" s="1"/>
  <c r="I19" i="4" s="1"/>
  <c r="G10" i="4" a="1"/>
  <c r="G10" i="4"/>
  <c r="I10" i="4" s="1"/>
  <c r="G11" i="3" a="1"/>
  <c r="G11" i="3" s="1"/>
  <c r="I11" i="3" s="1"/>
  <c r="G12" i="3" a="1"/>
  <c r="G12" i="3" s="1"/>
  <c r="I12" i="3" s="1"/>
  <c r="G13" i="3" a="1"/>
  <c r="G13" i="3" s="1"/>
  <c r="I13" i="3" s="1"/>
  <c r="G14" i="3" a="1"/>
  <c r="G14" i="3" s="1"/>
  <c r="H14" i="3" s="1"/>
  <c r="M14" i="3" s="1"/>
  <c r="G15" i="3" a="1"/>
  <c r="G15" i="3" s="1"/>
  <c r="I15" i="3" s="1"/>
  <c r="G16" i="3" a="1"/>
  <c r="G16" i="3" s="1"/>
  <c r="I16" i="3" s="1"/>
  <c r="G17" i="3" a="1"/>
  <c r="G17" i="3"/>
  <c r="H17" i="3" s="1"/>
  <c r="M17" i="3" s="1"/>
  <c r="G18" i="3" a="1"/>
  <c r="G18" i="3" s="1"/>
  <c r="I18" i="3" s="1"/>
  <c r="G19" i="3" a="1"/>
  <c r="G19" i="3" s="1"/>
  <c r="I19" i="3" s="1"/>
  <c r="G20" i="3" a="1"/>
  <c r="G20" i="3" s="1"/>
  <c r="I20" i="3" s="1"/>
  <c r="G21" i="3" a="1"/>
  <c r="G21" i="3" s="1"/>
  <c r="I21" i="3" s="1"/>
  <c r="G22" i="3" a="1"/>
  <c r="G22" i="3" s="1"/>
  <c r="I22" i="3" s="1"/>
  <c r="G23" i="3" a="1"/>
  <c r="G23" i="3" s="1"/>
  <c r="I23" i="3" s="1"/>
  <c r="G24" i="3" a="1"/>
  <c r="G24" i="3" s="1"/>
  <c r="I24" i="3" s="1"/>
  <c r="G10" i="3" a="1"/>
  <c r="G10" i="3" s="1"/>
  <c r="I10" i="3" s="1"/>
  <c r="L10" i="1"/>
  <c r="J10" i="1"/>
  <c r="G11" i="1" a="1"/>
  <c r="G11" i="1" s="1"/>
  <c r="H11" i="1" s="1"/>
  <c r="K11" i="1" s="1"/>
  <c r="G12" i="1" a="1"/>
  <c r="G12" i="1" s="1"/>
  <c r="H12" i="1" s="1"/>
  <c r="K12" i="1" s="1"/>
  <c r="G13" i="1" a="1"/>
  <c r="G13" i="1" s="1"/>
  <c r="I13" i="1" s="1"/>
  <c r="G14" i="1" a="1"/>
  <c r="G14" i="1" s="1"/>
  <c r="H14" i="1" s="1"/>
  <c r="K14" i="1" s="1"/>
  <c r="G15" i="1" a="1"/>
  <c r="G15" i="1" s="1"/>
  <c r="G16" i="1" a="1"/>
  <c r="G16" i="1"/>
  <c r="I16" i="1" s="1"/>
  <c r="G17" i="1" a="1"/>
  <c r="G17" i="1"/>
  <c r="I17" i="1" s="1"/>
  <c r="G18" i="1" a="1"/>
  <c r="G18" i="1" s="1"/>
  <c r="I18" i="1" s="1"/>
  <c r="G19" i="1" a="1"/>
  <c r="G19" i="1" s="1"/>
  <c r="I19" i="1" s="1"/>
  <c r="G20" i="1" a="1"/>
  <c r="G20" i="1" s="1"/>
  <c r="I20" i="1" s="1"/>
  <c r="G21" i="1" a="1"/>
  <c r="G21" i="1" s="1"/>
  <c r="I21" i="1" s="1"/>
  <c r="G22" i="1" a="1"/>
  <c r="G22" i="1" s="1"/>
  <c r="I22" i="1" s="1"/>
  <c r="G23" i="1" a="1"/>
  <c r="G23" i="1" s="1"/>
  <c r="H23" i="1" s="1"/>
  <c r="K23" i="1" s="1"/>
  <c r="G24" i="1" a="1"/>
  <c r="G24" i="1" s="1"/>
  <c r="I24" i="1" s="1"/>
  <c r="G25" i="1" a="1"/>
  <c r="G25" i="1" s="1"/>
  <c r="I25" i="1" s="1"/>
  <c r="G26" i="1" a="1"/>
  <c r="G26" i="1"/>
  <c r="H26" i="1" s="1"/>
  <c r="K26" i="1" s="1"/>
  <c r="G27" i="1" a="1"/>
  <c r="G27" i="1" s="1"/>
  <c r="I27" i="1" s="1"/>
  <c r="G28" i="1" a="1"/>
  <c r="G28" i="1"/>
  <c r="I28" i="1" s="1"/>
  <c r="G29" i="1" a="1"/>
  <c r="G29" i="1" s="1"/>
  <c r="I29" i="1" s="1"/>
  <c r="G30" i="1" a="1"/>
  <c r="G30" i="1" s="1"/>
  <c r="I30" i="1" s="1"/>
  <c r="G31" i="1" a="1"/>
  <c r="G31" i="1" s="1"/>
  <c r="G32" i="1" a="1"/>
  <c r="G32" i="1" s="1"/>
  <c r="I32" i="1" s="1"/>
  <c r="G33" i="1" a="1"/>
  <c r="G33" i="1" s="1"/>
  <c r="I33" i="1" s="1"/>
  <c r="G34" i="1" a="1"/>
  <c r="G34" i="1" s="1"/>
  <c r="I34" i="1" s="1"/>
  <c r="G35" i="1" a="1"/>
  <c r="G35" i="1" s="1"/>
  <c r="I35" i="1" s="1"/>
  <c r="G36" i="1" a="1"/>
  <c r="G36" i="1"/>
  <c r="I36" i="1" s="1"/>
  <c r="G37" i="1" a="1"/>
  <c r="G37" i="1" s="1"/>
  <c r="I37" i="1" s="1"/>
  <c r="G38" i="1" a="1"/>
  <c r="G38" i="1" s="1"/>
  <c r="H38" i="1" s="1"/>
  <c r="K38" i="1" s="1"/>
  <c r="G39" i="1" a="1"/>
  <c r="G39" i="1" s="1"/>
  <c r="I39" i="1" s="1"/>
  <c r="G40" i="1" a="1"/>
  <c r="G40" i="1" s="1"/>
  <c r="I40" i="1" s="1"/>
  <c r="G41" i="1" a="1"/>
  <c r="G41" i="1" s="1"/>
  <c r="I41" i="1" s="1"/>
  <c r="G42" i="1" a="1"/>
  <c r="G42" i="1" s="1"/>
  <c r="I42" i="1" s="1"/>
  <c r="G43" i="1" a="1"/>
  <c r="G43" i="1"/>
  <c r="I43" i="1" s="1"/>
  <c r="G44" i="1" a="1"/>
  <c r="G44" i="1" s="1"/>
  <c r="H44" i="1" s="1"/>
  <c r="K44" i="1" s="1"/>
  <c r="G45" i="1" a="1"/>
  <c r="G45" i="1" s="1"/>
  <c r="H45" i="1" s="1"/>
  <c r="K45" i="1" s="1"/>
  <c r="G46" i="1" a="1"/>
  <c r="G46" i="1" s="1"/>
  <c r="I46" i="1" s="1"/>
  <c r="G47" i="1" a="1"/>
  <c r="G47" i="1" s="1"/>
  <c r="I47" i="1" s="1"/>
  <c r="G48" i="1" a="1"/>
  <c r="G48" i="1"/>
  <c r="I48" i="1" s="1"/>
  <c r="G49" i="1" a="1"/>
  <c r="G49" i="1"/>
  <c r="I49" i="1" s="1"/>
  <c r="G50" i="1" a="1"/>
  <c r="G50" i="1"/>
  <c r="H50" i="1" s="1"/>
  <c r="K50" i="1" s="1"/>
  <c r="G51" i="1" a="1"/>
  <c r="G51" i="1" s="1"/>
  <c r="I51" i="1" s="1"/>
  <c r="G52" i="1" a="1"/>
  <c r="G52" i="1" s="1"/>
  <c r="H52" i="1" s="1"/>
  <c r="K52" i="1" s="1"/>
  <c r="G53" i="1" a="1"/>
  <c r="G53" i="1" s="1"/>
  <c r="I53" i="1" s="1"/>
  <c r="G54" i="1" a="1"/>
  <c r="G54" i="1" s="1"/>
  <c r="I54" i="1" s="1"/>
  <c r="G55" i="1" a="1"/>
  <c r="G55" i="1" s="1"/>
  <c r="I55" i="1" s="1"/>
  <c r="G56" i="1" a="1"/>
  <c r="G56" i="1" s="1"/>
  <c r="I56" i="1" s="1"/>
  <c r="G57" i="1" a="1"/>
  <c r="G57" i="1" s="1"/>
  <c r="H57" i="1" s="1"/>
  <c r="K57" i="1" s="1"/>
  <c r="G58" i="1" a="1"/>
  <c r="G58" i="1"/>
  <c r="I58" i="1" s="1"/>
  <c r="G59" i="1" a="1"/>
  <c r="G59" i="1" s="1"/>
  <c r="I59" i="1" s="1"/>
  <c r="G60" i="1" a="1"/>
  <c r="G60" i="1" s="1"/>
  <c r="I60" i="1" s="1"/>
  <c r="G61" i="1" a="1"/>
  <c r="G61" i="1" s="1"/>
  <c r="I61" i="1" s="1"/>
  <c r="G62" i="1" a="1"/>
  <c r="G62" i="1"/>
  <c r="I62" i="1" s="1"/>
  <c r="G10" i="1" a="1"/>
  <c r="G10" i="1" s="1"/>
  <c r="H10" i="1" s="1"/>
  <c r="K10" i="1" s="1"/>
  <c r="F14" i="8"/>
  <c r="N12" i="8"/>
  <c r="L12" i="8"/>
  <c r="K12" i="8"/>
  <c r="J12" i="8"/>
  <c r="N11" i="8"/>
  <c r="L11" i="8"/>
  <c r="K11" i="8"/>
  <c r="J11" i="8"/>
  <c r="N10" i="8"/>
  <c r="L10" i="8"/>
  <c r="K10" i="8"/>
  <c r="J10" i="8"/>
  <c r="C7" i="8"/>
  <c r="F20" i="7"/>
  <c r="N18" i="7"/>
  <c r="L18" i="7"/>
  <c r="K18" i="7"/>
  <c r="J18" i="7"/>
  <c r="N17" i="7"/>
  <c r="L17" i="7"/>
  <c r="K17" i="7"/>
  <c r="J17" i="7"/>
  <c r="N16" i="7"/>
  <c r="L16" i="7"/>
  <c r="K16" i="7"/>
  <c r="J16" i="7"/>
  <c r="N15" i="7"/>
  <c r="L15" i="7"/>
  <c r="K15" i="7"/>
  <c r="J15" i="7"/>
  <c r="N14" i="7"/>
  <c r="L14" i="7"/>
  <c r="K14" i="7"/>
  <c r="J14" i="7"/>
  <c r="N13" i="7"/>
  <c r="L13" i="7"/>
  <c r="K13" i="7"/>
  <c r="J13" i="7"/>
  <c r="N12" i="7"/>
  <c r="L12" i="7"/>
  <c r="K12" i="7"/>
  <c r="J12" i="7"/>
  <c r="N11" i="7"/>
  <c r="L11" i="7"/>
  <c r="K11" i="7"/>
  <c r="J11" i="7"/>
  <c r="N10" i="7"/>
  <c r="L10" i="7"/>
  <c r="K10" i="7"/>
  <c r="J10" i="7"/>
  <c r="C7" i="7"/>
  <c r="F17" i="6"/>
  <c r="N15" i="6"/>
  <c r="L15" i="6"/>
  <c r="K15" i="6"/>
  <c r="J15" i="6"/>
  <c r="N14" i="6"/>
  <c r="L14" i="6"/>
  <c r="K14" i="6"/>
  <c r="J14" i="6"/>
  <c r="N13" i="6"/>
  <c r="L13" i="6"/>
  <c r="K13" i="6"/>
  <c r="J13" i="6"/>
  <c r="N12" i="6"/>
  <c r="L12" i="6"/>
  <c r="K12" i="6"/>
  <c r="J12" i="6"/>
  <c r="N11" i="6"/>
  <c r="L11" i="6"/>
  <c r="K11" i="6"/>
  <c r="J11" i="6"/>
  <c r="N10" i="6"/>
  <c r="L10" i="6"/>
  <c r="K10" i="6"/>
  <c r="J10" i="6"/>
  <c r="C7" i="6"/>
  <c r="F23" i="5"/>
  <c r="N21" i="5"/>
  <c r="L21" i="5"/>
  <c r="K21" i="5"/>
  <c r="J21" i="5"/>
  <c r="N20" i="5"/>
  <c r="L20" i="5"/>
  <c r="K20" i="5"/>
  <c r="J20" i="5"/>
  <c r="N19" i="5"/>
  <c r="L19" i="5"/>
  <c r="K19" i="5"/>
  <c r="J19" i="5"/>
  <c r="N18" i="5"/>
  <c r="L18" i="5"/>
  <c r="K18" i="5"/>
  <c r="J18" i="5"/>
  <c r="N17" i="5"/>
  <c r="L17" i="5"/>
  <c r="K17" i="5"/>
  <c r="J17" i="5"/>
  <c r="N16" i="5"/>
  <c r="L16" i="5"/>
  <c r="K16" i="5"/>
  <c r="J16" i="5"/>
  <c r="N15" i="5"/>
  <c r="L15" i="5"/>
  <c r="K15" i="5"/>
  <c r="J15" i="5"/>
  <c r="N14" i="5"/>
  <c r="L14" i="5"/>
  <c r="K14" i="5"/>
  <c r="J14" i="5"/>
  <c r="N13" i="5"/>
  <c r="L13" i="5"/>
  <c r="K13" i="5"/>
  <c r="J13" i="5"/>
  <c r="N12" i="5"/>
  <c r="L12" i="5"/>
  <c r="K12" i="5"/>
  <c r="J12" i="5"/>
  <c r="N11" i="5"/>
  <c r="L11" i="5"/>
  <c r="K11" i="5"/>
  <c r="J11" i="5"/>
  <c r="N10" i="5"/>
  <c r="L10" i="5"/>
  <c r="K10" i="5"/>
  <c r="J10" i="5"/>
  <c r="C7" i="5"/>
  <c r="F21" i="4"/>
  <c r="N19" i="4"/>
  <c r="L19" i="4"/>
  <c r="K19" i="4"/>
  <c r="J19" i="4"/>
  <c r="N18" i="4"/>
  <c r="L18" i="4"/>
  <c r="K18" i="4"/>
  <c r="J18" i="4"/>
  <c r="N17" i="4"/>
  <c r="L17" i="4"/>
  <c r="K17" i="4"/>
  <c r="J17" i="4"/>
  <c r="N16" i="4"/>
  <c r="L16" i="4"/>
  <c r="K16" i="4"/>
  <c r="J16" i="4"/>
  <c r="N15" i="4"/>
  <c r="L15" i="4"/>
  <c r="K15" i="4"/>
  <c r="J15" i="4"/>
  <c r="N14" i="4"/>
  <c r="L14" i="4"/>
  <c r="K14" i="4"/>
  <c r="J14" i="4"/>
  <c r="N13" i="4"/>
  <c r="L13" i="4"/>
  <c r="K13" i="4"/>
  <c r="J13" i="4"/>
  <c r="N12" i="4"/>
  <c r="L12" i="4"/>
  <c r="K12" i="4"/>
  <c r="J12" i="4"/>
  <c r="N11" i="4"/>
  <c r="L11" i="4"/>
  <c r="K11" i="4"/>
  <c r="J11" i="4"/>
  <c r="N10" i="4"/>
  <c r="L10" i="4"/>
  <c r="K10" i="4"/>
  <c r="J10" i="4"/>
  <c r="C7" i="4"/>
  <c r="F26" i="3"/>
  <c r="N24" i="3"/>
  <c r="L24" i="3"/>
  <c r="K24" i="3"/>
  <c r="J24" i="3"/>
  <c r="N23" i="3"/>
  <c r="L23" i="3"/>
  <c r="K23" i="3"/>
  <c r="J23" i="3"/>
  <c r="N22" i="3"/>
  <c r="L22" i="3"/>
  <c r="K22" i="3"/>
  <c r="J22" i="3"/>
  <c r="N21" i="3"/>
  <c r="L21" i="3"/>
  <c r="K21" i="3"/>
  <c r="J21" i="3"/>
  <c r="N20" i="3"/>
  <c r="L20" i="3"/>
  <c r="K20" i="3"/>
  <c r="J20" i="3"/>
  <c r="N19" i="3"/>
  <c r="L19" i="3"/>
  <c r="K19" i="3"/>
  <c r="J19" i="3"/>
  <c r="N18" i="3"/>
  <c r="L18" i="3"/>
  <c r="K18" i="3"/>
  <c r="J18" i="3"/>
  <c r="N17" i="3"/>
  <c r="L17" i="3"/>
  <c r="K17" i="3"/>
  <c r="J17" i="3"/>
  <c r="N16" i="3"/>
  <c r="L16" i="3"/>
  <c r="K16" i="3"/>
  <c r="J16" i="3"/>
  <c r="N15" i="3"/>
  <c r="L15" i="3"/>
  <c r="K15" i="3"/>
  <c r="J15" i="3"/>
  <c r="N14" i="3"/>
  <c r="L14" i="3"/>
  <c r="K14" i="3"/>
  <c r="J14" i="3"/>
  <c r="N13" i="3"/>
  <c r="L13" i="3"/>
  <c r="K13" i="3"/>
  <c r="J13" i="3"/>
  <c r="N12" i="3"/>
  <c r="L12" i="3"/>
  <c r="K12" i="3"/>
  <c r="J12" i="3"/>
  <c r="N11" i="3"/>
  <c r="L11" i="3"/>
  <c r="K11" i="3"/>
  <c r="J11" i="3"/>
  <c r="N10" i="3"/>
  <c r="L10" i="3"/>
  <c r="K10" i="3"/>
  <c r="J10" i="3"/>
  <c r="C7" i="3"/>
  <c r="D28" i="2"/>
  <c r="C28" i="2"/>
  <c r="D27" i="2"/>
  <c r="C27" i="2"/>
  <c r="D26" i="2"/>
  <c r="C26" i="2"/>
  <c r="D25" i="2"/>
  <c r="C25" i="2"/>
  <c r="L62" i="1"/>
  <c r="J62" i="1"/>
  <c r="L61" i="1"/>
  <c r="J61" i="1"/>
  <c r="L60" i="1"/>
  <c r="J60" i="1"/>
  <c r="L59" i="1"/>
  <c r="J59" i="1"/>
  <c r="L58" i="1"/>
  <c r="J58" i="1"/>
  <c r="L57" i="1"/>
  <c r="J57" i="1"/>
  <c r="L56" i="1"/>
  <c r="J56" i="1"/>
  <c r="L55" i="1"/>
  <c r="J55" i="1"/>
  <c r="L54" i="1"/>
  <c r="J54" i="1"/>
  <c r="L53" i="1"/>
  <c r="J53" i="1"/>
  <c r="L52" i="1"/>
  <c r="J52" i="1"/>
  <c r="L51" i="1"/>
  <c r="J51" i="1"/>
  <c r="L50" i="1"/>
  <c r="J50" i="1"/>
  <c r="L49" i="1"/>
  <c r="J49" i="1"/>
  <c r="L48" i="1"/>
  <c r="J48" i="1"/>
  <c r="L47" i="1"/>
  <c r="J47" i="1"/>
  <c r="L46" i="1"/>
  <c r="J46" i="1"/>
  <c r="L45" i="1"/>
  <c r="J45" i="1"/>
  <c r="L44" i="1"/>
  <c r="J44" i="1"/>
  <c r="L43" i="1"/>
  <c r="J43" i="1"/>
  <c r="L42" i="1"/>
  <c r="J42" i="1"/>
  <c r="L41" i="1"/>
  <c r="J41" i="1"/>
  <c r="L40" i="1"/>
  <c r="J40" i="1"/>
  <c r="L39" i="1"/>
  <c r="J39" i="1"/>
  <c r="L38" i="1"/>
  <c r="J38" i="1"/>
  <c r="L37" i="1"/>
  <c r="J37" i="1"/>
  <c r="L36" i="1"/>
  <c r="J36" i="1"/>
  <c r="L35" i="1"/>
  <c r="J35" i="1"/>
  <c r="L34" i="1"/>
  <c r="J34" i="1"/>
  <c r="L33" i="1"/>
  <c r="J33" i="1"/>
  <c r="L32" i="1"/>
  <c r="J32" i="1"/>
  <c r="L31" i="1"/>
  <c r="J31" i="1"/>
  <c r="L30" i="1"/>
  <c r="J30" i="1"/>
  <c r="L29" i="1"/>
  <c r="J29" i="1"/>
  <c r="L28" i="1"/>
  <c r="J28" i="1"/>
  <c r="L27" i="1"/>
  <c r="J27" i="1"/>
  <c r="L26" i="1"/>
  <c r="J26" i="1"/>
  <c r="L25" i="1"/>
  <c r="J25" i="1"/>
  <c r="L24" i="1"/>
  <c r="J24" i="1"/>
  <c r="L23" i="1"/>
  <c r="J23" i="1"/>
  <c r="L22" i="1"/>
  <c r="J22" i="1"/>
  <c r="L21" i="1"/>
  <c r="J21" i="1"/>
  <c r="L20" i="1"/>
  <c r="J20" i="1"/>
  <c r="L19" i="1"/>
  <c r="J19" i="1"/>
  <c r="L18" i="1"/>
  <c r="J18" i="1"/>
  <c r="L17" i="1"/>
  <c r="J17" i="1"/>
  <c r="L16" i="1"/>
  <c r="J16" i="1"/>
  <c r="L15" i="1"/>
  <c r="J15" i="1"/>
  <c r="L14" i="1"/>
  <c r="J14" i="1"/>
  <c r="L13" i="1"/>
  <c r="J13" i="1"/>
  <c r="L12" i="1"/>
  <c r="J12" i="1"/>
  <c r="L11" i="1"/>
  <c r="J11" i="1"/>
  <c r="C7" i="1"/>
  <c r="I10" i="1" l="1"/>
  <c r="I31" i="1"/>
  <c r="H31" i="1"/>
  <c r="K31" i="1" s="1"/>
  <c r="H15" i="1"/>
  <c r="K15" i="1" s="1"/>
  <c r="I15" i="1"/>
  <c r="H32" i="1"/>
  <c r="K32" i="1" s="1"/>
  <c r="I52" i="1"/>
  <c r="H35" i="1"/>
  <c r="K35" i="1" s="1"/>
  <c r="I14" i="1"/>
  <c r="I38" i="1"/>
  <c r="H43" i="1"/>
  <c r="K43" i="1" s="1"/>
  <c r="H51" i="1"/>
  <c r="K51" i="1" s="1"/>
  <c r="I23" i="1"/>
  <c r="I45" i="1"/>
  <c r="I57" i="1"/>
  <c r="H24" i="1"/>
  <c r="K24" i="1" s="1"/>
  <c r="H47" i="1"/>
  <c r="K47" i="1" s="1"/>
  <c r="H25" i="1"/>
  <c r="K25" i="1" s="1"/>
  <c r="H58" i="1"/>
  <c r="K58" i="1" s="1"/>
  <c r="I26" i="1"/>
  <c r="E15" i="2"/>
  <c r="F15" i="2"/>
  <c r="E11" i="2"/>
  <c r="H17" i="4"/>
  <c r="M17" i="4" s="1"/>
  <c r="H10" i="8"/>
  <c r="M10" i="8" s="1"/>
  <c r="I14" i="4"/>
  <c r="H13" i="5"/>
  <c r="M13" i="5" s="1"/>
  <c r="H10" i="6"/>
  <c r="M10" i="6" s="1"/>
  <c r="I13" i="6"/>
  <c r="I10" i="7"/>
  <c r="H19" i="5"/>
  <c r="M19" i="5" s="1"/>
  <c r="H24" i="3"/>
  <c r="M24" i="3" s="1"/>
  <c r="I18" i="7"/>
  <c r="I12" i="5"/>
  <c r="H15" i="5"/>
  <c r="M15" i="5" s="1"/>
  <c r="H22" i="1"/>
  <c r="K22" i="1" s="1"/>
  <c r="E14" i="2"/>
  <c r="H12" i="4"/>
  <c r="M12" i="4" s="1"/>
  <c r="F12" i="2"/>
  <c r="H55" i="1"/>
  <c r="K55" i="1" s="1"/>
  <c r="H11" i="3"/>
  <c r="M11" i="3" s="1"/>
  <c r="H22" i="3"/>
  <c r="M22" i="3" s="1"/>
  <c r="F10" i="2"/>
  <c r="I18" i="5"/>
  <c r="H11" i="7"/>
  <c r="M11" i="7" s="1"/>
  <c r="H14" i="7"/>
  <c r="M14" i="7" s="1"/>
  <c r="I44" i="1"/>
  <c r="I10" i="5"/>
  <c r="I14" i="3"/>
  <c r="I17" i="3"/>
  <c r="H10" i="4"/>
  <c r="M10" i="4" s="1"/>
  <c r="I16" i="5"/>
  <c r="I15" i="6"/>
  <c r="E12" i="2"/>
  <c r="H18" i="1"/>
  <c r="K18" i="1" s="1"/>
  <c r="I11" i="1"/>
  <c r="H37" i="1"/>
  <c r="K37" i="1" s="1"/>
  <c r="H18" i="4"/>
  <c r="M18" i="4" s="1"/>
  <c r="F11" i="2"/>
  <c r="H34" i="1"/>
  <c r="K34" i="1" s="1"/>
  <c r="H42" i="1"/>
  <c r="K42" i="1" s="1"/>
  <c r="H12" i="3"/>
  <c r="M12" i="3" s="1"/>
  <c r="H13" i="4"/>
  <c r="M13" i="4" s="1"/>
  <c r="I15" i="7"/>
  <c r="F13" i="2"/>
  <c r="F14" i="2"/>
  <c r="H18" i="3"/>
  <c r="M18" i="3" s="1"/>
  <c r="H21" i="3"/>
  <c r="M21" i="3" s="1"/>
  <c r="H11" i="4"/>
  <c r="M11" i="4" s="1"/>
  <c r="H17" i="5"/>
  <c r="M17" i="5" s="1"/>
  <c r="I12" i="1"/>
  <c r="H27" i="1"/>
  <c r="K27" i="1" s="1"/>
  <c r="H46" i="1"/>
  <c r="K46" i="1" s="1"/>
  <c r="H10" i="3"/>
  <c r="M10" i="3" s="1"/>
  <c r="H54" i="1"/>
  <c r="K54" i="1" s="1"/>
  <c r="H62" i="1"/>
  <c r="K62" i="1" s="1"/>
  <c r="H17" i="1"/>
  <c r="K17" i="1" s="1"/>
  <c r="M10" i="5"/>
  <c r="M10" i="7"/>
  <c r="H21" i="1"/>
  <c r="K21" i="1" s="1"/>
  <c r="H41" i="1"/>
  <c r="K41" i="1" s="1"/>
  <c r="H61" i="1"/>
  <c r="K61" i="1" s="1"/>
  <c r="H19" i="4"/>
  <c r="M19" i="4" s="1"/>
  <c r="H16" i="7"/>
  <c r="M16" i="7" s="1"/>
  <c r="H19" i="3"/>
  <c r="M19" i="3" s="1"/>
  <c r="H11" i="8"/>
  <c r="M11" i="8" s="1"/>
  <c r="H11" i="5"/>
  <c r="M11" i="5" s="1"/>
  <c r="H14" i="6"/>
  <c r="M14" i="6" s="1"/>
  <c r="H33" i="1"/>
  <c r="K33" i="1" s="1"/>
  <c r="I50" i="1"/>
  <c r="H15" i="3"/>
  <c r="M15" i="3" s="1"/>
  <c r="H15" i="4"/>
  <c r="H20" i="5"/>
  <c r="M20" i="5" s="1"/>
  <c r="H12" i="7"/>
  <c r="M12" i="7" s="1"/>
  <c r="H30" i="1"/>
  <c r="K30" i="1" s="1"/>
  <c r="H13" i="1"/>
  <c r="K13" i="1" s="1"/>
  <c r="H53" i="1"/>
  <c r="K53" i="1" s="1"/>
  <c r="H12" i="6"/>
  <c r="M12" i="6" s="1"/>
  <c r="H16" i="1"/>
  <c r="K16" i="1" s="1"/>
  <c r="H36" i="1"/>
  <c r="K36" i="1" s="1"/>
  <c r="H56" i="1"/>
  <c r="K56" i="1" s="1"/>
  <c r="H19" i="1"/>
  <c r="K19" i="1" s="1"/>
  <c r="H39" i="1"/>
  <c r="K39" i="1" s="1"/>
  <c r="H59" i="1"/>
  <c r="K59" i="1" s="1"/>
  <c r="H13" i="3"/>
  <c r="H28" i="1"/>
  <c r="K28" i="1" s="1"/>
  <c r="H48" i="1"/>
  <c r="K48" i="1" s="1"/>
  <c r="E13" i="2"/>
  <c r="H20" i="3"/>
  <c r="M20" i="3" s="1"/>
  <c r="H17" i="7"/>
  <c r="M17" i="7" s="1"/>
  <c r="H14" i="5"/>
  <c r="M14" i="5" s="1"/>
  <c r="H12" i="8"/>
  <c r="M12" i="8" s="1"/>
  <c r="H20" i="1"/>
  <c r="K20" i="1" s="1"/>
  <c r="H40" i="1"/>
  <c r="K40" i="1" s="1"/>
  <c r="H60" i="1"/>
  <c r="K60" i="1" s="1"/>
  <c r="H16" i="3"/>
  <c r="M16" i="3" s="1"/>
  <c r="H16" i="4"/>
  <c r="M16" i="4" s="1"/>
  <c r="H21" i="5"/>
  <c r="M21" i="5" s="1"/>
  <c r="H13" i="7"/>
  <c r="M13" i="7" s="1"/>
  <c r="E10" i="2"/>
  <c r="H29" i="1"/>
  <c r="K29" i="1" s="1"/>
  <c r="H49" i="1"/>
  <c r="K49" i="1" s="1"/>
  <c r="H23" i="3"/>
  <c r="M23" i="3" s="1"/>
  <c r="H11" i="6"/>
  <c r="C6" i="3" l="1"/>
  <c r="C10" i="2" s="1"/>
  <c r="M13" i="3"/>
  <c r="M26" i="3" s="1"/>
  <c r="H20" i="7"/>
  <c r="G14" i="2" s="1"/>
  <c r="C6" i="7"/>
  <c r="C14" i="2" s="1"/>
  <c r="C6" i="6"/>
  <c r="C13" i="2" s="1"/>
  <c r="M11" i="6"/>
  <c r="M17" i="6" s="1"/>
  <c r="M20" i="7"/>
  <c r="H26" i="3"/>
  <c r="G10" i="2" s="1"/>
  <c r="C6" i="4"/>
  <c r="C11" i="2" s="1"/>
  <c r="M15" i="4"/>
  <c r="M21" i="4" s="1"/>
  <c r="C6" i="1"/>
  <c r="H21" i="4"/>
  <c r="G11" i="2" s="1"/>
  <c r="H17" i="6"/>
  <c r="G13" i="2" s="1"/>
  <c r="M23" i="5"/>
  <c r="H23" i="5"/>
  <c r="G12" i="2" s="1"/>
  <c r="C6" i="5"/>
  <c r="C12" i="2" s="1"/>
  <c r="M14" i="8"/>
  <c r="H14" i="8"/>
  <c r="G15" i="2" s="1"/>
  <c r="C6" i="8" l="1"/>
  <c r="C15" i="2" s="1"/>
  <c r="C17" i="2" s="1"/>
  <c r="D12" i="2" l="1"/>
  <c r="D11" i="2"/>
  <c r="D14" i="2"/>
  <c r="D13" i="2"/>
  <c r="D10" i="2"/>
  <c r="D15" i="2"/>
  <c r="F17" i="2" l="1"/>
  <c r="D30" i="2" s="1"/>
  <c r="E17" i="2"/>
  <c r="C3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50"/>
        </ext>
      </extLst>
    </bk>
    <bk>
      <extLst>
        <ext uri="{3e2802c4-a4d2-4d8b-9148-e3be6c30e623}">
          <xlrd:rvb i="153"/>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futureMetadata>
  <cellMetadata count="1">
    <bk>
      <rc t="1" v="0"/>
    </bk>
  </cellMetadata>
  <valueMetadata count="5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valueMetadata>
</metadata>
</file>

<file path=xl/sharedStrings.xml><?xml version="1.0" encoding="utf-8"?>
<sst xmlns="http://schemas.openxmlformats.org/spreadsheetml/2006/main" count="278" uniqueCount="102">
  <si>
    <t>Portfolio Holdings</t>
  </si>
  <si>
    <t>Live Updates</t>
  </si>
  <si>
    <t>For Georgetown Collegiate Investors</t>
  </si>
  <si>
    <t>Current Value:</t>
  </si>
  <si>
    <t>Count:</t>
  </si>
  <si>
    <t>PURCHASE</t>
  </si>
  <si>
    <t>LIVE TRACKER</t>
  </si>
  <si>
    <t>Company Name</t>
  </si>
  <si>
    <t>Symbol</t>
  </si>
  <si>
    <t>Qty</t>
  </si>
  <si>
    <t>Cost/share</t>
  </si>
  <si>
    <t>Cost</t>
  </si>
  <si>
    <t>Price</t>
  </si>
  <si>
    <t>Mkt value</t>
  </si>
  <si>
    <t>Total % Change</t>
  </si>
  <si>
    <t>Weekly % Change</t>
  </si>
  <si>
    <t>Gain</t>
  </si>
  <si>
    <t>P/E</t>
  </si>
  <si>
    <t>AAPL</t>
  </si>
  <si>
    <t>ABBV</t>
  </si>
  <si>
    <t>ADM</t>
  </si>
  <si>
    <t>ASO</t>
  </si>
  <si>
    <t>BHP</t>
  </si>
  <si>
    <t>BRK.B</t>
  </si>
  <si>
    <t>BWA</t>
  </si>
  <si>
    <t>CEG</t>
  </si>
  <si>
    <t>CLH</t>
  </si>
  <si>
    <t>COST</t>
  </si>
  <si>
    <t>CPRI</t>
  </si>
  <si>
    <t>CVS</t>
  </si>
  <si>
    <t>DELL</t>
  </si>
  <si>
    <t>DIS</t>
  </si>
  <si>
    <t>EHAB</t>
  </si>
  <si>
    <t>EHC</t>
  </si>
  <si>
    <t>ENPH</t>
  </si>
  <si>
    <t>EPD</t>
  </si>
  <si>
    <t>EXC</t>
  </si>
  <si>
    <t>FCX</t>
  </si>
  <si>
    <t>FDX</t>
  </si>
  <si>
    <t>FTNT</t>
  </si>
  <si>
    <t>GLD</t>
  </si>
  <si>
    <t>GOOG</t>
  </si>
  <si>
    <t>GXO</t>
  </si>
  <si>
    <t>HII</t>
  </si>
  <si>
    <t>J</t>
  </si>
  <si>
    <t>JBL</t>
  </si>
  <si>
    <t>KBWB</t>
  </si>
  <si>
    <t>LC</t>
  </si>
  <si>
    <t>LMT</t>
  </si>
  <si>
    <t>MCHI</t>
  </si>
  <si>
    <t>MCK</t>
  </si>
  <si>
    <t>META</t>
  </si>
  <si>
    <t>MHO</t>
  </si>
  <si>
    <t>MOH</t>
  </si>
  <si>
    <t>MRK</t>
  </si>
  <si>
    <t>NBIX</t>
  </si>
  <si>
    <t>NFLX</t>
  </si>
  <si>
    <t>NOC</t>
  </si>
  <si>
    <t>NTR</t>
  </si>
  <si>
    <t>ORCL</t>
  </si>
  <si>
    <t>PCAR</t>
  </si>
  <si>
    <t>PVH</t>
  </si>
  <si>
    <t>PYPL</t>
  </si>
  <si>
    <t>QCOM</t>
  </si>
  <si>
    <t>RNG</t>
  </si>
  <si>
    <t>RXO</t>
  </si>
  <si>
    <t>RYN</t>
  </si>
  <si>
    <t>TAK</t>
  </si>
  <si>
    <t>TMO</t>
  </si>
  <si>
    <t>WDS</t>
  </si>
  <si>
    <t>XPO</t>
  </si>
  <si>
    <t>***END OF FILE***</t>
  </si>
  <si>
    <t>Market Value</t>
  </si>
  <si>
    <t>Weight</t>
  </si>
  <si>
    <t>YoY %</t>
  </si>
  <si>
    <t>YTD %</t>
  </si>
  <si>
    <t>GCI %</t>
  </si>
  <si>
    <t>TMT</t>
  </si>
  <si>
    <t>PNR</t>
  </si>
  <si>
    <t>IND</t>
  </si>
  <si>
    <t>CNR</t>
  </si>
  <si>
    <t>HC</t>
  </si>
  <si>
    <t>E/R</t>
  </si>
  <si>
    <t>Total Invested</t>
  </si>
  <si>
    <t>Indexes:</t>
  </si>
  <si>
    <t>S&amp;P 500</t>
  </si>
  <si>
    <t>NASDAQ</t>
  </si>
  <si>
    <t>Dow Jones</t>
  </si>
  <si>
    <t>Russell 2000</t>
  </si>
  <si>
    <t>GCI</t>
  </si>
  <si>
    <t>Portfolio Holdings | Technology, Media, and Telecom</t>
  </si>
  <si>
    <t xml:space="preserve">Weekly % </t>
  </si>
  <si>
    <t>Yearly %</t>
  </si>
  <si>
    <t>ATVI</t>
  </si>
  <si>
    <t>VMW</t>
  </si>
  <si>
    <t>Total</t>
  </si>
  <si>
    <t>Portfolio Holdings | Power &amp; Natural Resources</t>
  </si>
  <si>
    <t>Portfolio Holdings | Industrials</t>
  </si>
  <si>
    <t>Portfolio Holdings | Consumer &amp; Retail</t>
  </si>
  <si>
    <t>Portfolio Holdings | Healthcare</t>
  </si>
  <si>
    <t>YTD%</t>
  </si>
  <si>
    <t>BRK-B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</si>
</sst>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Red]\(&quot;$&quot;#,##0.00\)"/>
    <numFmt numFmtId="165" formatCode="0.0"/>
    <numFmt numFmtId="166" formatCode="&quot;$&quot;#,##0.00"/>
    <numFmt numFmtId="167" formatCode="_(&quot;$&quot;* #,##0.00_);_(&quot;$&quot;* \(#,##0.00\);_(&quot;$&quot;* &quot;-&quot;??_);_(@_)"/>
    <numFmt numFmtId="168" formatCode="m/d/yyyy"/>
    <numFmt numFmtId="169" formatCode="_([$$-409]* #,##0.00_);_([$$-409]* \(#,##0.00\);_([$$-409]* &quot;-&quot;??_);_(@_)"/>
  </numFmts>
  <fonts count="13" x14ac:knownFonts="1">
    <font>
      <sz val="11"/>
      <color theme="1"/>
      <name val="Calibri"/>
      <scheme val="minor"/>
    </font>
    <font>
      <sz val="11"/>
      <color theme="1"/>
      <name val="Garamond"/>
    </font>
    <font>
      <b/>
      <sz val="12"/>
      <color rgb="FFFFFFFF"/>
      <name val="Garamond"/>
    </font>
    <font>
      <b/>
      <i/>
      <sz val="12"/>
      <color rgb="FFFFFFFF"/>
      <name val="Garamond"/>
    </font>
    <font>
      <i/>
      <sz val="11"/>
      <color rgb="FFFFFFFF"/>
      <name val="Garamond"/>
    </font>
    <font>
      <sz val="11"/>
      <color theme="1"/>
      <name val="Garamond"/>
    </font>
    <font>
      <b/>
      <sz val="11"/>
      <color theme="1"/>
      <name val="Garamond"/>
    </font>
    <font>
      <b/>
      <sz val="11"/>
      <color theme="1"/>
      <name val="Garamond"/>
    </font>
    <font>
      <sz val="11"/>
      <name val="Calibri"/>
    </font>
    <font>
      <sz val="11"/>
      <color rgb="FF0000FF"/>
      <name val="Garamond"/>
    </font>
    <font>
      <sz val="11"/>
      <color rgb="FF0000FF"/>
      <name val="Garamond"/>
    </font>
    <font>
      <sz val="11"/>
      <color rgb="FF38761D"/>
      <name val="Garamond"/>
    </font>
    <font>
      <sz val="11"/>
      <color rgb="FFFF0000"/>
      <name val="Garamond"/>
    </font>
  </fonts>
  <fills count="3">
    <fill>
      <patternFill patternType="none"/>
    </fill>
    <fill>
      <patternFill patternType="gray125"/>
    </fill>
    <fill>
      <patternFill patternType="solid">
        <fgColor rgb="FF002060"/>
        <bgColor rgb="FF002060"/>
      </patternFill>
    </fill>
  </fills>
  <borders count="4">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2" borderId="0" xfId="0" applyFont="1" applyFill="1"/>
    <xf numFmtId="0" fontId="1" fillId="2" borderId="0" xfId="0" applyFont="1" applyFill="1"/>
    <xf numFmtId="0" fontId="3" fillId="2" borderId="0" xfId="0" applyFont="1" applyFill="1"/>
    <xf numFmtId="0" fontId="4" fillId="2" borderId="0" xfId="0" applyFont="1" applyFill="1"/>
    <xf numFmtId="164" fontId="5" fillId="0" borderId="0" xfId="0" applyNumberFormat="1" applyFont="1"/>
    <xf numFmtId="10" fontId="5" fillId="0" borderId="0" xfId="0" applyNumberFormat="1" applyFont="1"/>
    <xf numFmtId="0" fontId="6" fillId="0" borderId="0" xfId="0" applyFont="1"/>
    <xf numFmtId="164" fontId="7" fillId="0" borderId="0" xfId="0" applyNumberFormat="1" applyFont="1"/>
    <xf numFmtId="0" fontId="1" fillId="0" borderId="2" xfId="0" applyFont="1" applyBorder="1"/>
    <xf numFmtId="0" fontId="1" fillId="0" borderId="3" xfId="0" applyFont="1" applyBorder="1"/>
    <xf numFmtId="165" fontId="9" fillId="0" borderId="0" xfId="0" applyNumberFormat="1" applyFont="1"/>
    <xf numFmtId="166" fontId="9" fillId="0" borderId="0" xfId="0" applyNumberFormat="1" applyFont="1"/>
    <xf numFmtId="166" fontId="10" fillId="0" borderId="1" xfId="0" applyNumberFormat="1" applyFont="1" applyBorder="1"/>
    <xf numFmtId="166" fontId="1" fillId="0" borderId="0" xfId="0" applyNumberFormat="1" applyFont="1"/>
    <xf numFmtId="166" fontId="5" fillId="0" borderId="0" xfId="0" applyNumberFormat="1" applyFont="1"/>
    <xf numFmtId="10" fontId="5" fillId="0" borderId="0" xfId="0" applyNumberFormat="1" applyFont="1" applyAlignment="1">
      <alignment horizontal="center"/>
    </xf>
    <xf numFmtId="167" fontId="5" fillId="0" borderId="0" xfId="0" applyNumberFormat="1" applyFont="1"/>
    <xf numFmtId="0" fontId="1" fillId="0" borderId="0" xfId="0" applyFont="1" applyAlignment="1">
      <alignment horizontal="right"/>
    </xf>
    <xf numFmtId="166" fontId="9" fillId="0" borderId="1" xfId="0" applyNumberFormat="1" applyFont="1" applyBorder="1"/>
    <xf numFmtId="165" fontId="1" fillId="0" borderId="0" xfId="0" applyNumberFormat="1" applyFont="1"/>
    <xf numFmtId="0" fontId="6" fillId="0" borderId="0" xfId="0" applyFont="1" applyAlignment="1">
      <alignment horizontal="right"/>
    </xf>
    <xf numFmtId="165" fontId="6" fillId="0" borderId="0" xfId="0" applyNumberFormat="1" applyFont="1" applyAlignment="1">
      <alignment horizontal="right"/>
    </xf>
    <xf numFmtId="166" fontId="6" fillId="0" borderId="0" xfId="0" applyNumberFormat="1" applyFont="1" applyAlignment="1">
      <alignment horizontal="right"/>
    </xf>
    <xf numFmtId="168" fontId="1" fillId="0" borderId="0" xfId="0" applyNumberFormat="1" applyFont="1"/>
    <xf numFmtId="164" fontId="1" fillId="0" borderId="0" xfId="0" applyNumberFormat="1" applyFont="1" applyAlignment="1">
      <alignment horizontal="right"/>
    </xf>
    <xf numFmtId="10" fontId="1" fillId="0" borderId="0" xfId="0" applyNumberFormat="1" applyFont="1" applyAlignment="1">
      <alignment horizontal="right"/>
    </xf>
    <xf numFmtId="10" fontId="1" fillId="0" borderId="0" xfId="0" applyNumberFormat="1" applyFont="1"/>
    <xf numFmtId="164" fontId="1" fillId="0" borderId="0" xfId="0" applyNumberFormat="1" applyFont="1"/>
    <xf numFmtId="3" fontId="1" fillId="0" borderId="0" xfId="0" applyNumberFormat="1" applyFont="1"/>
    <xf numFmtId="10" fontId="6" fillId="0" borderId="0" xfId="0" applyNumberFormat="1" applyFont="1"/>
    <xf numFmtId="0" fontId="1" fillId="0" borderId="2" xfId="0" applyFont="1" applyBorder="1" applyAlignment="1">
      <alignment horizontal="center"/>
    </xf>
    <xf numFmtId="166" fontId="5" fillId="0" borderId="1" xfId="0" applyNumberFormat="1" applyFont="1" applyBorder="1"/>
    <xf numFmtId="166" fontId="1" fillId="0" borderId="1" xfId="0" applyNumberFormat="1" applyFont="1" applyBorder="1"/>
    <xf numFmtId="166" fontId="6" fillId="0" borderId="0" xfId="0" applyNumberFormat="1" applyFont="1"/>
    <xf numFmtId="167" fontId="6" fillId="0" borderId="0" xfId="0" applyNumberFormat="1" applyFont="1"/>
    <xf numFmtId="0" fontId="5" fillId="0" borderId="0" xfId="0" applyFont="1"/>
    <xf numFmtId="165" fontId="5" fillId="0" borderId="0" xfId="0" applyNumberFormat="1" applyFont="1" applyAlignment="1">
      <alignment horizontal="right"/>
    </xf>
    <xf numFmtId="166" fontId="5" fillId="0" borderId="0" xfId="0" applyNumberFormat="1" applyFont="1" applyAlignment="1">
      <alignment horizontal="right"/>
    </xf>
    <xf numFmtId="166" fontId="5" fillId="0" borderId="1" xfId="0" applyNumberFormat="1" applyFont="1" applyBorder="1" applyAlignment="1">
      <alignment horizontal="right"/>
    </xf>
    <xf numFmtId="10" fontId="11" fillId="0" borderId="0" xfId="0" applyNumberFormat="1" applyFont="1" applyAlignment="1">
      <alignment horizontal="center"/>
    </xf>
    <xf numFmtId="167" fontId="5" fillId="0" borderId="0" xfId="0" applyNumberFormat="1" applyFont="1" applyAlignment="1">
      <alignment horizontal="right"/>
    </xf>
    <xf numFmtId="0" fontId="5" fillId="0" borderId="0" xfId="0" applyFont="1" applyAlignment="1">
      <alignment horizontal="right"/>
    </xf>
    <xf numFmtId="10" fontId="12" fillId="0" borderId="0" xfId="0" applyNumberFormat="1" applyFont="1" applyAlignment="1">
      <alignment horizontal="center"/>
    </xf>
    <xf numFmtId="167" fontId="12" fillId="0" borderId="0" xfId="0" applyNumberFormat="1" applyFont="1" applyAlignment="1">
      <alignment horizontal="right"/>
    </xf>
    <xf numFmtId="0" fontId="6" fillId="0" borderId="0" xfId="0" applyFont="1" applyAlignment="1">
      <alignment horizontal="center"/>
    </xf>
    <xf numFmtId="0" fontId="0" fillId="0" borderId="0" xfId="0"/>
    <xf numFmtId="0" fontId="8" fillId="0" borderId="1" xfId="0" applyFont="1" applyBorder="1"/>
    <xf numFmtId="169" fontId="5" fillId="0" borderId="0" xfId="0" applyNumberFormat="1" applyFont="1"/>
  </cellXfs>
  <cellStyles count="1">
    <cellStyle name="常规" xfId="0" builtinId="0"/>
  </cellStyles>
  <dxfs count="16">
    <dxf>
      <font>
        <color rgb="FFFF0000"/>
      </font>
      <fill>
        <patternFill patternType="none"/>
      </fill>
    </dxf>
    <dxf>
      <font>
        <color rgb="FF38761D"/>
      </font>
      <fill>
        <patternFill patternType="none"/>
      </fill>
    </dxf>
    <dxf>
      <font>
        <color rgb="FFFF0000"/>
      </font>
      <fill>
        <patternFill patternType="none"/>
      </fill>
    </dxf>
    <dxf>
      <font>
        <color rgb="FF38761D"/>
      </font>
      <fill>
        <patternFill patternType="none"/>
      </fill>
    </dxf>
    <dxf>
      <font>
        <color rgb="FFFF0000"/>
      </font>
      <fill>
        <patternFill patternType="none"/>
      </fill>
    </dxf>
    <dxf>
      <font>
        <color rgb="FF38761D"/>
      </font>
      <fill>
        <patternFill patternType="none"/>
      </fill>
    </dxf>
    <dxf>
      <font>
        <color rgb="FFFF0000"/>
      </font>
      <fill>
        <patternFill patternType="none"/>
      </fill>
    </dxf>
    <dxf>
      <font>
        <color rgb="FF38761D"/>
      </font>
      <fill>
        <patternFill patternType="none"/>
      </fill>
    </dxf>
    <dxf>
      <font>
        <color rgb="FFFF0000"/>
      </font>
      <fill>
        <patternFill patternType="none"/>
      </fill>
    </dxf>
    <dxf>
      <font>
        <color rgb="FF38761D"/>
      </font>
      <fill>
        <patternFill patternType="none"/>
      </fill>
    </dxf>
    <dxf>
      <font>
        <color rgb="FFFF0000"/>
      </font>
      <fill>
        <patternFill patternType="none"/>
      </fill>
    </dxf>
    <dxf>
      <font>
        <color rgb="FF38761D"/>
      </font>
      <fill>
        <patternFill patternType="none"/>
      </fill>
    </dxf>
    <dxf>
      <font>
        <color rgb="FFFF0000"/>
      </font>
      <fill>
        <patternFill patternType="none"/>
      </fill>
    </dxf>
    <dxf>
      <font>
        <color rgb="FF38761D"/>
      </font>
      <fill>
        <patternFill patternType="none"/>
      </fill>
    </dxf>
    <dxf>
      <font>
        <color rgb="FFFF0000"/>
      </font>
      <fill>
        <patternFill patternType="none"/>
      </fill>
    </dxf>
    <dxf>
      <font>
        <color rgb="FF38761D"/>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customschemas.google.com/relationships/workbookmetadata" Target="metadata"/><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alcChain" Target="calcChain.xml"/><Relationship Id="rId19" Type="http://schemas.microsoft.com/office/2017/06/relationships/richStyles" Target="richData/richStyles.xml"/><Relationship Id="rId4" Type="http://schemas.openxmlformats.org/officeDocument/2006/relationships/worksheet" Target="worksheets/sheet4.xml"/><Relationship Id="rId14" Type="http://schemas.openxmlformats.org/officeDocument/2006/relationships/styles" Target="styles.xml"/><Relationship Id="rId22"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c:style val="2"/>
  <c:chart>
    <c:title>
      <c:tx>
        <c:rich>
          <a:bodyPr/>
          <a:lstStyle/>
          <a:p>
            <a:pPr lvl="0">
              <a:defRPr b="0" i="0">
                <a:solidFill>
                  <a:srgbClr val="757575"/>
                </a:solidFill>
                <a:latin typeface="Verdana"/>
              </a:defRPr>
            </a:pPr>
            <a:r>
              <a:rPr lang="en-US" b="0" i="0">
                <a:solidFill>
                  <a:srgbClr val="757575"/>
                </a:solidFill>
                <a:latin typeface="Verdana"/>
              </a:rPr>
              <a:t>GCI Sector Allocation</a:t>
            </a:r>
          </a:p>
        </c:rich>
      </c:tx>
      <c:overlay val="0"/>
    </c:title>
    <c:autoTitleDeleted val="0"/>
    <c:plotArea>
      <c:layout/>
      <c:pieChart>
        <c:varyColors val="1"/>
        <c:ser>
          <c:idx val="0"/>
          <c:order val="0"/>
          <c:dPt>
            <c:idx val="0"/>
            <c:bubble3D val="0"/>
            <c:spPr>
              <a:solidFill>
                <a:srgbClr val="C9DAF8"/>
              </a:solidFill>
            </c:spPr>
            <c:extLst>
              <c:ext xmlns:c16="http://schemas.microsoft.com/office/drawing/2014/chart" uri="{C3380CC4-5D6E-409C-BE32-E72D297353CC}">
                <c16:uniqueId val="{00000001-5801-49CF-AB5E-45C305DCF61D}"/>
              </c:ext>
            </c:extLst>
          </c:dPt>
          <c:dPt>
            <c:idx val="1"/>
            <c:bubble3D val="0"/>
            <c:spPr>
              <a:solidFill>
                <a:srgbClr val="A4C2F4"/>
              </a:solidFill>
            </c:spPr>
            <c:extLst>
              <c:ext xmlns:c16="http://schemas.microsoft.com/office/drawing/2014/chart" uri="{C3380CC4-5D6E-409C-BE32-E72D297353CC}">
                <c16:uniqueId val="{00000003-5801-49CF-AB5E-45C305DCF61D}"/>
              </c:ext>
            </c:extLst>
          </c:dPt>
          <c:dPt>
            <c:idx val="2"/>
            <c:bubble3D val="0"/>
            <c:spPr>
              <a:solidFill>
                <a:srgbClr val="3C78D8"/>
              </a:solidFill>
            </c:spPr>
            <c:extLst>
              <c:ext xmlns:c16="http://schemas.microsoft.com/office/drawing/2014/chart" uri="{C3380CC4-5D6E-409C-BE32-E72D297353CC}">
                <c16:uniqueId val="{00000005-5801-49CF-AB5E-45C305DCF61D}"/>
              </c:ext>
            </c:extLst>
          </c:dPt>
          <c:dPt>
            <c:idx val="3"/>
            <c:bubble3D val="0"/>
            <c:spPr>
              <a:solidFill>
                <a:srgbClr val="1C4587"/>
              </a:solidFill>
            </c:spPr>
            <c:extLst>
              <c:ext xmlns:c16="http://schemas.microsoft.com/office/drawing/2014/chart" uri="{C3380CC4-5D6E-409C-BE32-E72D297353CC}">
                <c16:uniqueId val="{00000007-5801-49CF-AB5E-45C305DCF61D}"/>
              </c:ext>
            </c:extLst>
          </c:dPt>
          <c:dPt>
            <c:idx val="4"/>
            <c:bubble3D val="0"/>
            <c:spPr>
              <a:solidFill>
                <a:srgbClr val="B7B7B7"/>
              </a:solidFill>
            </c:spPr>
            <c:extLst>
              <c:ext xmlns:c16="http://schemas.microsoft.com/office/drawing/2014/chart" uri="{C3380CC4-5D6E-409C-BE32-E72D297353CC}">
                <c16:uniqueId val="{00000009-5801-49CF-AB5E-45C305DCF61D}"/>
              </c:ext>
            </c:extLst>
          </c:dPt>
          <c:dPt>
            <c:idx val="5"/>
            <c:bubble3D val="0"/>
            <c:spPr>
              <a:solidFill>
                <a:srgbClr val="666666"/>
              </a:solidFill>
            </c:spPr>
            <c:extLst>
              <c:ext xmlns:c16="http://schemas.microsoft.com/office/drawing/2014/chart" uri="{C3380CC4-5D6E-409C-BE32-E72D297353CC}">
                <c16:uniqueId val="{0000000B-5801-49CF-AB5E-45C305DCF61D}"/>
              </c:ext>
            </c:extLst>
          </c:dPt>
          <c:cat>
            <c:strRef>
              <c:f>'Sector Breakdown'!$B$10:$B$15</c:f>
              <c:strCache>
                <c:ptCount val="6"/>
                <c:pt idx="0">
                  <c:v>TMT</c:v>
                </c:pt>
                <c:pt idx="1">
                  <c:v>PNR</c:v>
                </c:pt>
                <c:pt idx="2">
                  <c:v>IND</c:v>
                </c:pt>
                <c:pt idx="3">
                  <c:v>CNR</c:v>
                </c:pt>
                <c:pt idx="4">
                  <c:v>HC</c:v>
                </c:pt>
                <c:pt idx="5">
                  <c:v>E/R</c:v>
                </c:pt>
              </c:strCache>
            </c:strRef>
          </c:cat>
          <c:val>
            <c:numRef>
              <c:f>'Sector Breakdown'!$C$10:$C$15</c:f>
              <c:numCache>
                <c:formatCode>"$"#,##0.00_);[Red]\("$"#,##0.00\)</c:formatCode>
                <c:ptCount val="6"/>
                <c:pt idx="0">
                  <c:v>111481.50935000001</c:v>
                </c:pt>
                <c:pt idx="1">
                  <c:v>11471.505944999999</c:v>
                </c:pt>
                <c:pt idx="2">
                  <c:v>16110.064159999998</c:v>
                </c:pt>
                <c:pt idx="3">
                  <c:v>9816.6678499999998</c:v>
                </c:pt>
                <c:pt idx="4">
                  <c:v>10242.755125</c:v>
                </c:pt>
                <c:pt idx="5">
                  <c:v>5549.23002</c:v>
                </c:pt>
              </c:numCache>
            </c:numRef>
          </c:val>
          <c:extLst>
            <c:ext xmlns:c16="http://schemas.microsoft.com/office/drawing/2014/chart" uri="{C3380CC4-5D6E-409C-BE32-E72D297353CC}">
              <c16:uniqueId val="{0000000C-5801-49CF-AB5E-45C305DCF61D}"/>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c:style val="2"/>
  <c:chart>
    <c:title>
      <c:tx>
        <c:rich>
          <a:bodyPr/>
          <a:lstStyle/>
          <a:p>
            <a:pPr lvl="0">
              <a:defRPr b="0" i="0">
                <a:solidFill>
                  <a:srgbClr val="757575"/>
                </a:solidFill>
                <a:latin typeface="Verdana"/>
              </a:defRPr>
            </a:pPr>
            <a:r>
              <a:rPr lang="en-US" b="0" i="0">
                <a:solidFill>
                  <a:srgbClr val="757575"/>
                </a:solidFill>
                <a:latin typeface="Verdana"/>
              </a:rPr>
              <a:t>GCI Returns by Sector (YoY%)</a:t>
            </a:r>
          </a:p>
        </c:rich>
      </c:tx>
      <c:overlay val="0"/>
    </c:title>
    <c:autoTitleDeleted val="0"/>
    <c:plotArea>
      <c:layout/>
      <c:barChart>
        <c:barDir val="col"/>
        <c:grouping val="clustered"/>
        <c:varyColors val="1"/>
        <c:ser>
          <c:idx val="0"/>
          <c:order val="0"/>
          <c:tx>
            <c:strRef>
              <c:f>'Sector Breakdown'!$E$9</c:f>
              <c:strCache>
                <c:ptCount val="1"/>
                <c:pt idx="0">
                  <c:v>YoY %</c:v>
                </c:pt>
              </c:strCache>
            </c:strRef>
          </c:tx>
          <c:spPr>
            <a:solidFill>
              <a:srgbClr val="4472C4"/>
            </a:solidFill>
            <a:ln cmpd="sng">
              <a:solidFill>
                <a:srgbClr val="000000"/>
              </a:solidFill>
            </a:ln>
          </c:spPr>
          <c:invertIfNegative val="1"/>
          <c:cat>
            <c:strRef>
              <c:f>'Sector Breakdown'!$B$10:$B$15</c:f>
              <c:strCache>
                <c:ptCount val="6"/>
                <c:pt idx="0">
                  <c:v>TMT</c:v>
                </c:pt>
                <c:pt idx="1">
                  <c:v>PNR</c:v>
                </c:pt>
                <c:pt idx="2">
                  <c:v>IND</c:v>
                </c:pt>
                <c:pt idx="3">
                  <c:v>CNR</c:v>
                </c:pt>
                <c:pt idx="4">
                  <c:v>HC</c:v>
                </c:pt>
                <c:pt idx="5">
                  <c:v>E/R</c:v>
                </c:pt>
              </c:strCache>
            </c:strRef>
          </c:cat>
          <c:val>
            <c:numRef>
              <c:f>'Sector Breakdown'!$E$10:$E$15</c:f>
              <c:numCache>
                <c:formatCode>0.00%</c:formatCode>
                <c:ptCount val="6"/>
                <c:pt idx="0">
                  <c:v>0.55620260244223396</c:v>
                </c:pt>
                <c:pt idx="1">
                  <c:v>-3.205151204962594E-2</c:v>
                </c:pt>
                <c:pt idx="2">
                  <c:v>0.36725567733155978</c:v>
                </c:pt>
                <c:pt idx="3">
                  <c:v>0.29666455800860481</c:v>
                </c:pt>
                <c:pt idx="4">
                  <c:v>0.29227784262416889</c:v>
                </c:pt>
                <c:pt idx="5">
                  <c:v>4.0607669038079913E-2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4A0-4DBC-AF20-A6C41037D281}"/>
            </c:ext>
          </c:extLst>
        </c:ser>
        <c:dLbls>
          <c:showLegendKey val="0"/>
          <c:showVal val="0"/>
          <c:showCatName val="0"/>
          <c:showSerName val="0"/>
          <c:showPercent val="0"/>
          <c:showBubbleSize val="0"/>
        </c:dLbls>
        <c:gapWidth val="150"/>
        <c:axId val="1941003007"/>
        <c:axId val="1548732221"/>
      </c:barChart>
      <c:catAx>
        <c:axId val="194100300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i="0">
                <a:solidFill>
                  <a:srgbClr val="000000"/>
                </a:solidFill>
                <a:latin typeface="+mn-lt"/>
              </a:defRPr>
            </a:pPr>
            <a:endParaRPr lang="en-US"/>
          </a:p>
        </c:txPr>
        <c:crossAx val="1548732221"/>
        <c:crosses val="autoZero"/>
        <c:auto val="1"/>
        <c:lblAlgn val="ctr"/>
        <c:lblOffset val="100"/>
        <c:noMultiLvlLbl val="1"/>
      </c:catAx>
      <c:valAx>
        <c:axId val="15487322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endParaRPr lang="en-US"/>
              </a:p>
            </c:rich>
          </c:tx>
          <c:overlay val="0"/>
        </c:title>
        <c:numFmt formatCode="0.00%" sourceLinked="0"/>
        <c:majorTickMark val="none"/>
        <c:minorTickMark val="none"/>
        <c:tickLblPos val="nextTo"/>
        <c:spPr>
          <a:ln/>
        </c:spPr>
        <c:txPr>
          <a:bodyPr/>
          <a:lstStyle/>
          <a:p>
            <a:pPr lvl="0">
              <a:defRPr b="0" i="0">
                <a:solidFill>
                  <a:srgbClr val="000000"/>
                </a:solidFill>
                <a:latin typeface="+mn-lt"/>
              </a:defRPr>
            </a:pPr>
            <a:endParaRPr lang="en-US"/>
          </a:p>
        </c:txPr>
        <c:crossAx val="1941003007"/>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c:style val="2"/>
  <c:chart>
    <c:title>
      <c:tx>
        <c:rich>
          <a:bodyPr/>
          <a:lstStyle/>
          <a:p>
            <a:pPr lvl="0">
              <a:defRPr b="0" i="0">
                <a:solidFill>
                  <a:srgbClr val="757575"/>
                </a:solidFill>
                <a:latin typeface="Verdana"/>
              </a:defRPr>
            </a:pPr>
            <a:r>
              <a:rPr lang="en-US" b="0" i="0">
                <a:solidFill>
                  <a:srgbClr val="757575"/>
                </a:solidFill>
                <a:latin typeface="Verdana"/>
              </a:rPr>
              <a:t>GCI vs Indexes (YoY%)</a:t>
            </a:r>
          </a:p>
        </c:rich>
      </c:tx>
      <c:overlay val="0"/>
    </c:title>
    <c:autoTitleDeleted val="0"/>
    <c:plotArea>
      <c:layout/>
      <c:barChart>
        <c:barDir val="col"/>
        <c:grouping val="clustered"/>
        <c:varyColors val="1"/>
        <c:ser>
          <c:idx val="0"/>
          <c:order val="0"/>
          <c:spPr>
            <a:solidFill>
              <a:srgbClr val="4472C4"/>
            </a:solidFill>
            <a:ln cmpd="sng">
              <a:solidFill>
                <a:srgbClr val="000000"/>
              </a:solidFill>
            </a:ln>
          </c:spPr>
          <c:invertIfNegative val="1"/>
          <c:dPt>
            <c:idx val="0"/>
            <c:invertIfNegative val="1"/>
            <c:bubble3D val="0"/>
            <c:spPr>
              <a:solidFill>
                <a:srgbClr val="B7B7B7"/>
              </a:solidFill>
              <a:ln cmpd="sng">
                <a:solidFill>
                  <a:srgbClr val="000000"/>
                </a:solidFill>
              </a:ln>
            </c:spPr>
            <c:extLst>
              <c:ext xmlns:c16="http://schemas.microsoft.com/office/drawing/2014/chart" uri="{C3380CC4-5D6E-409C-BE32-E72D297353CC}">
                <c16:uniqueId val="{00000001-D262-4669-B385-E4092463A69B}"/>
              </c:ext>
            </c:extLst>
          </c:dPt>
          <c:dPt>
            <c:idx val="1"/>
            <c:invertIfNegative val="1"/>
            <c:bubble3D val="0"/>
            <c:spPr>
              <a:solidFill>
                <a:srgbClr val="B7B7B7"/>
              </a:solidFill>
              <a:ln cmpd="sng">
                <a:solidFill>
                  <a:srgbClr val="000000"/>
                </a:solidFill>
              </a:ln>
            </c:spPr>
            <c:extLst>
              <c:ext xmlns:c16="http://schemas.microsoft.com/office/drawing/2014/chart" uri="{C3380CC4-5D6E-409C-BE32-E72D297353CC}">
                <c16:uniqueId val="{00000003-D262-4669-B385-E4092463A69B}"/>
              </c:ext>
            </c:extLst>
          </c:dPt>
          <c:dPt>
            <c:idx val="2"/>
            <c:invertIfNegative val="1"/>
            <c:bubble3D val="0"/>
            <c:spPr>
              <a:solidFill>
                <a:srgbClr val="B7B7B7"/>
              </a:solidFill>
              <a:ln cmpd="sng">
                <a:solidFill>
                  <a:srgbClr val="000000"/>
                </a:solidFill>
              </a:ln>
            </c:spPr>
            <c:extLst>
              <c:ext xmlns:c16="http://schemas.microsoft.com/office/drawing/2014/chart" uri="{C3380CC4-5D6E-409C-BE32-E72D297353CC}">
                <c16:uniqueId val="{00000005-D262-4669-B385-E4092463A69B}"/>
              </c:ext>
            </c:extLst>
          </c:dPt>
          <c:dPt>
            <c:idx val="3"/>
            <c:invertIfNegative val="1"/>
            <c:bubble3D val="0"/>
            <c:spPr>
              <a:solidFill>
                <a:srgbClr val="B7B7B7"/>
              </a:solidFill>
              <a:ln cmpd="sng">
                <a:solidFill>
                  <a:srgbClr val="000000"/>
                </a:solidFill>
              </a:ln>
            </c:spPr>
            <c:extLst>
              <c:ext xmlns:c16="http://schemas.microsoft.com/office/drawing/2014/chart" uri="{C3380CC4-5D6E-409C-BE32-E72D297353CC}">
                <c16:uniqueId val="{00000007-D262-4669-B385-E4092463A69B}"/>
              </c:ext>
            </c:extLst>
          </c:dPt>
          <c:cat>
            <c:strRef>
              <c:f>'Sector Breakdown'!$B$25:$B$30</c:f>
              <c:strCache>
                <c:ptCount val="6"/>
                <c:pt idx="0">
                  <c:v>S&amp;P 500</c:v>
                </c:pt>
                <c:pt idx="1">
                  <c:v>NASDAQ</c:v>
                </c:pt>
                <c:pt idx="2">
                  <c:v>Dow Jones</c:v>
                </c:pt>
                <c:pt idx="3">
                  <c:v>Russell 2000</c:v>
                </c:pt>
                <c:pt idx="5">
                  <c:v>GCI</c:v>
                </c:pt>
              </c:strCache>
            </c:strRef>
          </c:cat>
          <c:val>
            <c:numRef>
              <c:f>'Sector Breakdown'!$C$25:$C$30</c:f>
              <c:numCache>
                <c:formatCode>0.00%</c:formatCode>
                <c:ptCount val="6"/>
                <c:pt idx="0">
                  <c:v>0.32522835789910698</c:v>
                </c:pt>
                <c:pt idx="1">
                  <c:v>0.43266415463980101</c:v>
                </c:pt>
                <c:pt idx="2">
                  <c:v>0.21692823878960901</c:v>
                </c:pt>
                <c:pt idx="3">
                  <c:v>0.18790918993292399</c:v>
                </c:pt>
                <c:pt idx="5">
                  <c:v>0.44747490681992236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D262-4669-B385-E4092463A69B}"/>
            </c:ext>
          </c:extLst>
        </c:ser>
        <c:dLbls>
          <c:showLegendKey val="0"/>
          <c:showVal val="0"/>
          <c:showCatName val="0"/>
          <c:showSerName val="0"/>
          <c:showPercent val="0"/>
          <c:showBubbleSize val="0"/>
        </c:dLbls>
        <c:gapWidth val="150"/>
        <c:axId val="560547518"/>
        <c:axId val="1169214539"/>
      </c:barChart>
      <c:catAx>
        <c:axId val="560547518"/>
        <c:scaling>
          <c:orientation val="minMax"/>
        </c:scaling>
        <c:delete val="0"/>
        <c:axPos val="b"/>
        <c:title>
          <c:tx>
            <c:rich>
              <a:bodyPr/>
              <a:lstStyle/>
              <a:p>
                <a:pPr lvl="0">
                  <a:defRPr b="0" i="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i="0">
                <a:solidFill>
                  <a:srgbClr val="000000"/>
                </a:solidFill>
                <a:latin typeface="+mn-lt"/>
              </a:defRPr>
            </a:pPr>
            <a:endParaRPr lang="en-US"/>
          </a:p>
        </c:txPr>
        <c:crossAx val="1169214539"/>
        <c:crosses val="autoZero"/>
        <c:auto val="1"/>
        <c:lblAlgn val="ctr"/>
        <c:lblOffset val="100"/>
        <c:noMultiLvlLbl val="1"/>
      </c:catAx>
      <c:valAx>
        <c:axId val="11692145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endParaRPr lang="en-US"/>
              </a:p>
            </c:rich>
          </c:tx>
          <c:overlay val="0"/>
        </c:title>
        <c:numFmt formatCode="0.00%" sourceLinked="0"/>
        <c:majorTickMark val="none"/>
        <c:minorTickMark val="none"/>
        <c:tickLblPos val="nextTo"/>
        <c:spPr>
          <a:ln/>
        </c:spPr>
        <c:txPr>
          <a:bodyPr/>
          <a:lstStyle/>
          <a:p>
            <a:pPr lvl="0">
              <a:defRPr b="0" i="0">
                <a:solidFill>
                  <a:srgbClr val="000000"/>
                </a:solidFill>
                <a:latin typeface="+mn-lt"/>
              </a:defRPr>
            </a:pPr>
            <a:endParaRPr lang="en-US"/>
          </a:p>
        </c:txPr>
        <c:crossAx val="560547518"/>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266700</xdr:colOff>
      <xdr:row>5</xdr:row>
      <xdr:rowOff>28575</xdr:rowOff>
    </xdr:from>
    <xdr:ext cx="3848100" cy="2381250"/>
    <xdr:graphicFrame macro="">
      <xdr:nvGraphicFramePr>
        <xdr:cNvPr id="2035880563" name="Chart 1" title="Chart">
          <a:extLst>
            <a:ext uri="{FF2B5EF4-FFF2-40B4-BE49-F238E27FC236}">
              <a16:creationId xmlns:a16="http://schemas.microsoft.com/office/drawing/2014/main" id="{00000000-0008-0000-0100-0000731259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8</xdr:col>
      <xdr:colOff>266700</xdr:colOff>
      <xdr:row>19</xdr:row>
      <xdr:rowOff>19050</xdr:rowOff>
    </xdr:from>
    <xdr:ext cx="3848100" cy="2381250"/>
    <xdr:graphicFrame macro="">
      <xdr:nvGraphicFramePr>
        <xdr:cNvPr id="2009451708" name="Chart 2" title="Chart">
          <a:extLst>
            <a:ext uri="{FF2B5EF4-FFF2-40B4-BE49-F238E27FC236}">
              <a16:creationId xmlns:a16="http://schemas.microsoft.com/office/drawing/2014/main" id="{00000000-0008-0000-0100-0000BCCCC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12</xdr:col>
      <xdr:colOff>1019175</xdr:colOff>
      <xdr:row>5</xdr:row>
      <xdr:rowOff>28575</xdr:rowOff>
    </xdr:from>
    <xdr:ext cx="3848100" cy="2381250"/>
    <xdr:graphicFrame macro="">
      <xdr:nvGraphicFramePr>
        <xdr:cNvPr id="466259252" name="Chart 3" title="Chart">
          <a:extLst>
            <a:ext uri="{FF2B5EF4-FFF2-40B4-BE49-F238E27FC236}">
              <a16:creationId xmlns:a16="http://schemas.microsoft.com/office/drawing/2014/main" id="{00000000-0008-0000-0100-0000348DCA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80">
  <rv s="0">
    <v>https://www.bing.com/financeapi/forcetrigger?t=a1mou2&amp;q=XNAS%3aAAPL&amp;form=skydnc</v>
    <v>Learn more on Bing</v>
  </rv>
  <rv s="1">
    <v>en-US</v>
    <v>a1mou2</v>
    <v>268435456</v>
    <v>1</v>
    <v>Powered by Refinitiv</v>
    <v>0</v>
    <v>APPLE INC. (XNAS:AAPL)</v>
    <v>2</v>
    <v>3</v>
    <v>Finance</v>
    <v>4</v>
    <v>199.62</v>
    <v>147.69999999999999</v>
    <v>1.2892999999999999</v>
    <v>0.48</v>
    <v>-3.1750000000000002E-4</v>
    <v>2.7789999999999998E-3</v>
    <v>-5.5E-2</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174.03</v>
    <v>Computers, Phones &amp; Household Electronics</v>
    <v>Stock</v>
    <v>45363.850180057816</v>
    <v>0</v>
    <v>171.01</v>
    <v>2674996872400</v>
    <v>APPLE INC.</v>
    <v>APPLE INC.</v>
    <v>173.15</v>
    <v>26.879000000000001</v>
    <v>172.75</v>
    <v>173.23</v>
    <v>173.17500000000001</v>
    <v>15441880000</v>
    <v>AAPL</v>
    <v>APPLE INC. (XNAS:AAPL)</v>
    <v>59540031</v>
    <v>60849579</v>
    <v>1977</v>
  </rv>
  <rv s="2">
    <v>1</v>
  </rv>
  <rv s="0">
    <v>https://www.bing.com/financeapi/forcetrigger?t=a1mpqh&amp;q=XNYS%3aABBV&amp;form=skydnc</v>
    <v>Learn more on Bing</v>
  </rv>
  <rv s="1">
    <v>en-US</v>
    <v>a1mpqh</v>
    <v>268435456</v>
    <v>1</v>
    <v>Powered by Refinitiv</v>
    <v>0</v>
    <v>ABBVIE INC. (XNYS:ABBV)</v>
    <v>2</v>
    <v>3</v>
    <v>Finance</v>
    <v>4</v>
    <v>182.89</v>
    <v>130.96010000000001</v>
    <v>0.55489999999999995</v>
    <v>1.24</v>
    <v>0</v>
    <v>6.9030000000000003E-3</v>
    <v>0</v>
    <v>USD</v>
    <v>AbbVie Inc. is a diversified research-based biopharmaceutical company. The Company is engaged in the research and development, manufacturing, commercialization and sale of medicines and therapies. It offers products in therapeutic categories, including immunology products, which include Humira, Skyrizi and Rinvoq; oncology products, which include Imbruvica, ELAHERE, IMGN-151, Pivekimab Sunirine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and more. The Company offers a PINK1 activator which is designed to address mitochondrial dysfunction.</v>
    <v>50000</v>
    <v>New York Stock Exchange</v>
    <v>XNYS</v>
    <v>XNYS</v>
    <v>1 N Waukegan Rd, NORTH CHICAGO, IL, 60064 US</v>
    <v>182.89</v>
    <v>Pharmaceuticals</v>
    <v>Stock</v>
    <v>45363.847228298437</v>
    <v>3</v>
    <v>179.69</v>
    <v>319501971510</v>
    <v>ABBVIE INC.</v>
    <v>ABBVIE INC.</v>
    <v>179.72</v>
    <v>66.0548</v>
    <v>179.63</v>
    <v>180.87</v>
    <v>180.92</v>
    <v>1766473000</v>
    <v>ABBV</v>
    <v>ABBVIE INC. (XNYS:ABBV)</v>
    <v>5385040</v>
    <v>5204377</v>
    <v>2012</v>
  </rv>
  <rv s="2">
    <v>4</v>
  </rv>
  <rv s="0">
    <v>https://www.bing.com/financeapi/forcetrigger?t=a1mvm7&amp;q=XNYS%3aADM&amp;form=skydnc</v>
    <v>Learn more on Bing</v>
  </rv>
  <rv s="1">
    <v>en-US</v>
    <v>a1mvm7</v>
    <v>268435456</v>
    <v>1</v>
    <v>Powered by Refinitiv</v>
    <v>0</v>
    <v>ARCHER-DANIELS-MIDLAND COMPANY. (XNYS:ADM)</v>
    <v>2</v>
    <v>3</v>
    <v>Finance</v>
    <v>4</v>
    <v>87.3</v>
    <v>50.72</v>
    <v>0.74939999999999996</v>
    <v>2.15</v>
    <v>-3.5040000000000001E-4</v>
    <v>3.9155000000000002E-2</v>
    <v>-0.02</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42000</v>
    <v>New York Stock Exchange</v>
    <v>XNYS</v>
    <v>XNYS</v>
    <v>77 W. Wacker Dr., CHICAGO, IL, 60601 US</v>
    <v>58.46</v>
    <v>Food &amp; Tobacco</v>
    <v>Stock</v>
    <v>45363.847167753906</v>
    <v>6</v>
    <v>56.68</v>
    <v>30434736978</v>
    <v>ARCHER-DANIELS-MIDLAND COMPANY.</v>
    <v>ARCHER-DANIELS-MIDLAND COMPANY.</v>
    <v>57.08</v>
    <v>7.6466000000000003</v>
    <v>54.91</v>
    <v>57.06</v>
    <v>57.05</v>
    <v>533381300</v>
    <v>ADM</v>
    <v>ARCHER-DANIELS-MIDLAND COMPANY. (XNYS:ADM)</v>
    <v>10911863</v>
    <v>4915261</v>
    <v>1923</v>
  </rv>
  <rv s="2">
    <v>7</v>
  </rv>
  <rv s="0">
    <v>https://www.bing.com/financeapi/forcetrigger?t=bvs1oc&amp;q=XNAS%3aASO&amp;form=skydnc</v>
    <v>Learn more on Bing</v>
  </rv>
  <rv s="1">
    <v>en-US</v>
    <v>bvs1oc</v>
    <v>268435456</v>
    <v>1</v>
    <v>Powered by Refinitiv</v>
    <v>0</v>
    <v>ACADEMY SPORTS AND OUTDOORS, INC. (XNAS:ASO)</v>
    <v>2</v>
    <v>3</v>
    <v>Finance</v>
    <v>4</v>
    <v>75.73</v>
    <v>42.825000000000003</v>
    <v>1.3919999999999999</v>
    <v>-1.1399999999999999</v>
    <v>0</v>
    <v>-1.6664000000000002E-2</v>
    <v>0</v>
    <v>USD</v>
    <v>Academy Sports and Outdoors, Inc. is a full-line sporting goods and outdoor recreation retailer in the United States. Its private label brand portfolio consists of 20 brands, including Academy Sports + Outdoors, Magellan Outdoors, BCG, O'rageous, Game Winner, Outdoor Gourmet and Freely. The Company offers merchandise across four divisions, which include outdoors, sports and recreation, apparel and footwear. It offers products across various categories, which include camping, fishing, hunting, fitness, team sports, recreation, front end, outdoor and seasonal apparel, youth apparel, athletic apparel, licensed apparel, licensed apparel, work footwear, youth footwear, athletic footwear and team sports footwear. It operates 268 Academy Sports + Outdoors retail locations in 18 states and three distribution centers located in Katy, Texas, Twiggs County, Georgia and Cookeville, Tennessee. It also sells merchandise to customers across the United States through its academy.com website.</v>
    <v>22010</v>
    <v>Nasdaq Stock Market</v>
    <v>XNAS</v>
    <v>XNAS</v>
    <v>1800 North Mason Road, KATY, TX, 77449 US</v>
    <v>68.936000000000007</v>
    <v>Specialty Retailers</v>
    <v>Stock</v>
    <v>45363.847837325782</v>
    <v>9</v>
    <v>67.2</v>
    <v>4988163332</v>
    <v>ACADEMY SPORTS AND OUTDOORS, INC.</v>
    <v>ACADEMY SPORTS AND OUTDOORS, INC.</v>
    <v>68.27</v>
    <v>10.587999999999999</v>
    <v>68.41</v>
    <v>67.27</v>
    <v>67.27</v>
    <v>74151380</v>
    <v>ASO</v>
    <v>ACADEMY SPORTS AND OUTDOORS, INC. (XNAS:ASO)</v>
    <v>1079158</v>
    <v>978463</v>
    <v>2020</v>
  </rv>
  <rv s="2">
    <v>10</v>
  </rv>
  <rv s="0">
    <v>https://www.bing.com/financeapi/forcetrigger?t=a1oh27&amp;q=XNYS%3aBHP&amp;form=skydnc</v>
    <v>Learn more on Bing</v>
  </rv>
  <rv s="1">
    <v>en-US</v>
    <v>a1oh27</v>
    <v>268435456</v>
    <v>1</v>
    <v>Powered by Refinitiv</v>
    <v>0</v>
    <v>BHP GROUP LIMITED (XNYS:BHP)</v>
    <v>2</v>
    <v>3</v>
    <v>Finance</v>
    <v>4</v>
    <v>69.11</v>
    <v>54.28</v>
    <v>1.0769</v>
    <v>-0.125</v>
    <v>-4.4640000000000001E-3</v>
    <v>-2.2270000000000002E-3</v>
    <v>-0.25</v>
    <v>USD</v>
    <v>BHP Group Limited is an Australia-based resources company. The Company is a producer of commodities, including iron ore, copper, nickel, potash and metallurgical (steelmaking) coal. It is focused on offering a range of resources, which provides copper for renewable energy; nickel for electric vehicles; potash for sustainable farming, and iron ore and metallurgical coal for the steel needed for global infrastructure and the energy transition. Its segments include Copper, Iron Ore, and Coal. Its Copper segment is engaged in mining of copper, silver, zinc, molybdenum, uranium, and gold. Its Iron Ore segment is engaged in mining of iron ore. Its Coal segment is engaged in mining of metallurgical coal and energy coal. The Company is also focused on operating Olympic Dam, Prominent Hill, and Carrapateena underground copper-gold mines in South Australia. Its operations are situated in Australia, Europe, China, Japan, India, South Korea, rest of Asia, North America, South America, and others.</v>
    <v>40981</v>
    <v>New York Stock Exchange</v>
    <v>XNYS</v>
    <v>XNYS</v>
    <v>Shop 16 171 Collins St, MELBOURNE, VICTORIA, 3000 AU</v>
    <v>56.85</v>
    <v>Metals &amp; Mining</v>
    <v>Stock</v>
    <v>45363.84267833281</v>
    <v>12</v>
    <v>55.94</v>
    <v>143834500000</v>
    <v>BHP GROUP LIMITED</v>
    <v>BHP GROUP LIMITED</v>
    <v>56.75</v>
    <v>19.265499999999999</v>
    <v>56.13</v>
    <v>56.005000000000003</v>
    <v>55.75</v>
    <v>2534370000</v>
    <v>BHP</v>
    <v>BHP GROUP LIMITED (XNYS:BHP)</v>
    <v>2868247</v>
    <v>2499855</v>
    <v>1885</v>
  </rv>
  <rv s="2">
    <v>13</v>
  </rv>
  <rv s="0">
    <v>https://www.bing.com/financeapi/forcetrigger?t=a1otrw&amp;q=XNYS%3aBRK.B&amp;form=skydnc</v>
    <v>Learn more on Bing</v>
  </rv>
  <rv s="1">
    <v>en-US</v>
    <v>a1otrw</v>
    <v>268435456</v>
    <v>1</v>
    <v>Powered by Refinitiv</v>
    <v>0</v>
    <v>BERKSHIRE HATHAWAY INC. (XNYS:BRK.B)</v>
    <v>2</v>
    <v>3</v>
    <v>Finance</v>
    <v>4</v>
    <v>430</v>
    <v>292.42</v>
    <v>0.89580000000000004</v>
    <v>0.04</v>
    <v>8.1490000000000002E-4</v>
    <v>9.8820000000000006E-5</v>
    <v>0.33</v>
    <v>USD</v>
    <v>Berkshire Hathaway Inc. is a holding company owning subsidiaries engaged in various business activities. Its various business activities include insurance businesses conducted on both a primary basis and a reinsurance basis. Its segments include Insurance; Railroad (BNSF); Berkshire Hathaway Energy (BHE); Pilot Travel Centers (PTC);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PTC segment is an operator of travel centers in North America and a marketer of wholesale fuel.</v>
    <v>396500</v>
    <v>New York Stock Exchange</v>
    <v>XNYS</v>
    <v>XNYS</v>
    <v>3555 Farnam Street, OMAHA, NE, 68131 US</v>
    <v>407.2</v>
    <v>Consumer Goods Conglomerates</v>
    <v>Stock</v>
    <v>45363.849326133597</v>
    <v>15</v>
    <v>404.1</v>
    <v>874926900000</v>
    <v>BERKSHIRE HATHAWAY INC.</v>
    <v>BERKSHIRE HATHAWAY INC.</v>
    <v>406.78</v>
    <v>9.2096</v>
    <v>404.76</v>
    <v>404.8</v>
    <v>405.31</v>
    <v>1440490</v>
    <v>BRK.B</v>
    <v>BERKSHIRE HATHAWAY INC. (XNYS:BRK.B)</v>
    <v>2594798</v>
    <v>3684360</v>
    <v>1998</v>
  </rv>
  <rv s="2">
    <v>16</v>
  </rv>
  <rv s="0">
    <v>https://www.bing.com/financeapi/forcetrigger?t=a1p18m&amp;q=XNYS%3aBWA&amp;form=skydnc</v>
    <v>Learn more on Bing</v>
  </rv>
  <rv s="1">
    <v>en-US</v>
    <v>a1p18m</v>
    <v>268435456</v>
    <v>1</v>
    <v>Powered by Refinitiv</v>
    <v>0</v>
    <v>BORGWARNER INC. (XNYS:BWA)</v>
    <v>2</v>
    <v>3</v>
    <v>Finance</v>
    <v>5</v>
    <v>47.05</v>
    <v>29.51</v>
    <v>1.2969999999999999</v>
    <v>0.41</v>
    <v>0</v>
    <v>1.2761E-2</v>
    <v>0</v>
    <v>USD</v>
    <v>BorgWarner Inc. is a global provider of technology solutions for combustion, hybrid, and electric vehicles. The Company’s products help improve vehicle performance, propulsion efficiency, stability, and air quality. The Company manufactures and sells these products worldwide, primarily to original equipment manufacturers (OEMs) of light vehicles (passenger cars, sport-utility vehicles (SUVs), vans and light trucks). Its Air Management segment’s technologies include turbochargers, eBoosters, eTurbos, timing systems, emissions systems, thermal systems, gasoline ignition technology, and others. Its Drivetrain &amp; Battery Systems segment’s technologies include battery modules and systems, control modules, friction and mechanical clutch products for automatic transmissions, torque-management products and rear-wheel drive (RWD), and others. Its ePropulsion segment’s technologies include power electronics, such as inverters, onboard chargers, DC/DC converters and combination boxes.</v>
    <v>39900</v>
    <v>New York Stock Exchange</v>
    <v>XNYS</v>
    <v>XNYS</v>
    <v>3850 Hamlin Rd, AUBURN HILLS, MI, 48326 US</v>
    <v>32.615000000000002</v>
    <v>Automobiles &amp; Auto Parts</v>
    <v>Stock</v>
    <v>45363.836666099218</v>
    <v>18</v>
    <v>32.049999999999997</v>
    <v>7477041200</v>
    <v>BORGWARNER INC.</v>
    <v>BORGWARNER INC.</v>
    <v>32.25</v>
    <v>11.462199999999999</v>
    <v>32.130000000000003</v>
    <v>32.54</v>
    <v>32.54</v>
    <v>229780000</v>
    <v>BWA</v>
    <v>BORGWARNER INC. (XNYS:BWA)</v>
    <v>3015964</v>
    <v>3339046</v>
    <v>1987</v>
  </rv>
  <rv s="2">
    <v>19</v>
  </rv>
  <rv s="0">
    <v>https://www.bing.com/financeapi/forcetrigger?t=c4xjc7&amp;q=XNAS%3aCEG&amp;form=skydnc</v>
    <v>Learn more on Bing</v>
  </rv>
  <rv s="1">
    <v>en-US</v>
    <v>c4xjc7</v>
    <v>268435456</v>
    <v>1</v>
    <v>Powered by Refinitiv</v>
    <v>0</v>
    <v>CONSTELLATION ENERGY CORPORATION. (XNAS:CEG)</v>
    <v>2</v>
    <v>3</v>
    <v>Finance</v>
    <v>4</v>
    <v>185.58</v>
    <v>71.16</v>
    <v>0.88600000000000001</v>
    <v>0.46</v>
    <v>0</v>
    <v>2.7400000000000002E-3</v>
    <v>0</v>
    <v>USD</v>
    <v>Constellation Energy Corporation is a producer of carbon-free energy and a supplier of energy products and services. The Company’s segments include Mid-Atlantic, Midwest, New York, ERCOT and Other Power Regions. Its generation fleet of nuclear, hydro, wind, and solar generation facilities has the generating capacity to power the equivalent of 16 million homes, producing about 10% of the carbon-free energy in the United States. Through its integrated business operations, it sells electricity, natural gas, and other energy-related products and sustainable solutions to various types of customers. The Company serves industries, including distribution utilities, municipalities, cooperatives, and commercial, industrial, public sector, and residential customers in markets across multiple geographic regions. The Company owns a 44% ownership interest in the jointly owned South Texas Project (STP), a 2,645 megawatt, dual-unit nuclear plant located in Bay City, Texas.</v>
    <v>13871</v>
    <v>Nasdaq Stock Market</v>
    <v>XNAS</v>
    <v>XNAS</v>
    <v>1310 Point Street, BALTIMORE, MD, 21231 US</v>
    <v>169.06</v>
    <v>Electrical Utilities &amp; IPPs</v>
    <v>Stock</v>
    <v>45363.847228517967</v>
    <v>21</v>
    <v>164.2</v>
    <v>53317138605</v>
    <v>CONSTELLATION ENERGY CORPORATION.</v>
    <v>CONSTELLATION ENERGY CORPORATION.</v>
    <v>166.57</v>
    <v>33.559899999999999</v>
    <v>167.91</v>
    <v>168.37</v>
    <v>168.37</v>
    <v>316666500</v>
    <v>CEG</v>
    <v>CONSTELLATION ENERGY CORPORATION. (XNAS:CEG)</v>
    <v>2563362</v>
    <v>2567968</v>
    <v>2021</v>
  </rv>
  <rv s="2">
    <v>22</v>
  </rv>
  <rv s="0">
    <v>https://www.bing.com/financeapi/forcetrigger?t=a1ptk2&amp;q=XNYS%3aCLH&amp;form=skydnc</v>
    <v>Learn more on Bing</v>
  </rv>
  <rv s="1">
    <v>en-US</v>
    <v>a1ptk2</v>
    <v>268435456</v>
    <v>1</v>
    <v>Powered by Refinitiv</v>
    <v>0</v>
    <v>CLEAN HARBORS, INC. (XNYS:CLH)</v>
    <v>2</v>
    <v>3</v>
    <v>Finance</v>
    <v>5</v>
    <v>193.0334</v>
    <v>129.69999999999999</v>
    <v>1.2310000000000001</v>
    <v>0.73</v>
    <v>0</v>
    <v>3.9110000000000004E-3</v>
    <v>0</v>
    <v>USD</v>
    <v>Clean Harbors, Inc. is a provider of sustainable environmental and industrial services throughout North America. The Company also provides parts cleaning and related environmental services to general manufacturing, automotive and commercial customers in North America and re-refiner and recycler of used oil in North America. Its segments include Environmental Services and Safety-Kleen Sustainability Solutions (SKSS). The Environmental Services segment collects, transports, treats and disposes hazardous and non-hazardous waste, including resource recovery, physical treatment, fuel blending, incineration, landfill disposal, wastewater treatment, lab chemical disposal, explosives management and CleanPack services. SKSS segment offers recycled base and blended oil products and other automotive and industrial lubricants to end users including distributors and manufacturers of oil products and industrial plants. It collects used oil which serves as feedstock for its eight oil re-refineries.</v>
    <v>21021</v>
    <v>New York Stock Exchange</v>
    <v>XNYS</v>
    <v>XNYS</v>
    <v>42 Longwater Drive P.O. Box 9149, NORWELL, MA, 02061 US</v>
    <v>188.17</v>
    <v>Professional &amp; Commercial Services</v>
    <v>Stock</v>
    <v>45363.836654907034</v>
    <v>24</v>
    <v>185.22</v>
    <v>10106878327</v>
    <v>CLEAN HARBORS, INC.</v>
    <v>CLEAN HARBORS, INC.</v>
    <v>186.64</v>
    <v>26.867000000000001</v>
    <v>186.64</v>
    <v>187.37</v>
    <v>187.37</v>
    <v>53940750</v>
    <v>CLH</v>
    <v>CLEAN HARBORS, INC. (XNYS:CLH)</v>
    <v>359198</v>
    <v>332273</v>
    <v>1987</v>
  </rv>
  <rv s="2">
    <v>25</v>
  </rv>
  <rv s="0">
    <v>https://www.bing.com/financeapi/forcetrigger?t=a1q6k2&amp;q=XNAS%3aCOST&amp;form=skydnc</v>
    <v>Learn more on Bing</v>
  </rv>
  <rv s="1">
    <v>en-US</v>
    <v>a1q6k2</v>
    <v>268435456</v>
    <v>1</v>
    <v>Powered by Refinitiv</v>
    <v>0</v>
    <v>COSTCO WHOLESALE CORPORATION (XNAS:COST)</v>
    <v>2</v>
    <v>3</v>
    <v>Finance</v>
    <v>4</v>
    <v>787.08</v>
    <v>456.42070000000001</v>
    <v>0.77359999999999995</v>
    <v>22.8</v>
    <v>-5.2249999999999996E-4</v>
    <v>3.1928999999999999E-2</v>
    <v>-0.38500000000000001</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316000</v>
    <v>Nasdaq Stock Market</v>
    <v>XNAS</v>
    <v>XNAS</v>
    <v>999 Lake Dr, ISSAQUAH, WA, 98027- US</v>
    <v>740.05349999999999</v>
    <v>Diversified Retail</v>
    <v>Stock</v>
    <v>45363.850055103903</v>
    <v>27</v>
    <v>716.90499999999997</v>
    <v>326842387120</v>
    <v>COSTCO WHOLESALE CORPORATION</v>
    <v>COSTCO WHOLESALE CORPORATION</v>
    <v>717.08</v>
    <v>46.718600000000002</v>
    <v>714.08</v>
    <v>736.88</v>
    <v>736.495</v>
    <v>443549000</v>
    <v>COST</v>
    <v>COSTCO WHOLESALE CORPORATION (XNAS:COST)</v>
    <v>3563633</v>
    <v>2310542</v>
    <v>1987</v>
  </rv>
  <rv s="2">
    <v>28</v>
  </rv>
  <rv s="0">
    <v>https://www.bing.com/financeapi/forcetrigger?t=a1wmfr&amp;q=XNYS%3aCPRI&amp;form=skydnc</v>
    <v>Learn more on Bing</v>
  </rv>
  <rv s="1">
    <v>en-US</v>
    <v>a1wmfr</v>
    <v>268435456</v>
    <v>1</v>
    <v>Powered by Refinitiv</v>
    <v>0</v>
    <v>Capri Holdings Limited (XNYS:CPRI)</v>
    <v>2</v>
    <v>3</v>
    <v>Finance</v>
    <v>5</v>
    <v>54.52</v>
    <v>34.17</v>
    <v>2.0377000000000001</v>
    <v>0.34</v>
    <v>3.4160000000000002E-3</v>
    <v>7.3119999999999999E-3</v>
    <v>0.16</v>
    <v>USD</v>
    <v>Capri Holdings Limited is a holding company, which owns brands that are designers, marketers, distributors and retailers of women’s and men’s accessories, footwear and ready-to-wear bearing the Versace, Jimmy Choo and Michael Kors tradenames and related trademarks and logos. The Company operates in three segments: Versace, Jimmy Choo and Michael Kors. Versace segment include sale of Versace luxury ready-to-wear, accessories and footwear through directly operated Versace boutiques throughout the Americas, certain parts of Europe, Middle East and Africa (EMEA) and certain parts of Asia, as well as through Versace outlet stores and e-commerce sites. Jimmy Choo segment includes Jimmy Choo luxury footwear, handbags and small leather goods and accessories. Michael Kors segment includes the sale of Michael Kors products through four Michael Kors retail store formats: Collection stores, Lifestyle stores (including concessions), outlet stores and e-commerce sites.</v>
    <v>10400</v>
    <v>New York Stock Exchange</v>
    <v>XNYS</v>
    <v>XNYS</v>
    <v>90 Whitfield Street, 2Nd Floor, LONDON, UNITED KINGDOM-NA, W1T 4EZ GB</v>
    <v>46.9</v>
    <v>Specialty Retailers</v>
    <v>Stock</v>
    <v>45363.835431284373</v>
    <v>30</v>
    <v>46.4</v>
    <v>5459984228</v>
    <v>Capri Holdings Limited</v>
    <v>Capri Holdings Limited</v>
    <v>46.5</v>
    <v>26.061199999999999</v>
    <v>46.5</v>
    <v>46.84</v>
    <v>47</v>
    <v>116566700</v>
    <v>CPRI</v>
    <v>Capri Holdings Limited (XNYS:CPRI)</v>
    <v>422376</v>
    <v>954567</v>
    <v>2002</v>
  </rv>
  <rv s="2">
    <v>31</v>
  </rv>
  <rv s="0">
    <v>https://www.bing.com/financeapi/forcetrigger?t=a1qlnm&amp;q=XNYS%3aCVS&amp;form=skydnc</v>
    <v>Learn more on Bing</v>
  </rv>
  <rv s="1">
    <v>en-US</v>
    <v>a1qlnm</v>
    <v>268435456</v>
    <v>1</v>
    <v>Powered by Refinitiv</v>
    <v>0</v>
    <v>CVS HEALTH CORPORATION (XNYS:CVS)</v>
    <v>2</v>
    <v>3</v>
    <v>Finance</v>
    <v>4</v>
    <v>83.25</v>
    <v>64.41</v>
    <v>0.50119999999999998</v>
    <v>-0.73</v>
    <v>-1.33E-3</v>
    <v>-9.613E-3</v>
    <v>-0.1</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75.89</v>
    <v>Healthcare Providers &amp; Services</v>
    <v>Stock</v>
    <v>45363.84683129609</v>
    <v>33</v>
    <v>74.650000000000006</v>
    <v>94648024499</v>
    <v>CVS HEALTH CORPORATION</v>
    <v>CVS HEALTH CORPORATION</v>
    <v>75.819999999999993</v>
    <v>11.7433</v>
    <v>75.94</v>
    <v>75.209999999999994</v>
    <v>75.11</v>
    <v>1258450000</v>
    <v>CVS</v>
    <v>CVS HEALTH CORPORATION (XNYS:CVS)</v>
    <v>4635671</v>
    <v>10234939</v>
    <v>1996</v>
  </rv>
  <rv s="2">
    <v>34</v>
  </rv>
  <rv s="0">
    <v>https://www.bing.com/financeapi/forcetrigger?t=a1retc&amp;q=XNYS%3aDELL&amp;form=skydnc</v>
    <v>Learn more on Bing</v>
  </rv>
  <rv s="1">
    <v>en-US</v>
    <v>a1retc</v>
    <v>268435456</v>
    <v>1</v>
    <v>Powered by Refinitiv</v>
    <v>0</v>
    <v>DELL TECHNOLOGIES INC. (XNYS:DELL)</v>
    <v>2</v>
    <v>3</v>
    <v>Finance</v>
    <v>4</v>
    <v>131.06</v>
    <v>35.96</v>
    <v>0.89219999999999999</v>
    <v>-2.2999999999999998</v>
    <v>8.8070000000000002E-5</v>
    <v>-1.9852000000000002E-2</v>
    <v>0.01</v>
    <v>USD</v>
    <v>Dell Technologies Inc. is an end-to-end technology provider that designs, develops, manufactures, markets, sells, and supports a range of comprehensive and integrated solutions, products, and services. The Company operates through two segments: Infrastructure Solutions Group (ISG) and Client Solutions Group (CSG). Its ISG segment enables the Company’s customers’ digital transformation with solutions that address the fundamental shift to multi-cloud environments, machine learning, artificial intelligence, and data analytics. The Company’s storage portfolio includes traditional as well as next-generation storage solutions, including all-flash arrays, scale-out file, object platforms, hyperconverged infrastructure, and software-defined storage. This segment also offers attached software, peripherals, and services. The CSG segment includes sales to commercial and consumer customers of branded hardware and branded peripherals, as well as services and third-party software and peripherals.</v>
    <v>133000</v>
    <v>New York Stock Exchange</v>
    <v>XNYS</v>
    <v>XNYS</v>
    <v>ONE DELL WAY, ROUND ROCK, TX, 78682 US</v>
    <v>118.29</v>
    <v>Computers, Phones &amp; Household Electronics</v>
    <v>Stock</v>
    <v>45363.849889710153</v>
    <v>36</v>
    <v>113.4</v>
    <v>80211425312</v>
    <v>DELL TECHNOLOGIES INC.</v>
    <v>DELL TECHNOLOGIES INC.</v>
    <v>117.3</v>
    <v>26.573399999999999</v>
    <v>115.86</v>
    <v>113.56</v>
    <v>113.56</v>
    <v>706335200</v>
    <v>DELL</v>
    <v>DELL TECHNOLOGIES INC. (XNYS:DELL)</v>
    <v>6513430</v>
    <v>9099029</v>
    <v>2013</v>
  </rv>
  <rv s="2">
    <v>37</v>
  </rv>
  <rv s="0">
    <v>http://en.wikipedia.org/wiki/Public_domain</v>
    <v>Public domain</v>
  </rv>
  <rv s="0">
    <v>http://en.wikipedia.org/wiki/The_Walt_Disney_Company</v>
    <v>Wikipedia</v>
  </rv>
  <rv s="3">
    <v>39</v>
    <v>40</v>
  </rv>
  <rv s="4">
    <v>10</v>
    <v>https://www.bing.com/th?id=AMMS_0aa288ba528f6f45e3de87d97e250136&amp;qlt=95</v>
    <v>41</v>
    <v>0</v>
    <v>https://www.bing.com/images/search?form=xlimg&amp;q=the+walt+disney+company</v>
    <v>Image of THE WALT DISNEY COMPANY</v>
  </rv>
  <rv s="0">
    <v>https://www.bing.com/financeapi/forcetrigger?t=a1r2z2&amp;q=XNYS%3aDIS&amp;form=skydnc</v>
    <v>Learn more on Bing</v>
  </rv>
  <rv s="5">
    <v>en-US</v>
    <v>a1r2z2</v>
    <v>268435456</v>
    <v>1</v>
    <v>Powered by Refinitiv</v>
    <v>6</v>
    <v>THE WALT DISNEY COMPANY (XNYS:DIS)</v>
    <v>8</v>
    <v>9</v>
    <v>Finance</v>
    <v>4</v>
    <v>115.19</v>
    <v>78.730900000000005</v>
    <v>1.4121999999999999</v>
    <v>0.14000000000000001</v>
    <v>-7.5579999999999994E-4</v>
    <v>1.2470000000000001E-3</v>
    <v>-8.5000000000000006E-2</v>
    <v>USD</v>
    <v>The Walt Disney Company is a diversified entertainment company that operates in three segments: Entertainment, Sports and Experiences. The Entertainment segment encompasses the Company's non-sports focused global film, television and direct-to-consumer (DTC) video streaming content production and distribution activities. Its line of business includes Linear Networks, DTC, and Content Sales/Licensing. The Sports segment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 It also includes sale of branded merchandise.</v>
    <v>225000</v>
    <v>New York Stock Exchange</v>
    <v>XNYS</v>
    <v>XNYS</v>
    <v>500 S Buena Vista St, BURBANK, CA, 91521-0001 US</v>
    <v>112.95</v>
    <v>42</v>
    <v>Media &amp; Publishing</v>
    <v>Stock</v>
    <v>45363.850177013279</v>
    <v>43</v>
    <v>111.64</v>
    <v>206267709700</v>
    <v>THE WALT DISNEY COMPANY</v>
    <v>THE WALT DISNEY COMPANY</v>
    <v>112.515</v>
    <v>68.981800000000007</v>
    <v>112.31</v>
    <v>112.45</v>
    <v>112.375</v>
    <v>1834306000</v>
    <v>DIS</v>
    <v>THE WALT DISNEY COMPANY (XNYS:DIS)</v>
    <v>7581719</v>
    <v>14124923</v>
    <v>2018</v>
  </rv>
  <rv s="2">
    <v>44</v>
  </rv>
  <rv s="0">
    <v>https://www.bing.com/financeapi/forcetrigger?t=c6j9ur&amp;q=XNYS%3aEHAB&amp;form=skydnc</v>
    <v>Learn more on Bing</v>
  </rv>
  <rv s="6">
    <v>en-US</v>
    <v>c6j9ur</v>
    <v>268435456</v>
    <v>1</v>
    <v>Powered by Refinitiv</v>
    <v>11</v>
    <v>ENHABIT, INC. (XNYS:EHAB)</v>
    <v>2</v>
    <v>12</v>
    <v>Finance</v>
    <v>4</v>
    <v>14.59</v>
    <v>7.12</v>
    <v>0.69299999999999995</v>
    <v>0.53</v>
    <v>0</v>
    <v>5.3589000000000005E-2</v>
    <v>0</v>
    <v>USD</v>
    <v>Enhabit, Inc. is a provider of home health and hospice services. Its segments include Home Health and Hospice. The Home Health segment provides a range of Medicare-certified skilled home health services, including skilled nursing, physical, occupational and speech therapy, medical social work, and home health aide services. The Home Health segment has a diversity of referral sources, with patients arriving from acute care hospitals, inpatient rehabilitation facilities, surgery centers, assisted living facilities, and skilled nursing facilities, as well as community physicians. The Hospice segment provides hospice services to terminally ill patients and their families. Its Medicare-certified hospice operations provide a full range of hospice services, including pain and symptom management, palliative and dietary counseling, social worker visits, spiritual counseling, and family member bereavement counseling. The Company has over 252 home health agencies and 105 hospice agencies.</v>
    <v>11000</v>
    <v>New York Stock Exchange</v>
    <v>XNYS</v>
    <v>XNYS</v>
    <v>6688 N. Central Expressway, Suite 1300, DALLAS, TX, 75206 US</v>
    <v>10.46</v>
    <v>Healthcare Providers &amp; Services</v>
    <v>Stock</v>
    <v>45363.847228517967</v>
    <v>46</v>
    <v>9.6199999999999992</v>
    <v>522350432</v>
    <v>ENHABIT, INC.</v>
    <v>ENHABIT, INC.</v>
    <v>9.8800000000000008</v>
    <v>9.89</v>
    <v>10.42</v>
    <v>10.42</v>
    <v>50129600</v>
    <v>EHAB</v>
    <v>ENHABIT, INC. (XNYS:EHAB)</v>
    <v>626606</v>
    <v>758563</v>
    <v>2014</v>
  </rv>
  <rv s="2">
    <v>47</v>
  </rv>
  <rv s="0">
    <v>https://www.bing.com/financeapi/forcetrigger?t=ay5jz2&amp;q=XNYS%3aEHC&amp;form=skydnc</v>
    <v>Learn more on Bing</v>
  </rv>
  <rv s="1">
    <v>en-US</v>
    <v>ay5jz2</v>
    <v>268435456</v>
    <v>1</v>
    <v>Powered by Refinitiv</v>
    <v>0</v>
    <v>ENCOMPASS HEALTH CORPORATION (XNYS:EHC)</v>
    <v>2</v>
    <v>3</v>
    <v>Finance</v>
    <v>4</v>
    <v>78.114999999999995</v>
    <v>51.15</v>
    <v>0.94750000000000001</v>
    <v>1.175</v>
    <v>0</v>
    <v>1.5507E-2</v>
    <v>0</v>
    <v>USD</v>
    <v>Encompass Health Corporation is an owner and operator of inpatient rehabilitation hospitals in the United States. The Company provides specialized rehabilitative treatment on an inpatient basis. It operates hospitals in 37 states and Puerto Rico, with concentrations in Florida and Texas. It operates 161 inpatient rehabilitation hospitals. Its inpatient rehabilitation hospitals offer specialized rehabilitative care across an array of diagnoses and deliver comprehensive patient care services. The Company provides care to patients who suffer from cognitive disabilities or injuries due to medical conditions, such as strokes, hip fractures and a variety of debilitating neurological conditions. Its hospitals also treat patients with or recovering from the COVID-19 virus. Its hospitals have settings for treating the debilitating effects of the COVID-19 virus, such as significant muscle weakness, cognitive impairments, shortness of breath with activity and malnutrition.</v>
    <v>22356</v>
    <v>New York Stock Exchange</v>
    <v>XNYS</v>
    <v>XNYS</v>
    <v>9001 Liberty Pkwy, BIRMINGHAM, AL, 35242-7509 US</v>
    <v>76.959999999999994</v>
    <v>Healthcare Providers &amp; Services</v>
    <v>Stock</v>
    <v>45363.847228066406</v>
    <v>49</v>
    <v>75.319999999999993</v>
    <v>7705272299</v>
    <v>ENCOMPASS HEALTH CORPORATION</v>
    <v>ENCOMPASS HEALTH CORPORATION</v>
    <v>75.53</v>
    <v>21.2333</v>
    <v>75.77</v>
    <v>76.944999999999993</v>
    <v>76.95</v>
    <v>100140000</v>
    <v>EHC</v>
    <v>ENCOMPASS HEALTH CORPORATION (XNYS:EHC)</v>
    <v>584748</v>
    <v>660709</v>
    <v>1984</v>
  </rv>
  <rv s="2">
    <v>50</v>
  </rv>
  <rv s="0">
    <v>https://www.bing.com/financeapi/forcetrigger?t=a1rzh7&amp;q=XNAS%3aENPH&amp;form=skydnc</v>
    <v>Learn more on Bing</v>
  </rv>
  <rv s="1">
    <v>en-US</v>
    <v>a1rzh7</v>
    <v>268435456</v>
    <v>1</v>
    <v>Powered by Refinitiv</v>
    <v>0</v>
    <v>ENPHASE ENERGY, INC. (XNAS:ENPH)</v>
    <v>2</v>
    <v>3</v>
    <v>Finance</v>
    <v>4</v>
    <v>231.42</v>
    <v>73.489999999999995</v>
    <v>1.4776</v>
    <v>-7.69</v>
    <v>1.9009999999999999E-3</v>
    <v>-5.9756000000000004E-2</v>
    <v>0.23</v>
    <v>USD</v>
    <v>Enphase Energy, Inc. is a global energy technology company. The Company designs, develops, manufactures and sell home energy solutions that manage energy generation, energy storage and control and communications on one intelligent platform. Its Enphase Energy System brings a high-technology, networked approach to solar generation plus energy storage, by leveraging its design across power electronics, semiconductors and cloud-based software technologies. Its integrated approach to energy solutions maximizes a home’s energy potential while providing advanced monitoring and remote maintenance capabilities. The Enphase Energy System uses a single technology platform for seamless management of the entire system, including IQ Microinverters, IQ Batteries, IQ EV Charger, and other hardware. It has a built-in system redundancy in both photovoltaic (PV) generation and energy storage. Its commercial systems have been deployed in more than 150 countries.</v>
    <v>3157</v>
    <v>Nasdaq Stock Market</v>
    <v>XNAS</v>
    <v>XNAS</v>
    <v>47281 Bayside Parkway, FREMONT, CA, 94538 US</v>
    <v>127.9299</v>
    <v>Renewable Energy</v>
    <v>Stock</v>
    <v>45363.849951932811</v>
    <v>52</v>
    <v>119.05</v>
    <v>16426875300</v>
    <v>ENPHASE ENERGY, INC.</v>
    <v>ENPHASE ENERGY, INC.</v>
    <v>127.46</v>
    <v>42.427300000000002</v>
    <v>128.69</v>
    <v>121</v>
    <v>121.23</v>
    <v>135759300</v>
    <v>ENPH</v>
    <v>ENPHASE ENERGY, INC. (XNAS:ENPH)</v>
    <v>4463457</v>
    <v>4732035</v>
    <v>2006</v>
  </rv>
  <rv s="2">
    <v>53</v>
  </rv>
  <rv s="0">
    <v>https://www.bing.com/financeapi/forcetrigger?t=a1s2oc&amp;q=XNYS%3aEPD&amp;form=skydnc</v>
    <v>Learn more on Bing</v>
  </rv>
  <rv s="7">
    <v>en-US</v>
    <v>a1s2oc</v>
    <v>268435456</v>
    <v>1</v>
    <v>Powered by Refinitiv</v>
    <v>13</v>
    <v>ENTERPRISE PRODUCTS PARTNERS UNT (XNYS:EPD)</v>
    <v>14</v>
    <v>15</v>
    <v>Finance</v>
    <v>16</v>
    <v>28.5</v>
    <v>24.66</v>
    <v>0.30499999999999999</v>
    <v>-3.793E-4</v>
    <v>1.0831E-2</v>
    <v>-1.0800000000000001E-2</v>
    <v>USD</v>
    <v>New York Stock Exchange</v>
    <v>XNYS</v>
    <v>28.5</v>
    <v>ETF</v>
    <v>45363.848388957813</v>
    <v>55</v>
    <v>28.1</v>
    <v>ENTERPRISE PRODUCTS PARTNERS UNT</v>
    <v>28.25</v>
    <v>28.16</v>
    <v>28.465</v>
    <v>28.459199999999999</v>
    <v>EPD</v>
    <v>ENTERPRISE PRODUCTS PARTNERS UNT (XNYS:EPD)</v>
    <v>4341811</v>
    <v>4613782</v>
  </rv>
  <rv s="2">
    <v>56</v>
  </rv>
  <rv s="0">
    <v>https://www.bing.com/financeapi/forcetrigger?t=a1shjc&amp;q=XNAS%3aEXC&amp;form=skydnc</v>
    <v>Learn more on Bing</v>
  </rv>
  <rv s="1">
    <v>en-US</v>
    <v>a1shjc</v>
    <v>268435456</v>
    <v>1</v>
    <v>Powered by Refinitiv</v>
    <v>0</v>
    <v>EXELON CORPORATION (XNAS:EXC)</v>
    <v>2</v>
    <v>3</v>
    <v>Finance</v>
    <v>4</v>
    <v>43.71</v>
    <v>33.344999999999999</v>
    <v>0.5252</v>
    <v>-0.18</v>
    <v>0</v>
    <v>-4.8399999999999997E-3</v>
    <v>0</v>
    <v>USD</v>
    <v>Exelon Corporation is a utility services holding company. The Company is engaged in the energy distribution and transmission businesses through Commonwealth Edison Company (ComEd), Commonwealth Edison Company (PECO), Baltimore Gas and Electric Company (BGE), Potomac Electric Power Company (Pepco), Delmarva Power &amp; Light Company (DPL), and Atlantic City Electric Company (ACE). The Company operates through six segments: ComEd, PECO, BGE, Pepco, DPL, and ACE. ComEd is engaged in purchasing and regulating retail sales of electricity. PECO is engaged in purchasing and regulating the retail sale of electricity and natural gas. Through its business services subsidiary, Exelon Business Services Company, LLC (BSC), the Company provides its subsidiaries with a variety of support services at cost, including legal, human resources, financial, information technology, and supply management services.</v>
    <v>19962</v>
    <v>Nasdaq Stock Market</v>
    <v>XNAS</v>
    <v>XNAS</v>
    <v>PO BOX 805398, CHICAGO, IL, 60680-5398 US</v>
    <v>37.11</v>
    <v>Electrical Utilities &amp; IPPs</v>
    <v>Stock</v>
    <v>45363.849376214843</v>
    <v>58</v>
    <v>36.774999999999999</v>
    <v>36992919885</v>
    <v>EXELON CORPORATION</v>
    <v>EXELON CORPORATION</v>
    <v>37</v>
    <v>16.281099999999999</v>
    <v>37.19</v>
    <v>37.01</v>
    <v>37.01</v>
    <v>999538500</v>
    <v>EXC</v>
    <v>EXELON CORPORATION (XNAS:EXC)</v>
    <v>10754186</v>
    <v>6930618</v>
    <v>1999</v>
  </rv>
  <rv s="2">
    <v>59</v>
  </rv>
  <rv s="0">
    <v>https://www.bing.com/financeapi/forcetrigger?t=a1sp52&amp;q=XNYS%3aFCX&amp;form=skydnc</v>
    <v>Learn more on Bing</v>
  </rv>
  <rv s="1">
    <v>en-US</v>
    <v>a1sp52</v>
    <v>268435456</v>
    <v>1</v>
    <v>Powered by Refinitiv</v>
    <v>0</v>
    <v>FREEPORT-MCMORAN INC. (XNYS:FCX)</v>
    <v>2</v>
    <v>3</v>
    <v>Finance</v>
    <v>4</v>
    <v>44.7</v>
    <v>32.825000000000003</v>
    <v>2.0152999999999999</v>
    <v>-0.06</v>
    <v>-2.4780000000000001E-4</v>
    <v>-1.4840000000000001E-3</v>
    <v>-0.01</v>
    <v>USD</v>
    <v>Freeport-McMoRan Inc. is an international mining company. The Company operates geographically diverse assets with significant proven and probable reserves of copper, gold and molybdenum. Its portfolio of assets includes the Grasberg minerals district in Indonesia, which is a copper and gold deposits, and significant mining operations in North America and South America, including the Morenci minerals district in Arizona and the Cerro Verde operation in Peru. Its segments include the Morenci, Cerro Verde and Grasberg (Indonesia mining) copper mines, the Rod &amp; Refining operations and Atlantic Copper Smelting &amp; Refining. In North America, it operates seven copper mines: Morenci, Bagdad, Safford (including Lone Star), Sierrita and Miami in Arizona, and Chino and Tyrone in New Mexico, and two molybdenum mines: Henderson and Climax in Colorado. In South America, it also operates the El Abra copper mine. The Morenci mine produces copper cathode, copper concentrate and molybdenum concentrate.</v>
    <v>27200</v>
    <v>New York Stock Exchange</v>
    <v>XNYS</v>
    <v>XNYS</v>
    <v>333 N Central Ave, PHOENIX, AZ, 85004 US</v>
    <v>40.78</v>
    <v>Metals &amp; Mining</v>
    <v>Stock</v>
    <v>45363.849203344529</v>
    <v>61</v>
    <v>39.799999999999997</v>
    <v>57892747240</v>
    <v>FREEPORT-MCMORAN INC.</v>
    <v>FREEPORT-MCMORAN INC.</v>
    <v>40.674999999999997</v>
    <v>31.7425</v>
    <v>40.42</v>
    <v>40.36</v>
    <v>40.35</v>
    <v>1434409000</v>
    <v>FCX</v>
    <v>FREEPORT-MCMORAN INC. (XNYS:FCX)</v>
    <v>8793001</v>
    <v>11531752</v>
    <v>1987</v>
  </rv>
  <rv s="2">
    <v>62</v>
  </rv>
  <rv s="0">
    <v>https://www.bing.com/financeapi/forcetrigger?t=a1sqr7&amp;q=XNYS%3aFDX&amp;form=skydnc</v>
    <v>Learn more on Bing</v>
  </rv>
  <rv s="1">
    <v>en-US</v>
    <v>a1sqr7</v>
    <v>268435456</v>
    <v>1</v>
    <v>Powered by Refinitiv</v>
    <v>0</v>
    <v>FEDEX CORPORATION (XNYS:FDX)</v>
    <v>2</v>
    <v>3</v>
    <v>Finance</v>
    <v>4</v>
    <v>285.52999999999997</v>
    <v>190.83</v>
    <v>1.2063999999999999</v>
    <v>1.61</v>
    <v>2.7050000000000004E-3</v>
    <v>6.3709999999999999E-3</v>
    <v>0.68769999999999998</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258.20999999999998</v>
    <v>Freight &amp; Logistics Services</v>
    <v>Stock</v>
    <v>45363.846619339842</v>
    <v>64</v>
    <v>253.19</v>
    <v>63550161675</v>
    <v>FEDEX CORPORATION</v>
    <v>FEDEX CORPORATION</v>
    <v>253.25</v>
    <v>14.9489</v>
    <v>252.7</v>
    <v>254.31</v>
    <v>254.90770000000001</v>
    <v>249892500</v>
    <v>FDX</v>
    <v>FEDEX CORPORATION (XNYS:FDX)</v>
    <v>1896297</v>
    <v>1721994</v>
    <v>1997</v>
  </rv>
  <rv s="2">
    <v>65</v>
  </rv>
  <rv s="0">
    <v>https://www.bing.com/financeapi/forcetrigger?t=a1tg3m&amp;q=XNAS%3aFTNT&amp;form=skydnc</v>
    <v>Learn more on Bing</v>
  </rv>
  <rv s="1">
    <v>en-US</v>
    <v>a1tg3m</v>
    <v>268435456</v>
    <v>1</v>
    <v>Powered by Refinitiv</v>
    <v>0</v>
    <v>FORTINET, INC. (XNAS:FTNT)</v>
    <v>2</v>
    <v>3</v>
    <v>Finance</v>
    <v>4</v>
    <v>81.239999999999995</v>
    <v>44.12</v>
    <v>1.0861000000000001</v>
    <v>-0.12</v>
    <v>5.6070000000000002E-4</v>
    <v>-1.6789999999999999E-3</v>
    <v>0.04</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13568</v>
    <v>Nasdaq Stock Market</v>
    <v>XNAS</v>
    <v>XNAS</v>
    <v>909 Kifer Road, SUNNYVALE, CA, 94086 US</v>
    <v>71.95</v>
    <v>Software &amp; IT Services</v>
    <v>Stock</v>
    <v>45363.84937601797</v>
    <v>67</v>
    <v>70.739999999999995</v>
    <v>54434624406</v>
    <v>FORTINET, INC.</v>
    <v>FORTINET, INC.</v>
    <v>71.680000000000007</v>
    <v>49.030500000000004</v>
    <v>71.459999999999994</v>
    <v>71.34</v>
    <v>71.38</v>
    <v>763030900</v>
    <v>FTNT</v>
    <v>FORTINET, INC. (XNAS:FTNT)</v>
    <v>3827639</v>
    <v>6793674</v>
    <v>2000</v>
  </rv>
  <rv s="2">
    <v>68</v>
  </rv>
  <rv s="0">
    <v>https://www.bing.com/financeapi/forcetrigger?t=a1twnm&amp;q=ARCX%3aGLD&amp;form=skydnc</v>
    <v>Learn more on Bing</v>
  </rv>
  <rv s="8">
    <v>en-US</v>
    <v>a1twnm</v>
    <v>268435456</v>
    <v>1</v>
    <v>Powered by Refinitiv</v>
    <v>17</v>
    <v>SPDR Gold (ARCX:GLD)</v>
    <v>14</v>
    <v>18</v>
    <v>Finance</v>
    <v>16</v>
    <v>203.3</v>
    <v>168.3</v>
    <v>0.83599999999999997</v>
    <v>-2.2200000000000002</v>
    <v>-4.0039999999999997E-4</v>
    <v>-1.099E-2</v>
    <v>-0.08</v>
    <v>USD</v>
    <v>NYSE Arca</v>
    <v>ARCX</v>
    <v>4.0000000000000001E-3</v>
    <v>200.6277</v>
    <v>ETF</v>
    <v>45363.849989988281</v>
    <v>70</v>
    <v>199.16</v>
    <v>54168745292.82</v>
    <v>SPDR Gold</v>
    <v>200.42</v>
    <v>202</v>
    <v>199.78</v>
    <v>199.71</v>
    <v>GLD</v>
    <v>SPDR Gold (ARCX:GLD)</v>
    <v>9363439</v>
    <v>6820065</v>
  </rv>
  <rv s="2">
    <v>71</v>
  </rv>
  <rv s="0">
    <v>https://www.bing.com/financeapi/forcetrigger?t=a1u3p2&amp;q=XNAS%3aGOOG&amp;form=skydnc</v>
    <v>Learn more on Bing</v>
  </rv>
  <rv s="1">
    <v>en-US</v>
    <v>a1u3p2</v>
    <v>268435456</v>
    <v>1</v>
    <v>Powered by Refinitiv</v>
    <v>0</v>
    <v>ALPHABET INC. (XNAS:GOOG)</v>
    <v>2</v>
    <v>3</v>
    <v>Finance</v>
    <v>4</v>
    <v>155.19999999999999</v>
    <v>89.94</v>
    <v>1.0441</v>
    <v>0.68</v>
    <v>-3.5810000000000003E-4</v>
    <v>4.8939999999999999E-3</v>
    <v>-0.05</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140.28</v>
    <v>Software &amp; IT Services</v>
    <v>Stock</v>
    <v>45363.850050775</v>
    <v>73</v>
    <v>138.21</v>
    <v>1718853000000</v>
    <v>ALPHABET INC.</v>
    <v>ALPHABET INC.</v>
    <v>138.25</v>
    <v>23.9452</v>
    <v>138.94</v>
    <v>139.62</v>
    <v>139.57</v>
    <v>12433000000</v>
    <v>GOOG</v>
    <v>ALPHABET INC. (XNAS:GOOG)</v>
    <v>18950003</v>
    <v>24179507</v>
    <v>2015</v>
  </rv>
  <rv s="2">
    <v>74</v>
  </rv>
  <rv s="0">
    <v>https://www.bing.com/financeapi/forcetrigger?t=c2u2kr&amp;q=XNYS%3aGXO&amp;form=skydnc</v>
    <v>Learn more on Bing</v>
  </rv>
  <rv s="1">
    <v>en-US</v>
    <v>c2u2kr</v>
    <v>268435456</v>
    <v>1</v>
    <v>Powered by Refinitiv</v>
    <v>0</v>
    <v>GXO LOGISTICS, INC. (XNYS:GXO)</v>
    <v>2</v>
    <v>3</v>
    <v>Finance</v>
    <v>4</v>
    <v>67.569999999999993</v>
    <v>43.57</v>
    <v>1.766</v>
    <v>-0.4</v>
    <v>0</v>
    <v>-8.1220000000000007E-3</v>
    <v>0</v>
    <v>USD</v>
    <v>GXO Logistics, Inc. is a contract logistics provider. The Company provides its customers with value-added warehousing and distribution, order fulfillment, e-commerce, reverse logistics and other supply chain services to deliver technology-enabled customized solutions. It offers its technology in three areas: labor and inventory management productivity, intelligent warehouse automation and predictive analytics, all of which are integrated through its warehouse management platform. The Company has three reporting units: Americas and Asia-Pacific; United Kingdom, and Ireland and Continental Europe. It operates approximately 974 facilities worldwide totaling 199 million square feet of space, primarily on behalf of large corporations that have outsourced their warehousing, distribution and other related activities to the Company. It serves a range of customers in various industries, such as e-commerce, omnichannel retail, technology and consumer electronics, food and beverage, and others.</v>
    <v>87000</v>
    <v>New York Stock Exchange</v>
    <v>XNYS</v>
    <v>XNYS</v>
    <v>Two American Lane, GREENWICH, CT, 06831 US</v>
    <v>49.39</v>
    <v>Freight &amp; Logistics Services</v>
    <v>Stock</v>
    <v>45363.847228506253</v>
    <v>76</v>
    <v>48.594999999999999</v>
    <v>5825963355</v>
    <v>GXO LOGISTICS, INC.</v>
    <v>GXO LOGISTICS, INC.</v>
    <v>49.07</v>
    <v>25.709399999999999</v>
    <v>49.25</v>
    <v>48.85</v>
    <v>48.85</v>
    <v>119262300</v>
    <v>GXO</v>
    <v>GXO LOGISTICS, INC. (XNYS:GXO)</v>
    <v>751168</v>
    <v>979023</v>
    <v>2021</v>
  </rv>
  <rv s="2">
    <v>77</v>
  </rv>
  <rv s="0">
    <v>https://www.bing.com/financeapi/forcetrigger?t=a1uozr&amp;q=XNYS%3aHII&amp;form=skydnc</v>
    <v>Learn more on Bing</v>
  </rv>
  <rv s="1">
    <v>en-US</v>
    <v>a1uozr</v>
    <v>268435456</v>
    <v>1</v>
    <v>Powered by Refinitiv</v>
    <v>0</v>
    <v>HUNTINGTON INGALLS INDUSTRIES, INC. (XNYS:HII)</v>
    <v>2</v>
    <v>3</v>
    <v>Finance</v>
    <v>5</v>
    <v>299.5</v>
    <v>188.51</v>
    <v>0.60399999999999998</v>
    <v>1.63</v>
    <v>0</v>
    <v>5.6489999999999995E-3</v>
    <v>0</v>
    <v>USD</v>
    <v>Huntington Ingalls Industries, Inc. is a global, all-domain defense provider. The Company delivers ships and all-domain solutions in service of the nation. It delivers critical capabilities extending from ships to unmanned systems, cyber, ISR, AI/ML and synthetic training. It operates through three segments: Ingalls Shipbuilding (Ingalls), Newport News Shipbuilding (Newport News), and Mission Technologies. Through its Ingalls segment, the Company designs and constructs non-nuclear ships for the United States Navy and Coast Guard, including amphibious assault ships, expeditionary warfare ships, surface combatants, and national security cutters (NSC). The core business of its Newport News segment is designing and constructing nuclear-powered aircraft carriers and submarines, and the refueling and overhaul and the inactivation of nuclear-powered aircraft carriers. Its Mission Technologies segment develops integrated solutions that enable connected, all-domain force.</v>
    <v>44000</v>
    <v>New York Stock Exchange</v>
    <v>XNYS</v>
    <v>XNYS</v>
    <v>909-7, 7J2, 4101 Washington Avenue, NEWPORT NEWS, VA, 23607 US</v>
    <v>290.69</v>
    <v>Aerospace &amp; Defense</v>
    <v>Stock</v>
    <v>45363.836652267972</v>
    <v>79</v>
    <v>285.84500000000003</v>
    <v>11487634610</v>
    <v>HUNTINGTON INGALLS INDUSTRIES, INC.</v>
    <v>HUNTINGTON INGALLS INDUSTRIES, INC.</v>
    <v>287.8</v>
    <v>16.854800000000001</v>
    <v>288.52999999999997</v>
    <v>290.16000000000003</v>
    <v>290.16000000000003</v>
    <v>39590690</v>
    <v>HII</v>
    <v>HUNTINGTON INGALLS INDUSTRIES, INC. (XNYS:HII)</v>
    <v>176152</v>
    <v>260747</v>
    <v>2010</v>
  </rv>
  <rv s="2">
    <v>80</v>
  </rv>
  <rv s="0">
    <v>https://www.bing.com/financeapi/forcetrigger?t=a1w36h&amp;q=XNYS%3aJ&amp;form=skydnc</v>
    <v>Learn more on Bing</v>
  </rv>
  <rv s="1">
    <v>en-US</v>
    <v>a1w36h</v>
    <v>268435456</v>
    <v>1</v>
    <v>Powered by Refinitiv</v>
    <v>0</v>
    <v>JACOBS SOLUTIONS INC. (XNYS:J)</v>
    <v>2</v>
    <v>3</v>
    <v>Finance</v>
    <v>5</v>
    <v>149.5</v>
    <v>109</v>
    <v>0.72709999999999997</v>
    <v>1.33</v>
    <v>-1.2199999999999999E-2</v>
    <v>8.9959999999999988E-3</v>
    <v>-1.82</v>
    <v>USD</v>
    <v>Jacobs Solutions Inc. provides a range of professional services, including consulting, technical, engineering, scientific, and project delivery, for the government and private sectors. Its segments include Critical Mission Solutions (CMS), People &amp; Places Solutions (P&amp;PS), Divergent Solutions (DVS), and PA Consulting (PA). CMS segment provides a range of solutions, such as information and cyber warfare, digital transformation and modernization, national security and defense, space exploration, digital asset management and the green energy transition. P&amp;PS segment provides end-to-end solutions for clients, such as climate change, energy transition, connected mobility, integrated water management, smart cities, and biopharmaceutical manufacturing. DVS segment serves as the core foundation for developing and delivering advanced cloud, cyber, data and digital technologies. PA Consulting segment provides consulting services to sectors such as security, energy, health, transport, and others.</v>
    <v>60000</v>
    <v>New York Stock Exchange</v>
    <v>XNYS</v>
    <v>XNYS</v>
    <v>1999 Bryan Street, Suite 3500, DALLAS, TX, 75201 US</v>
    <v>149.43</v>
    <v>Professional &amp; Commercial Services</v>
    <v>Stock</v>
    <v>45363.838001550779</v>
    <v>82</v>
    <v>147.22</v>
    <v>18744616180</v>
    <v>JACOBS SOLUTIONS INC.</v>
    <v>JACOBS SOLUTIONS INC.</v>
    <v>148.13</v>
    <v>26.364999999999998</v>
    <v>147.85</v>
    <v>149.18</v>
    <v>147.36000000000001</v>
    <v>125651000</v>
    <v>J</v>
    <v>JACOBS SOLUTIONS INC. (XNYS:J)</v>
    <v>385490</v>
    <v>697234</v>
    <v>2022</v>
  </rv>
  <rv s="2">
    <v>83</v>
  </rv>
  <rv s="0">
    <v>http://zh.wikipedia.org/wiki/捷普科技</v>
    <v>Wikipedia</v>
  </rv>
  <rv s="3">
    <v>39</v>
    <v>85</v>
  </rv>
  <rv s="4">
    <v>10</v>
    <v>https://www.bing.com/th?id=AMMS_d8440c163e9148c41f419348ca63886c&amp;qlt=95</v>
    <v>86</v>
    <v>0</v>
    <v>https://www.bing.com/images/search?form=xlimg&amp;q=jabil+circuit</v>
    <v>Image of JABIL INC.</v>
  </rv>
  <rv s="0">
    <v>https://www.bing.com/financeapi/forcetrigger?t=a1w1ur&amp;q=XNYS%3aJBL&amp;form=skydnc</v>
    <v>Learn more on Bing</v>
  </rv>
  <rv s="5">
    <v>en-US</v>
    <v>a1w1ur</v>
    <v>268435456</v>
    <v>1</v>
    <v>Powered by Refinitiv</v>
    <v>6</v>
    <v>JABIL INC. (XNYS:JBL)</v>
    <v>8</v>
    <v>9</v>
    <v>Finance</v>
    <v>4</v>
    <v>156.94</v>
    <v>74.16</v>
    <v>1.4180999999999999</v>
    <v>1.75</v>
    <v>9.358E-3</v>
    <v>1.1835999999999999E-2</v>
    <v>1.4</v>
    <v>USD</v>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industries.</v>
    <v>236000</v>
    <v>New York Stock Exchange</v>
    <v>XNYS</v>
    <v>XNYS</v>
    <v>10800 Roosevelt Boulevard North, ST PETERSBURG, FL, 33716 US</v>
    <v>149.84</v>
    <v>87</v>
    <v>Electronic Equipment &amp; Parts</v>
    <v>Stock</v>
    <v>45363.846113251566</v>
    <v>88</v>
    <v>145.80000000000001</v>
    <v>19082097216</v>
    <v>JABIL INC.</v>
    <v>JABIL INC.</v>
    <v>147.72</v>
    <v>25.209700000000002</v>
    <v>147.86000000000001</v>
    <v>149.61000000000001</v>
    <v>151</v>
    <v>127545600</v>
    <v>JBL</v>
    <v>JABIL INC. (XNYS:JBL)</v>
    <v>1511019</v>
    <v>1040720</v>
    <v>1992</v>
  </rv>
  <rv s="2">
    <v>89</v>
  </rv>
  <rv s="0">
    <v>https://www.bing.com/financeapi/forcetrigger?t=a1wf9c&amp;q=XNAS%3aKBWB&amp;form=skydnc</v>
    <v>Learn more on Bing</v>
  </rv>
  <rv s="8">
    <v>en-US</v>
    <v>a1wf9c</v>
    <v>268435456</v>
    <v>1</v>
    <v>Powered by Refinitiv</v>
    <v>17</v>
    <v>Invesco KBW Bank (XNAS:KBWB)</v>
    <v>14</v>
    <v>18</v>
    <v>Finance</v>
    <v>19</v>
    <v>51.81</v>
    <v>36.19</v>
    <v>1.0355000000000001</v>
    <v>-0.05</v>
    <v>-1.9737999999999999E-2</v>
    <v>-9.7619999999999998E-4</v>
    <v>-1.01</v>
    <v>USD</v>
    <v>Nasdaq Stock Market</v>
    <v>XNAS</v>
    <v>3.4999999999999996E-3</v>
    <v>51.515000000000001</v>
    <v>ETF</v>
    <v>45363.836944953124</v>
    <v>91</v>
    <v>50.97</v>
    <v>1433448812.55</v>
    <v>Invesco KBW Bank</v>
    <v>51.24</v>
    <v>51.22</v>
    <v>51.17</v>
    <v>50.16</v>
    <v>KBWB</v>
    <v>Invesco KBW Bank (XNAS:KBWB)</v>
    <v>583455</v>
    <v>908515</v>
  </rv>
  <rv s="2">
    <v>92</v>
  </rv>
  <rv s="0">
    <v>https://www.bing.com/financeapi/forcetrigger?t=a1wsbh&amp;q=XNYS%3aLC&amp;form=skydnc</v>
    <v>Learn more on Bing</v>
  </rv>
  <rv s="1">
    <v>en-US</v>
    <v>a1wsbh</v>
    <v>268435456</v>
    <v>1</v>
    <v>Powered by Refinitiv</v>
    <v>0</v>
    <v>LENDINGCLUB CORPORATION (XNYS:LC)</v>
    <v>2</v>
    <v>3</v>
    <v>Finance</v>
    <v>5</v>
    <v>10.9199</v>
    <v>4.7300000000000004</v>
    <v>1.9819</v>
    <v>-0.17</v>
    <v>0</v>
    <v>-2.1277000000000001E-2</v>
    <v>0</v>
    <v>USD</v>
    <v>LendingClub Corporation is the parent company of LendingClub Bank (LC Bank). The Company operates most of its business through LC Bank, as a lender and originator of loans and as a regulated bank in the United States. LC Bank is the digital marketplace bank in the United States where members can access a range of financial products and services designed to help them pay less when borrowing and earn more when saving. LC Bank holds loans and funds those loans directly with its own capital and deposits. LC Bank’s primary loan products include unsecured personal loans, secured auto refinance loans, and patient and education finance loans (Consumer Loans). LC Bank’s commercial lending business is primarily focused on small businesses, and it participates in the United States small business administration (SBA) lending programs. LC Bank’s deposit business includes sourcing deposits directly from consumer and commercial customers and from third-party marketing channels and deposit brokers.</v>
    <v>1025</v>
    <v>New York Stock Exchange</v>
    <v>XNYS</v>
    <v>XNYS</v>
    <v>595 Market Street, Suite 200, SAN FRANCISCO, CA, 94105 US</v>
    <v>8</v>
    <v>Banking Services</v>
    <v>Stock</v>
    <v>45363.835404258592</v>
    <v>94</v>
    <v>7.74</v>
    <v>863410892</v>
    <v>LENDINGCLUB CORPORATION</v>
    <v>LENDINGCLUB CORPORATION</v>
    <v>7.95</v>
    <v>22.207999999999998</v>
    <v>7.99</v>
    <v>7.82</v>
    <v>7.82</v>
    <v>110410600</v>
    <v>LC</v>
    <v>LENDINGCLUB CORPORATION (XNYS:LC)</v>
    <v>1144925</v>
    <v>1194639</v>
    <v>2006</v>
  </rv>
  <rv s="2">
    <v>95</v>
  </rv>
  <rv s="0">
    <v>https://www.bing.com/financeapi/forcetrigger?t=a1wzw7&amp;q=XNYS%3aLMT&amp;form=skydnc</v>
    <v>Learn more on Bing</v>
  </rv>
  <rv s="1">
    <v>en-US</v>
    <v>a1wzw7</v>
    <v>268435456</v>
    <v>1</v>
    <v>Powered by Refinitiv</v>
    <v>0</v>
    <v>LOCKHEED MARTIN CORPORATION (XNYS:LMT)</v>
    <v>2</v>
    <v>3</v>
    <v>Finance</v>
    <v>4</v>
    <v>508.1</v>
    <v>393.77</v>
    <v>0.47639999999999999</v>
    <v>0.16</v>
    <v>-8.9899999999999997E-3</v>
    <v>3.68E-4</v>
    <v>-3.91</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435.77499999999998</v>
    <v>Aerospace &amp; Defense</v>
    <v>Stock</v>
    <v>45363.843835462503</v>
    <v>97</v>
    <v>432.35</v>
    <v>105093087603</v>
    <v>LOCKHEED MARTIN CORPORATION</v>
    <v>LOCKHEED MARTIN CORPORATION</v>
    <v>432.92</v>
    <v>15.771599999999999</v>
    <v>434.75</v>
    <v>434.91</v>
    <v>431</v>
    <v>241643300</v>
    <v>LMT</v>
    <v>LOCKHEED MARTIN CORPORATION (XNYS:LMT)</v>
    <v>816254</v>
    <v>1109568</v>
    <v>1994</v>
  </rv>
  <rv s="2">
    <v>98</v>
  </rv>
  <rv s="0">
    <v>https://www.bing.com/financeapi/forcetrigger?t=a1xdsm&amp;q=XNAS%3aMCHI&amp;form=skydnc</v>
    <v>Learn more on Bing</v>
  </rv>
  <rv s="8">
    <v>en-US</v>
    <v>a1xdsm</v>
    <v>268435456</v>
    <v>1</v>
    <v>Powered by Refinitiv</v>
    <v>17</v>
    <v>iShares:MSCI China (XNAS:MCHI)</v>
    <v>14</v>
    <v>18</v>
    <v>Finance</v>
    <v>16</v>
    <v>50.188499999999998</v>
    <v>35.58</v>
    <v>1.2017</v>
    <v>0.82</v>
    <v>-9.8449999999999992E-4</v>
    <v>2.0598000000000002E-2</v>
    <v>-0.04</v>
    <v>USD</v>
    <v>Nasdaq Stock Market</v>
    <v>XNAS</v>
    <v>5.8999999999999999E-3</v>
    <v>40.67</v>
    <v>ETF</v>
    <v>45363.850047707812</v>
    <v>100</v>
    <v>40.330100000000002</v>
    <v>5250877220.1300001</v>
    <v>iShares:MSCI China</v>
    <v>40.450000000000003</v>
    <v>39.81</v>
    <v>40.630000000000003</v>
    <v>40.590000000000003</v>
    <v>MCHI</v>
    <v>iShares:MSCI China (XNAS:MCHI)</v>
    <v>4425864</v>
    <v>4606995</v>
  </rv>
  <rv s="2">
    <v>101</v>
  </rv>
  <rv s="0">
    <v>https://www.bing.com/financeapi/forcetrigger?t=a1xe52&amp;q=XNYS%3aMCK&amp;form=skydnc</v>
    <v>Learn more on Bing</v>
  </rv>
  <rv s="1">
    <v>en-US</v>
    <v>a1xe52</v>
    <v>268435456</v>
    <v>1</v>
    <v>Powered by Refinitiv</v>
    <v>0</v>
    <v>MCKESSON CORPORATION (XNYS:MCK)</v>
    <v>2</v>
    <v>3</v>
    <v>Finance</v>
    <v>4</v>
    <v>537.26</v>
    <v>331.75</v>
    <v>0.44750000000000001</v>
    <v>4.58</v>
    <v>0</v>
    <v>8.6960000000000006E-3</v>
    <v>0</v>
    <v>USD</v>
    <v>McKesson Corporation is a provider of diversified healthcare services. The Company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provides distribution and services to wholesale, institutional, and retail customers in Europe and Canada.</v>
    <v>45000</v>
    <v>New York Stock Exchange</v>
    <v>XNYS</v>
    <v>XNYS</v>
    <v>6555 State Highway 161, IRVING, TX, 75039 US</v>
    <v>531.45000000000005</v>
    <v>Pharmaceuticals</v>
    <v>Stock</v>
    <v>45363.843761284377</v>
    <v>103</v>
    <v>523.54</v>
    <v>69809345292</v>
    <v>MCKESSON CORPORATION</v>
    <v>MCKESSON CORPORATION</v>
    <v>527.4</v>
    <v>23.8734</v>
    <v>526.66</v>
    <v>531.24</v>
    <v>531.24</v>
    <v>131408300</v>
    <v>MCK</v>
    <v>MCKESSON CORPORATION (XNYS:MCK)</v>
    <v>516487</v>
    <v>846219</v>
    <v>1994</v>
  </rv>
  <rv s="2">
    <v>104</v>
  </rv>
  <rv s="0">
    <v>https://www.bing.com/financeapi/forcetrigger?t=a1slm7&amp;q=XNAS%3aMETA&amp;form=skydnc</v>
    <v>Learn more on Bing</v>
  </rv>
  <rv s="1">
    <v>en-US</v>
    <v>a1slm7</v>
    <v>268435456</v>
    <v>1</v>
    <v>Powered by Refinitiv</v>
    <v>0</v>
    <v>Meta Platforms, Inc. (XNAS:META)</v>
    <v>2</v>
    <v>3</v>
    <v>Finance</v>
    <v>4</v>
    <v>523.57000000000005</v>
    <v>174.82</v>
    <v>1.2097</v>
    <v>16.16</v>
    <v>1.111E-3</v>
    <v>3.3417000000000002E-2</v>
    <v>0.55500000000000005</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67317</v>
    <v>Nasdaq Stock Market</v>
    <v>XNAS</v>
    <v>XNAS</v>
    <v>1 Meta Way, MENLO PARK, CA, 94025 US</v>
    <v>502.31</v>
    <v>Software &amp; IT Services</v>
    <v>Stock</v>
    <v>45363.850158726564</v>
    <v>106</v>
    <v>484.73</v>
    <v>1274065148750</v>
    <v>Meta Platforms, Inc.</v>
    <v>Meta Platforms, Inc.</v>
    <v>493.26</v>
    <v>32.531199999999998</v>
    <v>483.59</v>
    <v>499.75</v>
    <v>500.30500000000001</v>
    <v>2549405000</v>
    <v>META</v>
    <v>Meta Platforms, Inc. (XNAS:META)</v>
    <v>15358114</v>
    <v>18589238</v>
    <v>2004</v>
  </rv>
  <rv s="2">
    <v>107</v>
  </rv>
  <rv s="0">
    <v>https://www.bing.com/financeapi/forcetrigger?t=a1xlsm&amp;q=XNYS%3aMHO&amp;form=skydnc</v>
    <v>Learn more on Bing</v>
  </rv>
  <rv s="1">
    <v>en-US</v>
    <v>a1xlsm</v>
    <v>268435456</v>
    <v>1</v>
    <v>Powered by Refinitiv</v>
    <v>0</v>
    <v>M/I HOMES, INC. (XNYS:MHO)</v>
    <v>2</v>
    <v>3</v>
    <v>Finance</v>
    <v>5</v>
    <v>140.72989999999999</v>
    <v>56.27</v>
    <v>2.1381000000000001</v>
    <v>1.35</v>
    <v>-1.4931000000000002E-2</v>
    <v>1.0666E-2</v>
    <v>-1.91</v>
    <v>USD</v>
    <v>M/I Homes, Inc. is a builder of single-family homes. The Company designs, markets, constructs and sells single-family homes and attached townhomes to first-time, move-up, empty-nester, and luxury buyers. The company primarily constructs homes in planned development communities and mixed-use communities. It offers homes for sale in approximately 213 communities within 17 markets located in 10 states. The Company operates through two distinct operations: homebuilding and financial services. Its homebuilding operations are aggregated for reporting purposes into two reporting segments: the Northern and Southern regions. Its homebuilding division is engaged in the sale and construction of single-family attached and detached homes, acquisition and development of land, and the occasional sale of lots to third parties. Its financial services operations support its homebuilding operations by providing mortgage loans and title services to the customers of its homebuilding operations.</v>
    <v>1607</v>
    <v>New York Stock Exchange</v>
    <v>XNYS</v>
    <v>XNYS</v>
    <v>4131 Worth Avenue Ste 500, COLUMBUS, OH, 43219 US</v>
    <v>128.77000000000001</v>
    <v>Homebuilding &amp; Construction Supplies</v>
    <v>Stock</v>
    <v>45363.835837731247</v>
    <v>109</v>
    <v>125.55</v>
    <v>3557058648</v>
    <v>M/I HOMES, INC.</v>
    <v>M/I HOMES, INC.</v>
    <v>126.14</v>
    <v>7.8040000000000003</v>
    <v>126.57</v>
    <v>127.92</v>
    <v>126.01</v>
    <v>27806900</v>
    <v>MHO</v>
    <v>M/I HOMES, INC. (XNYS:MHO)</v>
    <v>154799</v>
    <v>243982</v>
    <v>1991</v>
  </rv>
  <rv s="2">
    <v>110</v>
  </rv>
  <rv s="0">
    <v>https://www.bing.com/financeapi/forcetrigger?t=a1xugh&amp;q=XNYS%3aMOH&amp;form=skydnc</v>
    <v>Learn more on Bing</v>
  </rv>
  <rv s="1">
    <v>en-US</v>
    <v>a1xugh</v>
    <v>268435456</v>
    <v>1</v>
    <v>Powered by Refinitiv</v>
    <v>0</v>
    <v>MOLINA HEALTHCARE, INC. (XNYS:MOH)</v>
    <v>2</v>
    <v>3</v>
    <v>Finance</v>
    <v>5</v>
    <v>410</v>
    <v>256.19</v>
    <v>0.47099999999999997</v>
    <v>0.28000000000000003</v>
    <v>0</v>
    <v>6.96E-4</v>
    <v>0</v>
    <v>USD</v>
    <v>Molina Healthcare, Inc. is a provider of managed healthcare services under the medicaid and medicare programs, and through the state insurance marketplaces. The Company operates through four segments: Medicaid, Medicare, Marketplace and Other. The Medicaid, Medicare, and Marketplace segments represent the government-funded or sponsored programs under which it offers managed healthcare services. Medicaid provides healthcare and long-term services and support to low-income Americans. Medicare is a federal program that provides eligible persons aged 65 and over, and some disabled persons, with a variety of hospital, medical insurance, and prescription drug benefits. The Marketplace insurance exchanges allow individuals and small groups to purchase federally subsidized health insurance. It arranges healthcare services for its members through contracts with a network of providers, including independent physicians and physician groups, hospitals, ancillary providers, and pharmacies.</v>
    <v>18000</v>
    <v>New York Stock Exchange</v>
    <v>XNYS</v>
    <v>XNYS</v>
    <v>200 Oceangate, Suite 100, LONG BEACH, CA, 90802 US</v>
    <v>409.59</v>
    <v>Healthcare Providers &amp; Services</v>
    <v>Stock</v>
    <v>45363.83665563594</v>
    <v>112</v>
    <v>398.64</v>
    <v>23508920000</v>
    <v>MOLINA HEALTHCARE, INC.</v>
    <v>MOLINA HEALTHCARE, INC.</v>
    <v>402.59</v>
    <v>21.390699999999999</v>
    <v>402.27</v>
    <v>402.55</v>
    <v>402.55</v>
    <v>58400000</v>
    <v>MOH</v>
    <v>MOLINA HEALTHCARE, INC. (XNYS:MOH)</v>
    <v>430831</v>
    <v>387565</v>
    <v>2002</v>
  </rv>
  <rv s="2">
    <v>113</v>
  </rv>
  <rv s="0">
    <v>https://www.bing.com/financeapi/forcetrigger?t=a1xxmw&amp;q=XNYS%3aMRK&amp;form=skydnc</v>
    <v>Learn more on Bing</v>
  </rv>
  <rv s="1">
    <v>en-US</v>
    <v>a1xxmw</v>
    <v>268435456</v>
    <v>1</v>
    <v>Powered by Refinitiv</v>
    <v>0</v>
    <v>MERCK &amp; CO., INC. (XNYS:MRK)</v>
    <v>2</v>
    <v>3</v>
    <v>Finance</v>
    <v>4</v>
    <v>130.24</v>
    <v>99.14</v>
    <v>0.38850000000000001</v>
    <v>-0.11</v>
    <v>1.6310000000000001E-4</v>
    <v>-8.9599999999999999E-4</v>
    <v>0.02</v>
    <v>USD</v>
    <v>Merck &amp; Co., Inc. is a global health care company. It offers health solutions through its prescription medicines, including biologic therapies, vaccines and animal health products. The Company’s Pharmaceutical segment includes human health pharmaceuticals and vaccine products. Human health pharmaceutical products consist of therapeutic and preventive agents, generally sold by prescription, for the treatment of human disorders. It sells these human health pharmaceutical products to drug wholesalers and retailers, hospitals, government agencies and managed health care providers. Its Animal Health segment discovers, develops, manufactures and markets a range of veterinary pharmaceutical and vaccine products, and health management solutions and services, for the prevention, treatment and control of disease in all livestock and companion animal species. The Company’s lead candidate, MK-6070, is a T-cell engager targeting delta-like ligand 3 (DLL3), an inhibitory canonical Notch ligand.</v>
    <v>72000</v>
    <v>New York Stock Exchange</v>
    <v>XNYS</v>
    <v>XNYS</v>
    <v>2000 Galloping Hill Road, KENILWORTH, NJ, 07033 US</v>
    <v>123.21</v>
    <v>Pharmaceuticals</v>
    <v>Stock</v>
    <v>45363.847254582812</v>
    <v>115</v>
    <v>121.43</v>
    <v>310654113040</v>
    <v>MERCK &amp; CO., INC.</v>
    <v>MERCK &amp; CO., INC.</v>
    <v>123</v>
    <v>941.41549999999995</v>
    <v>122.77</v>
    <v>122.66</v>
    <v>122.68</v>
    <v>2532644000</v>
    <v>MRK</v>
    <v>MERCK &amp; CO., INC. (XNYS:MRK)</v>
    <v>9398537</v>
    <v>7140485</v>
    <v>1970</v>
  </rv>
  <rv s="2">
    <v>116</v>
  </rv>
  <rv s="0">
    <v>https://www.bing.com/financeapi/forcetrigger?t=a1ybar&amp;q=XNAS%3aNBIX&amp;form=skydnc</v>
    <v>Learn more on Bing</v>
  </rv>
  <rv s="1">
    <v>en-US</v>
    <v>a1ybar</v>
    <v>268435456</v>
    <v>1</v>
    <v>Powered by Refinitiv</v>
    <v>0</v>
    <v>NEUROCRINE BIOSCIENCES, INC. (XNAS:NBIX)</v>
    <v>2</v>
    <v>3</v>
    <v>Finance</v>
    <v>4</v>
    <v>143.35</v>
    <v>89.04</v>
    <v>0.2369</v>
    <v>-0.87</v>
    <v>0</v>
    <v>-6.2770000000000005E-3</v>
    <v>0</v>
    <v>USD</v>
    <v>Neurocrine Biosciences, Inc. is a neuroscience-focused, biopharmaceutical company. The Company is engaged in discovering and developing treatments for patients with under-addressed neurological, neuroendocrine and neuropsychiatric disorders. Its diverse portfolio includes the United States Food and Drug Administration-approved treatments for tardive dyskinesia, chorea associated with Huntington’s disease, endometriosis and uterine fibroids, as well as a robust pipeline, including multiple compounds in mid-to late-phase clinical development across its core therapeutic areas. Its commercial products include INGREZZA, ALKINDI, EFMODY, Orilissa and Oriahnn. INGREZZA is marketed as DYSVAL (valbenazine) in Japan and REMLEAS (valbenazine) in other select Asian markets, where Mitsubishi Tanabe Pharma Corporation retains commercialization rights. ALKINDI is marketed as ALKINDI SPRINKLE (hydrocortisone) in the United States, where Eton Pharmaceuticals, Inc. retains commercialization rights.</v>
    <v>1400</v>
    <v>Nasdaq Stock Market</v>
    <v>XNAS</v>
    <v>XNAS</v>
    <v>12780 El Camino Real, SAN DIEGO, CA, 92130-2042 US</v>
    <v>139.97999999999999</v>
    <v>Biotechnology &amp; Medical Research</v>
    <v>Stock</v>
    <v>45363.847226724218</v>
    <v>118</v>
    <v>137.66</v>
    <v>13706161672</v>
    <v>NEUROCRINE BIOSCIENCES, INC.</v>
    <v>NEUROCRINE BIOSCIENCES, INC.</v>
    <v>138.63999999999999</v>
    <v>57.008800000000001</v>
    <v>138.61000000000001</v>
    <v>137.74</v>
    <v>137.74</v>
    <v>99507490</v>
    <v>NBIX</v>
    <v>NEUROCRINE BIOSCIENCES, INC. (XNAS:NBIX)</v>
    <v>638376</v>
    <v>925348</v>
    <v>1996</v>
  </rv>
  <rv s="2">
    <v>119</v>
  </rv>
  <rv s="0">
    <v>https://www.bing.com/financeapi/forcetrigger?t=a1ygoc&amp;q=XNAS%3aNFLX&amp;form=skydnc</v>
    <v>Learn more on Bing</v>
  </rv>
  <rv s="1">
    <v>en-US</v>
    <v>a1ygoc</v>
    <v>268435456</v>
    <v>1</v>
    <v>Powered by Refinitiv</v>
    <v>0</v>
    <v>NETFLIX, INC. (XNAS:NFLX)</v>
    <v>2</v>
    <v>3</v>
    <v>Finance</v>
    <v>4</v>
    <v>624.41999999999996</v>
    <v>285.33010000000002</v>
    <v>1.2202</v>
    <v>10.15</v>
    <v>3.273E-5</v>
    <v>1.6890000000000002E-2</v>
    <v>0.02</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615.29999999999995</v>
    <v>Software &amp; IT Services</v>
    <v>Stock</v>
    <v>45363.850091492968</v>
    <v>121</v>
    <v>596.27</v>
    <v>264450736368</v>
    <v>NETFLIX, INC.</v>
    <v>NETFLIX, INC.</v>
    <v>600.21</v>
    <v>49.9998</v>
    <v>600.92999999999995</v>
    <v>611.08000000000004</v>
    <v>611.1</v>
    <v>432759600</v>
    <v>NFLX</v>
    <v>NETFLIX, INC. (XNAS:NFLX)</v>
    <v>2798473</v>
    <v>3443237</v>
    <v>1997</v>
  </rv>
  <rv s="2">
    <v>122</v>
  </rv>
  <rv s="0">
    <v>https://www.bing.com/financeapi/forcetrigger?t=a1yngh&amp;q=XNYS%3aNOC&amp;form=skydnc</v>
    <v>Learn more on Bing</v>
  </rv>
  <rv s="1">
    <v>en-US</v>
    <v>a1yngh</v>
    <v>268435456</v>
    <v>1</v>
    <v>Powered by Refinitiv</v>
    <v>0</v>
    <v>NORTHROP GRUMMAN CORPORATION (XNYS:NOC)</v>
    <v>2</v>
    <v>3</v>
    <v>Finance</v>
    <v>4</v>
    <v>496.89</v>
    <v>414.56</v>
    <v>0.34689999999999999</v>
    <v>-0.43</v>
    <v>0</v>
    <v>-9.3630000000000004E-4</v>
    <v>0</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and international customers. The Defense Systems segment is engaged in the design, development, production, integration, and production of advanced tactical weapons and missile defense solutions, and a provider of sustainment, modernization and training services for manned and unmanned aircraft and electronics systems. The Mission Systems segment is engaged in advanced mission solutions and multifunction systems. The Space Systems segment is engaged in the design, development, integration, production and operation of space, missile defense, launch and strategic missile systems.</v>
    <v>101000</v>
    <v>New York Stock Exchange</v>
    <v>XNYS</v>
    <v>XNYS</v>
    <v>2980 Fairview Park Drive, FALLS CHURCH, VA, 22042 US</v>
    <v>460.9</v>
    <v>Aerospace &amp; Defense</v>
    <v>Stock</v>
    <v>45363.843768356252</v>
    <v>124</v>
    <v>454.53</v>
    <v>68839379874</v>
    <v>NORTHROP GRUMMAN CORPORATION</v>
    <v>NORTHROP GRUMMAN CORPORATION</v>
    <v>456.55</v>
    <v>34.131399999999999</v>
    <v>459.25</v>
    <v>458.82</v>
    <v>458.84</v>
    <v>150035700</v>
    <v>NOC</v>
    <v>NORTHROP GRUMMAN CORPORATION (XNYS:NOC)</v>
    <v>1027518</v>
    <v>891220</v>
    <v>2010</v>
  </rv>
  <rv s="2">
    <v>125</v>
  </rv>
  <rv s="0">
    <v>https://www.bing.com/financeapi/forcetrigger?t=ay4m6h&amp;q=XNYS%3aNTR&amp;form=skydnc</v>
    <v>Learn more on Bing</v>
  </rv>
  <rv s="1">
    <v>en-US</v>
    <v>ay4m6h</v>
    <v>268435456</v>
    <v>1</v>
    <v>Powered by Refinitiv</v>
    <v>0</v>
    <v>Nutrien Ltd. (XNYS:NTR)</v>
    <v>2</v>
    <v>20</v>
    <v>Finance</v>
    <v>5</v>
    <v>79.09</v>
    <v>47.9</v>
    <v>0.96870000000000001</v>
    <v>-0.25</v>
    <v>0</v>
    <v>-4.6969999999999998E-3</v>
    <v>0</v>
    <v>USD</v>
    <v>Nutrien Ltd. is a Canada-based company, which is a provider of crop inputs and services. The Company operates through four segments: Nutrien Ag Solutions (Retail), Potash, Nitrogen and Phosphate. The Retail segment distributes crop nutrients, crop protection products, seeds and merchandise, and it provides services directly to growers through a network of farm centers in North America, South America and Australia. Its Retail business includes Nutrien Ag Solutions and Landmark Retail businesses, which provide agricultural solutions, including nutrients, crop protection products, seed, services and agronomic advice to growers. The Potash, Nitrogen and Phosphate segments are differentiated by the chemical nutrients contained in the products that it produces. The Company produces and distributes over 27 million tons of potash, nitrogen and phosphate products for agricultural, industrial and feed customers worldwide. It operates approximately 2,000 retail locations in over seven countries.</v>
    <v>25900</v>
    <v>New York Stock Exchange</v>
    <v>XNYS</v>
    <v>XNYS</v>
    <v>Suite 1700, 211 19th Street East, SASKATOON, SK, S7K 5R6 CA</v>
    <v>53.68</v>
    <v>Chemicals</v>
    <v>Stock</v>
    <v>45363.833889374997</v>
    <v>127</v>
    <v>52.61</v>
    <v>35510280000</v>
    <v>Nutrien Ltd.</v>
    <v>Nutrien Ltd.</v>
    <v>53.33</v>
    <v>21.095800000000001</v>
    <v>53.23</v>
    <v>52.98</v>
    <v>52.98</v>
    <v>494563200</v>
    <v>NTR</v>
    <v>Nutrien Ltd. (XNYS:NTR)</v>
    <v>2735178</v>
    <v>1875211</v>
    <v>2017</v>
  </rv>
  <rv s="2">
    <v>128</v>
  </rv>
  <rv s="0">
    <v>http://pt.wikipedia.org/wiki/Oracle_Corporation</v>
    <v>Wikipedia</v>
  </rv>
  <rv s="3">
    <v>39</v>
    <v>130</v>
  </rv>
  <rv s="4">
    <v>10</v>
    <v>https://www.bing.com/th?id=AMMS_672116c618c664d13b2515d6587ba357&amp;qlt=95</v>
    <v>131</v>
    <v>0</v>
    <v>https://www.bing.com/images/search?form=xlimg&amp;q=oracle+corporation</v>
    <v>Image of ORACLE CORPORATION</v>
  </rv>
  <rv s="0">
    <v>https://www.bing.com/financeapi/forcetrigger?t=a1zbec&amp;q=XNYS%3aORCL&amp;form=skydnc</v>
    <v>Learn more on Bing</v>
  </rv>
  <rv s="5">
    <v>en-US</v>
    <v>a1zbec</v>
    <v>268435456</v>
    <v>1</v>
    <v>Powered by Refinitiv</v>
    <v>6</v>
    <v>ORACLE CORPORATION (XNYS:ORCL)</v>
    <v>8</v>
    <v>9</v>
    <v>Finance</v>
    <v>4</v>
    <v>129.37</v>
    <v>82.04</v>
    <v>0.99270000000000003</v>
    <v>13.365</v>
    <v>-1.49E-3</v>
    <v>0.117103</v>
    <v>-0.19</v>
    <v>USD</v>
    <v>Oracle Corporation provides products and services that address enterprise information technology (IT) environments. The Company’s businesses include cloud and license, hardware, and services. Its products and services include enterprise applications and infrastructure offerings that are delivered worldwide through a variety of flexible and interoperable IT deployment models. Its cloud and license business markets, sells, and delivers a spectrum of enterprise applications and infrastructure technologies through its cloud and license offerings. Its hardware business provides a selection of enterprise hardware products and hardware-related software products, including Oracle Engineered Systems, servers, storage, industry-specific hardware offerings, operating systems, virtualization, management and other hardware-related software, and related hardware support. Its services business provides consulting services and advanced customer service. It sells to customers all over the world.</v>
    <v>164000</v>
    <v>New York Stock Exchange</v>
    <v>XNYS</v>
    <v>XNYS</v>
    <v>2300 Oracle Way, AUSTIN, TX, 78741 US</v>
    <v>129.37</v>
    <v>132</v>
    <v>Software &amp; IT Services</v>
    <v>Stock</v>
    <v>45363.849433575779</v>
    <v>133</v>
    <v>124.6</v>
    <v>350473810390</v>
    <v>ORACLE CORPORATION</v>
    <v>ORACLE CORPORATION</v>
    <v>126.26</v>
    <v>31.552900000000001</v>
    <v>114.13</v>
    <v>127.495</v>
    <v>127.35</v>
    <v>2748922000</v>
    <v>ORCL</v>
    <v>ORACLE CORPORATION (XNYS:ORCL)</v>
    <v>48355437</v>
    <v>7955293</v>
    <v>2005</v>
  </rv>
  <rv s="2">
    <v>134</v>
  </rv>
  <rv s="0">
    <v>https://www.bing.com/financeapi/forcetrigger?t=a1zk27&amp;q=XNAS%3aPCAR&amp;form=skydnc</v>
    <v>Learn more on Bing</v>
  </rv>
  <rv s="1">
    <v>en-US</v>
    <v>a1zk27</v>
    <v>268435456</v>
    <v>1</v>
    <v>Powered by Refinitiv</v>
    <v>0</v>
    <v>PACCAR INC (XNAS:PCAR)</v>
    <v>2</v>
    <v>3</v>
    <v>Finance</v>
    <v>4</v>
    <v>116.88</v>
    <v>67.48</v>
    <v>0.91400000000000003</v>
    <v>0.75</v>
    <v>0</v>
    <v>6.5769999999999995E-3</v>
    <v>0</v>
    <v>USD</v>
    <v>PACCAR Inc is a multinational company, which has three segments. The Truck segment includes the designing, manufacturing and distribution of light-, medium- and heavy-duty commercial trucks. Heavy-duty trucks have a gross vehicle weight (GVW) of over 33,000 lbs in North America and over 16 metric tons in Europe and South America. Medium-duty trucks have a GVW ranging from 19,500 to 33,000 lbs in North America, and in Europe, light- and medium-duty trucks range between 6-16 metric tons. Trucks are configured with the engine in front of cab (conventional) or cab-over-engine. The Parts segment includes the distribution of aftermarket parts for trucks and related commercial vehicles. The Financial Services segment includes finance and leasing products and services provided to customers and dealers. Its finance and leasing activities are principally related to the Company’s products and associated equipment. Its other business includes the manufacturing and marketing of industrial winches.</v>
    <v>32400</v>
    <v>Nasdaq Stock Market</v>
    <v>XNAS</v>
    <v>XNAS</v>
    <v>777 106th Avenue NE, BELLEVUE, WA, 98004 US</v>
    <v>115.255</v>
    <v>Machinery, Equipment &amp; Components</v>
    <v>Stock</v>
    <v>45363.849376029684</v>
    <v>136</v>
    <v>113.37</v>
    <v>60131371086</v>
    <v>PACCAR INC</v>
    <v>PACCAR INC</v>
    <v>114.16</v>
    <v>13.014900000000001</v>
    <v>114.03</v>
    <v>114.78</v>
    <v>114.78</v>
    <v>523883700</v>
    <v>PCAR</v>
    <v>PACCAR INC (XNAS:PCAR)</v>
    <v>1762463</v>
    <v>2102643</v>
    <v>1971</v>
  </rv>
  <rv s="2">
    <v>137</v>
  </rv>
  <rv s="0">
    <v>https://www.bing.com/financeapi/forcetrigger?t=a21fw7&amp;q=XNYS%3aPVH&amp;form=skydnc</v>
    <v>Learn more on Bing</v>
  </rv>
  <rv s="1">
    <v>en-US</v>
    <v>a21fw7</v>
    <v>268435456</v>
    <v>1</v>
    <v>Powered by Refinitiv</v>
    <v>0</v>
    <v>PVH CORP. (XNYS:PVH)</v>
    <v>2</v>
    <v>3</v>
    <v>Finance</v>
    <v>5</v>
    <v>139.59</v>
    <v>69.27</v>
    <v>2.2040000000000002</v>
    <v>1.81</v>
    <v>0</v>
    <v>1.3863E-2</v>
    <v>0</v>
    <v>USD</v>
    <v>PVH Corp. is a global apparel company with a brand portfolio that includes TOMMY HILFIGER, Calvin Klein, Warner's, Olga, and True&amp;Co., which are owned, Van Heusen, IZOD, ARROW and Geoffrey Beene, which the Company licenses back for certain product categories, and other licensed brands. The Company designs and markets branded sportswear (casual apparel), jeanswear, performance apparel, intimate apparel, underwear, swimwear, dress shirts, neckwear, handbags, accessories, footwear, and other related products and licenses its owned brands globally over a range of product categories. The Company manages its operations through its operating divisions, namely Tommy Hilfiger North America; Tommy Hilfiger International; Calvin Klein North America; Calvin Klein International, and Heritage Brands Wholesale. Its Tommy Hilfiger North America division includes the Tommy Hilfiger wholesale, retail and licensing activities in the United States, Canada, and Mexico.</v>
    <v>19000</v>
    <v>New York Stock Exchange</v>
    <v>XNYS</v>
    <v>XNYS</v>
    <v>285 Madison Avenue, NEW YORK, NY, 10017 US</v>
    <v>132.84</v>
    <v>Textiles &amp; Apparel</v>
    <v>Stock</v>
    <v>45363.834280242969</v>
    <v>139</v>
    <v>130</v>
    <v>7894217198</v>
    <v>PVH CORP.</v>
    <v>PVH CORP.</v>
    <v>130.99</v>
    <v>15.3636</v>
    <v>130.56</v>
    <v>132.37</v>
    <v>132.37</v>
    <v>59637510</v>
    <v>PVH</v>
    <v>PVH CORP. (XNYS:PVH)</v>
    <v>750085</v>
    <v>600181</v>
    <v>1976</v>
  </rv>
  <rv s="2">
    <v>140</v>
  </rv>
  <rv s="0">
    <v>https://www.bing.com/financeapi/forcetrigger?t=a21icw&amp;q=XNAS%3aPYPL&amp;form=skydnc</v>
    <v>Learn more on Bing</v>
  </rv>
  <rv s="1">
    <v>en-US</v>
    <v>a21icw</v>
    <v>268435456</v>
    <v>1</v>
    <v>Powered by Refinitiv</v>
    <v>0</v>
    <v>PAYPAL HOLDINGS, INC. (XNAS:PYPL)</v>
    <v>2</v>
    <v>3</v>
    <v>Finance</v>
    <v>4</v>
    <v>77.95</v>
    <v>50.25</v>
    <v>1.4417</v>
    <v>-0.05</v>
    <v>-8.3290000000000002E-4</v>
    <v>-8.3220000000000006E-4</v>
    <v>-0.05</v>
    <v>USD</v>
    <v>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v>
    <v>27200</v>
    <v>Nasdaq Stock Market</v>
    <v>XNAS</v>
    <v>XNAS</v>
    <v>2211 N 1st St, SAN JOSE, CA, 95131 US</v>
    <v>60.475000000000001</v>
    <v>Professional &amp; Commercial Services</v>
    <v>Stock</v>
    <v>45363.849903089846</v>
    <v>142</v>
    <v>59.295999999999999</v>
    <v>64336672260</v>
    <v>PAYPAL HOLDINGS, INC.</v>
    <v>PAYPAL HOLDINGS, INC.</v>
    <v>59.8</v>
    <v>15.6122</v>
    <v>60.08</v>
    <v>60.03</v>
    <v>59.98</v>
    <v>1071742000</v>
    <v>PYPL</v>
    <v>PAYPAL HOLDINGS, INC. (XNAS:PYPL)</v>
    <v>12438348</v>
    <v>18755147</v>
    <v>2015</v>
  </rv>
  <rv s="2">
    <v>143</v>
  </rv>
  <rv s="0">
    <v>http://en.wikipedia.org/wiki/Qualcomm</v>
    <v>Wikipedia</v>
  </rv>
  <rv s="3">
    <v>39</v>
    <v>145</v>
  </rv>
  <rv s="4">
    <v>10</v>
    <v>https://www.bing.com/th?id=AMMS_2b1c176dae370ecc0d55a1517537f595&amp;qlt=95</v>
    <v>146</v>
    <v>0</v>
    <v>https://www.bing.com/images/search?form=xlimg&amp;q=qualcomm</v>
    <v>Image of QUALCOMM INCORPORATED</v>
  </rv>
  <rv s="0">
    <v>https://www.bing.com/financeapi/forcetrigger?t=a21k2w&amp;q=XNAS%3aQCOM&amp;form=skydnc</v>
    <v>Learn more on Bing</v>
  </rv>
  <rv s="5">
    <v>en-US</v>
    <v>a21k2w</v>
    <v>268435456</v>
    <v>1</v>
    <v>Powered by Refinitiv</v>
    <v>6</v>
    <v>QUALCOMM INCORPORATED (XNAS:QCOM)</v>
    <v>8</v>
    <v>9</v>
    <v>Finance</v>
    <v>4</v>
    <v>177.59</v>
    <v>101.47</v>
    <v>1.4089</v>
    <v>1.96</v>
    <v>0</v>
    <v>1.1453999999999999E-2</v>
    <v>0</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50000</v>
    <v>Nasdaq Stock Market</v>
    <v>XNAS</v>
    <v>XNAS</v>
    <v>5775 Morehouse Dr, SAN DIEGO, CA, 92121 US</v>
    <v>173.9</v>
    <v>147</v>
    <v>Semiconductors &amp; Semiconductor Equipment</v>
    <v>Stock</v>
    <v>45363.849942858593</v>
    <v>148</v>
    <v>170.58</v>
    <v>193157280000</v>
    <v>QUALCOMM INCORPORATED</v>
    <v>QUALCOMM INCORPORATED</v>
    <v>172.91</v>
    <v>24.4453</v>
    <v>171.12</v>
    <v>173.08</v>
    <v>173.08</v>
    <v>1116000000</v>
    <v>QCOM</v>
    <v>QUALCOMM INCORPORATED (XNAS:QCOM)</v>
    <v>7623710</v>
    <v>9213068</v>
    <v>1991</v>
  </rv>
  <rv s="2">
    <v>149</v>
  </rv>
  <rv s="0">
    <v>https://www.bing.com/financeapi/forcetrigger?t=a224w7&amp;q=XNYS%3aRNG&amp;form=skydnc</v>
    <v>Learn more on Bing</v>
  </rv>
  <rv s="6">
    <v>en-US</v>
    <v>a224w7</v>
    <v>268435456</v>
    <v>1</v>
    <v>Powered by Refinitiv</v>
    <v>11</v>
    <v>RINGCENTRAL, INC. (XNYS:RNG)</v>
    <v>2</v>
    <v>12</v>
    <v>Finance</v>
    <v>5</v>
    <v>43.28</v>
    <v>25.074999999999999</v>
    <v>0.91620000000000001</v>
    <v>0.44</v>
    <v>0</v>
    <v>1.2256E-2</v>
    <v>0</v>
    <v>USD</v>
    <v>RingCentral, Inc. is a provider of artificial intelligence (AI)-driven cloud business communications, contact center, video, and hybrid event solutions. The Company’s cloud-based business communications, collaboration, and customer engagement solutions function across multiple locations and devices, including smartphones, tablets, personal computers (PCs) and desk phones. The Company offers a fully integrated business communications platform, which includes cloud private branch exchanges (PBX), cloud contact center, video meetings and webinars, and events. Its product portfolio includes RingCentral MVP, Contact Center as a Service (CCaaS), RingCentral Video, RingCentral Events, and RingSense. RingCentral MVP is a unified Communications as a Service (UCaaS) platform, which includes team messaging, video meetings, and a cloud phone system. RingCentral Video is a video meeting solution with team messaging that enables smart video meetings, rooms solutions, and webinars.</v>
    <v>4084</v>
    <v>New York Stock Exchange</v>
    <v>XNYS</v>
    <v>XNYS</v>
    <v>20 Davis Dr, BELMONT, CA, 94002-3002 US</v>
    <v>36.935000000000002</v>
    <v>Software &amp; IT Services</v>
    <v>Stock</v>
    <v>45363.835090173437</v>
    <v>151</v>
    <v>35.93</v>
    <v>3354820493</v>
    <v>RINGCENTRAL, INC.</v>
    <v>RINGCENTRAL, INC.</v>
    <v>36.29</v>
    <v>35.9</v>
    <v>36.340000000000003</v>
    <v>36.340000000000003</v>
    <v>92317570</v>
    <v>RNG</v>
    <v>RINGCENTRAL, INC. (XNYS:RNG)</v>
    <v>972983</v>
    <v>1462952</v>
    <v>2013</v>
  </rv>
  <rv s="2">
    <v>152</v>
  </rv>
  <rv s="9">
    <v>en-US</v>
    <v>c7qfp2</v>
    <v>268435456</v>
    <v>1</v>
    <v>Powered by Refinitiv</v>
    <v>21</v>
    <v>RXO, INC. (XNYS:RXO)</v>
    <v>22</v>
    <v>3</v>
    <v>Finance</v>
    <v>5</v>
    <v>24.33</v>
    <v>16.940000000000001</v>
    <v>1.321</v>
    <v>-0.26</v>
    <v>0</v>
    <v>-1.2019999999999999E-2</v>
    <v>0</v>
    <v>USD</v>
    <v>RXO, Inc. is a provider of asset-light transportation solutions. The Company offers tech-enabled truck brokerage services together with complementary solutions, including managed transportation, freight forwarding and last-mile delivery. It combines capacity and technology to move freight through supply chains across North America. Its self-learning RXO Connect digital brokerage platform encompasses Freight Optimizer, as well as its mobile app, application programming interface (API) integrations, self-service dashboards and real-time functionality for transacting and tracking freight shipments. Its managed transportation service provides asset-light solutions for shippers who outsource their freight transportation. Its control tower solution leverages the expertise of a dedicated team focused on continuous improvement, and digital, door-to-door visibility into order status and freight in transit. Its last mile offering is an asset-light service that facilitates consumer deliveries.</v>
    <v>8432</v>
    <v>New York Stock Exchange</v>
    <v>XNYS</v>
    <v>XNYS</v>
    <v>11215 North Community House Road, CHARLOTTE, NC, 28277 US</v>
    <v>21.54</v>
    <v>Freight &amp; Logistics Services</v>
    <v>Stock</v>
    <v>45363.83500237266</v>
    <v>20.93</v>
    <v>2502318013</v>
    <v>RXO, INC.</v>
    <v>RXO, INC.</v>
    <v>21.49</v>
    <v>649.74469999999997</v>
    <v>21.63</v>
    <v>21.37</v>
    <v>21.37</v>
    <v>117094900</v>
    <v>RXO</v>
    <v>RXO, INC. (XNYS:RXO)</v>
    <v>405587</v>
    <v>728168</v>
    <v>2022</v>
  </rv>
  <rv s="2">
    <v>154</v>
  </rv>
  <rv s="0">
    <v>https://www.bing.com/financeapi/forcetrigger?t=a22em7&amp;q=XNYS%3aRYN&amp;form=skydnc</v>
    <v>Learn more on Bing</v>
  </rv>
  <rv s="1">
    <v>en-US</v>
    <v>a22em7</v>
    <v>268435456</v>
    <v>1</v>
    <v>Powered by Refinitiv</v>
    <v>0</v>
    <v>RAYONIER INC. (XNYS:RYN)</v>
    <v>2</v>
    <v>3</v>
    <v>Finance</v>
    <v>5</v>
    <v>35.29</v>
    <v>24.691299999999998</v>
    <v>1.0875999999999999</v>
    <v>-0.28000000000000003</v>
    <v>0</v>
    <v>-8.036999999999999E-3</v>
    <v>0</v>
    <v>USD</v>
    <v>Rayonier Inc. is a timberland real estate investment trust (REIT) with assets located in productive softwood timber growing regions in the United States and New Zealand. The Company's segments include Southern Timber, Pacific Northwest Timber, New Zealand Timber, Real Estate and Trading. It owns, leases or manages approximately 2.7 million acres of timberland and real estate located in the United States South (1.85 million acres), United States Pacific Northwest (418,000 acres) and New Zealand (421,000 gross acres, or 297,000 net plan table acres). In addition, it engages in the trading of logs to Pacific Rim markets, predominantly from New Zealand and Australia, to support its New Zealand export operations. It also engages in log trading activities to these markets from the United States South and United States Pacific Northwest. Its Trading segment primarily reflects log trading activities in New Zealand and Australia conducted by its New Zealand subsidiary.</v>
    <v>439</v>
    <v>New York Stock Exchange</v>
    <v>XNYS</v>
    <v>XNYS</v>
    <v>1 Rayonier Way, JACKSONVILLE, FL, 32097 US</v>
    <v>34.78</v>
    <v>Residential &amp; Commercial REIT</v>
    <v>Stock</v>
    <v>45363.834339027344</v>
    <v>156</v>
    <v>34.200000000000003</v>
    <v>5136991488</v>
    <v>RAYONIER INC.</v>
    <v>RAYONIER INC.</v>
    <v>34.700000000000003</v>
    <v>30.349499999999999</v>
    <v>34.840000000000003</v>
    <v>34.56</v>
    <v>34.56</v>
    <v>148639800</v>
    <v>RYN</v>
    <v>RAYONIER INC. (XNYS:RYN)</v>
    <v>652195</v>
    <v>618361</v>
    <v>1993</v>
  </rv>
  <rv s="2">
    <v>157</v>
  </rv>
  <rv s="0">
    <v>https://www.bing.com/financeapi/forcetrigger?t=a2yedm&amp;q=XNYS%3aTAK&amp;form=skydnc</v>
    <v>Learn more on Bing</v>
  </rv>
  <rv s="1">
    <v>en-US</v>
    <v>a2yedm</v>
    <v>268435456</v>
    <v>1</v>
    <v>Powered by Refinitiv</v>
    <v>0</v>
    <v>Takeda Pharmaceutical Company Limited (XNYS:TAK)</v>
    <v>2</v>
    <v>3</v>
    <v>Finance</v>
    <v>5</v>
    <v>17.149999999999999</v>
    <v>13.19</v>
    <v>0.57609999999999995</v>
    <v>-0.2</v>
    <v>0</v>
    <v>-1.3727E-2</v>
    <v>0</v>
    <v>USD</v>
    <v>Takeda Pharmaceutical Company Limited is a Japan-based company mainly engaged in the pharmaceutical business. The Company is engaged in the research, development, manufacture and sale of pharmaceutical products, General medical products, quasi drugs and healthcare products in Japan and overseas. The Company's research and development functions are concentrated in four areas of oncology (cancer), digestive system diseases, rare diseases and neurology (neuropsychiatric diseases), as well as two business units of plasma fractionation products and vaccines. The Company is engaged in the improvement of pipelines at research and development centers located mainly in Japan and the United States.</v>
    <v>49095</v>
    <v>New York Stock Exchange</v>
    <v>XNYS</v>
    <v>XNYS</v>
    <v>4F, 2-1-1, Nihombashihon-cho, CHUO-KU, TOKYO-TO, 103-8668 JP</v>
    <v>14.51</v>
    <v>Pharmaceuticals</v>
    <v>Stock</v>
    <v>45363.833388946092</v>
    <v>159</v>
    <v>14.365</v>
    <v>46416490000</v>
    <v>Takeda Pharmaceutical Company Limited</v>
    <v>Takeda Pharmaceutical Company Limited</v>
    <v>14.5</v>
    <v>36.444499999999998</v>
    <v>14.57</v>
    <v>14.37</v>
    <v>14.37</v>
    <v>3164800000</v>
    <v>TAK</v>
    <v>Takeda Pharmaceutical Company Limited (XNYS:TAK)</v>
    <v>2101776</v>
    <v>1734813</v>
    <v>1925</v>
  </rv>
  <rv s="2">
    <v>160</v>
  </rv>
  <rv s="0">
    <v>https://www.bing.com/financeapi/forcetrigger?t=a24bsm&amp;q=XNYS%3aTMO&amp;form=skydnc</v>
    <v>Learn more on Bing</v>
  </rv>
  <rv s="1">
    <v>en-US</v>
    <v>a24bsm</v>
    <v>268435456</v>
    <v>1</v>
    <v>Powered by Refinitiv</v>
    <v>0</v>
    <v>THERMO FISHER SCIENTIFIC INC. (XNYS:TMO)</v>
    <v>2</v>
    <v>3</v>
    <v>Finance</v>
    <v>4</v>
    <v>603.82000000000005</v>
    <v>415.6</v>
    <v>0.79690000000000005</v>
    <v>-2.13</v>
    <v>8.0369999999999997E-4</v>
    <v>-3.5530000000000002E-3</v>
    <v>0.48</v>
    <v>USD</v>
    <v>Thermo Fisher Scientific Inc. is engaged in helping life sciences research, increasing laboratory productivity, and improving patient health through diagnostics and the development and manufacture of life-changing therapies. The Company's Life Sciences Solutions segment provides a portfolio of reagents, instruments and consumables used in biological and medical research, discovery and production of new drugs and vaccines as well as diagnosis of infection and disease. Analytical Instruments segment provides instruments and the supporting consumables, software and services that are used for a range of applications in the laboratory and in the field. Specialty Diagnostics segment offers a range of diagnostic test kits, reagents, culture media, instruments and associated products to serve customers in healthcare, clinical, pharmaceutical, industrial, and food safety laboratories. The Laboratory Products and Biopharma Services segment offers virtually everything needed for the laboratory.</v>
    <v>122000</v>
    <v>New York Stock Exchange</v>
    <v>XNYS</v>
    <v>XNYS</v>
    <v>168 Third Avenue, WALTHAM, MA, 02451 US</v>
    <v>600.62</v>
    <v>Healthcare Equipment &amp; Supplies</v>
    <v>Stock</v>
    <v>45363.847253193751</v>
    <v>162</v>
    <v>594.69000000000005</v>
    <v>227757836789</v>
    <v>THERMO FISHER SCIENTIFIC INC.</v>
    <v>THERMO FISHER SCIENTIFIC INC.</v>
    <v>598.9</v>
    <v>38.795499999999997</v>
    <v>599.42999999999995</v>
    <v>597.29999999999995</v>
    <v>597.73</v>
    <v>381312300</v>
    <v>TMO</v>
    <v>THERMO FISHER SCIENTIFIC INC. (XNYS:TMO)</v>
    <v>1145719</v>
    <v>1331123</v>
    <v>1960</v>
  </rv>
  <rv s="2">
    <v>163</v>
  </rv>
  <rv s="0">
    <v>https://www.bing.com/financeapi/forcetrigger?t=aaakz2&amp;q=XASX%3aWDS&amp;form=skydnc</v>
    <v>Learn more on Bing</v>
  </rv>
  <rv s="10">
    <v>en-US</v>
    <v>aaakz2</v>
    <v>268435456</v>
    <v>1</v>
    <v>Powered by Refinitiv</v>
    <v>23</v>
    <v>WOODSIDE ENERGY GROUP LTD (XASX:WDS)</v>
    <v>2</v>
    <v>24</v>
    <v>Finance</v>
    <v>25</v>
    <v>39.03</v>
    <v>28.76</v>
    <v>1.0873999999999999</v>
    <v>-0.34</v>
    <v>-1.1549E-2</v>
    <v>AUD</v>
    <v>Woodside Energy Group Ltd is an Australia-based global energy company. The Company's segments include Australia, International and Marketing. The Australia segment engaged in the exploration, evaluation, development, production and sale of liquified natural gas, pipeline gas, crude oil and condensate and natural gas liquids in Australia. The International segment engaged in the exploration, evaluation, development, production and sale of pipeline gas, crude oil &amp; condensate and natural gas liquids in international jurisdictions outside of Australia. The Marketing segment engaged in trading of liquified natural gas (non-produced) and optimization activities generating incremental value from produced liquified natural gas via scheduling, shipping and/or contract management. The Company’s projects include Pluto LNG, Northwest Shelf project, Wheatstone and Julimar-Brunello, Macedon, Bass Strait, Calypso, Browse, Wildling, Atlantis, Woodside Solar project and Scarborough and Pluto Train 2.</v>
    <v>4667</v>
    <v>Australian Securities Exchange</v>
    <v>XASX</v>
    <v>XASX</v>
    <v>Mia Yellagonga, 11 Mount Street, PERTH, WESTERN AUSTRALIA, 6000 AU</v>
    <v>29.34</v>
    <v>Oil &amp; Gas</v>
    <v>Stock</v>
    <v>45363.333333333336</v>
    <v>165</v>
    <v>29.09</v>
    <v>57361230000</v>
    <v>WOODSIDE ENERGY GROUP LTD</v>
    <v>WOODSIDE ENERGY GROUP LTD</v>
    <v>29.3</v>
    <v>22.75</v>
    <v>29.44</v>
    <v>29.1</v>
    <v>1898750000</v>
    <v>WDS</v>
    <v>WOODSIDE ENERGY GROUP LTD (XASX:WDS)</v>
    <v>5920882</v>
    <v>5529840</v>
    <v>1971</v>
  </rv>
  <rv s="2">
    <v>166</v>
  </rv>
  <rv s="0">
    <v>https://www.bing.com/financeapi/forcetrigger?t=a26a7w&amp;q=XNYS%3aXPO&amp;form=skydnc</v>
    <v>Learn more on Bing</v>
  </rv>
  <rv s="1">
    <v>en-US</v>
    <v>a26a7w</v>
    <v>268435456</v>
    <v>1</v>
    <v>Powered by Refinitiv</v>
    <v>0</v>
    <v>XPO, INC. (XNYS:XPO)</v>
    <v>2</v>
    <v>3</v>
    <v>Finance</v>
    <v>4</v>
    <v>129.43</v>
    <v>29.02</v>
    <v>2.2271000000000001</v>
    <v>2.9</v>
    <v>0</v>
    <v>2.3776000000000002E-2</v>
    <v>0</v>
    <v>USD</v>
    <v>XPO, Inc. is a provider of freight transportation services. The Company moves goods through its customers supply chains in North America and Europe. It operates through two segments: North American Less-Than-Truckload (LTL), and European Transportation. The North American LTL segment provides shippers with geographic density and day-definite domestic and cross-border services to the United States (U.S.), as well as Mexico, Canada, and the Caribbean. It also includes trailer manufacturing operations. The European Transportation segment offers a range of services, such as truckload, LTL, truck brokerage, managed transportation, last mile, freight forwarding and multimodal solutions, including road-rail and road-short sea combinations. It serves a base of customers in consumer, trade, and industrial markets. The Company offers XPO Connect, a cloud-based digital platform for transportation procurement that encompasses a freight optimizer system, shipper interface and carrier interface.</v>
    <v>38000</v>
    <v>New York Stock Exchange</v>
    <v>XNYS</v>
    <v>XNYS</v>
    <v>Five American Lane, GREENWICH, CT, 06831 US</v>
    <v>125.92</v>
    <v>Freight &amp; Logistics Services</v>
    <v>Stock</v>
    <v>45363.847227534374</v>
    <v>168</v>
    <v>121.5</v>
    <v>14499017823</v>
    <v>XPO, INC.</v>
    <v>XPO, INC.</v>
    <v>122.42</v>
    <v>75.128699999999995</v>
    <v>121.97</v>
    <v>124.87</v>
    <v>124.94</v>
    <v>116112900</v>
    <v>XPO</v>
    <v>XPO, INC. (XNYS:XPO)</v>
    <v>890497</v>
    <v>1582379</v>
    <v>2000</v>
  </rv>
  <rv s="2">
    <v>169</v>
  </rv>
  <rv s="0">
    <v>https://www.bing.com/financeapi/forcetrigger?t=albpim&amp;q=XMEX%3aATVI*&amp;form=skydnc</v>
    <v>Learn more on Bing</v>
  </rv>
  <rv s="11">
    <v>en-US</v>
    <v>albpim</v>
    <v>268435456</v>
    <v>1</v>
    <v>Powered by Refinitiv</v>
    <v>26</v>
    <v>ACTIVISION BLIZZARD, INC. (XMEX:ATVI*)</v>
    <v>2</v>
    <v>27</v>
    <v>Finance</v>
    <v>25</v>
    <v>1718</v>
    <v>1335</v>
    <v>0.37</v>
    <v>-16</v>
    <v>-9.3509999999999999E-3</v>
    <v>MXN</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Others. Activision segment delivers content through both premium and free-to-play offerings and also includes the activities of the Call of Duty League, a global professional e-sports league. Blizzard segment delivers content through both premium and free-to-play offerings and maintains an online gaming service, Blizzard Battle.net, which facilitates the digital distribution of Blizzard content and selected Activision content. King segment delivers content on the mobile platform. Kings’ product franchise is Candy Crush, a match-three franchise.</v>
    <v>13000</v>
    <v>Mexican Stock Exchange</v>
    <v>XMEX</v>
    <v>XMEX</v>
    <v>2701 Olympic Boulevard, Building B, SANTA MONICA, CA, 90404 US</v>
    <v>1698.78</v>
    <v>Software &amp; IT Services</v>
    <v>Stock</v>
    <v>45209.833310185182</v>
    <v>171</v>
    <v>1695</v>
    <v>74226550000</v>
    <v>ACTIVISION BLIZZARD, INC.</v>
    <v>ACTIVISION BLIZZARD, INC.</v>
    <v>1696.36</v>
    <v>1711</v>
    <v>1695</v>
    <v>786798300</v>
    <v>ATVI*</v>
    <v>ACTIVISION BLIZZARD, INC. (XMEX:ATVI*)</v>
    <v>1</v>
    <v>6126480</v>
    <v>2000</v>
  </rv>
  <rv s="2">
    <v>172</v>
  </rv>
  <rv s="0">
    <v>https://www.bing.com/financeapi/forcetrigger?t=bn8tlh&amp;q=XMEX%3aVMW*&amp;form=skydnc</v>
    <v>Learn more on Bing</v>
  </rv>
  <rv s="11">
    <v>en-US</v>
    <v>bn8tlh</v>
    <v>268435456</v>
    <v>1</v>
    <v>Powered by Refinitiv</v>
    <v>26</v>
    <v>VMWARE, INC. (XMEX:VMW*)</v>
    <v>2</v>
    <v>27</v>
    <v>Finance</v>
    <v>25</v>
    <v>2933.82</v>
    <v>2200</v>
    <v>0.66869999999999996</v>
    <v>-346.74</v>
    <v>-0.118187</v>
    <v>MXN</v>
    <v>VMware, Inc. is a provider of multi-cloud services for all apps that enables digital with enterprise control. Its multi-cloud portfolio, spanning application modernization, cloud management, cloud infrastructure, networking, security and anywhere workspaces, forms a digital foundation on which customers can build, run, manage, connect and protect their workloads. The Company’s products within its application modernization portfolio include Tanzu Application Platform, Tanzu Operations Platform, Tanzu Application Service, Tanzu Observability, Tanzu Community Edition and Tanzu Labs. Its cloud management products help customers manage multi-cloud environments running a range of workloads, including virtual machines and containers. Its cloud infrastructure solutions include infrastructure products and services that enable customers to run enterprise applications anywhere with a consistent infrastructure and operating model from on-premises data centers to the cloud and to the edge.</v>
    <v>38300</v>
    <v>Mexican Stock Exchange</v>
    <v>XMEX</v>
    <v>XMEX</v>
    <v>3401 Hillview Avenue, PALO ALTO, CA, 94304 US</v>
    <v>2587.08</v>
    <v>Software &amp; IT Services</v>
    <v>Stock</v>
    <v>45246.862534722219</v>
    <v>174</v>
    <v>2587.08</v>
    <v>64427310000</v>
    <v>VMWARE, INC.</v>
    <v>VMWARE, INC.</v>
    <v>2587.08</v>
    <v>2933.82</v>
    <v>2587.08</v>
    <v>431789500</v>
    <v>VMW*</v>
    <v>VMWARE, INC. (XMEX:VMW*)</v>
    <v>2930</v>
    <v>661490</v>
    <v>1998</v>
  </rv>
  <rv s="2">
    <v>175</v>
  </rv>
  <rv s="0">
    <v>https://www.bing.com/financeapi/forcetrigger?t=a325p2&amp;q=XNYS%3aWDS&amp;form=skydnc</v>
    <v>Learn more on Bing</v>
  </rv>
  <rv s="12">
    <v>en-US</v>
    <v>a325p2</v>
    <v>268435456</v>
    <v>1</v>
    <v>Powered by Refinitiv</v>
    <v>28</v>
    <v>WOODSIDE ENERGY GROUP LTD (XNYS:WDS)</v>
    <v>2</v>
    <v>29</v>
    <v>Finance</v>
    <v>5</v>
    <v>25.84</v>
    <v>19.024999999999999</v>
    <v>0.71099999999999997</v>
    <v>-0.3</v>
    <v>-5.2220000000000001E-4</v>
    <v>-1.5424E-2</v>
    <v>-0.01</v>
    <v>USD</v>
    <v>Woodside Energy Group Ltd is an Australia-based global energy company. The Company's segments include Australia, International and Marketing. The Australia segment engaged in the exploration, evaluation, development, production and sale of liquified natural gas, pipeline gas, crude oil and condensate and natural gas liquids in Australia. The International segment engaged in the exploration, evaluation, development, production and sale of pipeline gas, crude oil &amp; condensate and natural gas liquids in international jurisdictions outside of Australia. The Marketing segment engaged in trading of liquified natural gas (non-produced) and optimization activities generating incremental value from produced liquified natural gas via scheduling, shipping and/or contract management. The Company’s projects include Pluto LNG, Northwest Shelf project, Wheatstone and Julimar-Brunello, Macedon, Bass Strait, Calypso, Browse, Wildling, Atlantis, Woodside Solar project and Scarborough and Pluto Train 2.</v>
    <v>New York Stock Exchange</v>
    <v>XNYS</v>
    <v>XNYS</v>
    <v>Mia Yellagonga, 11 Mount Street, PERTH, WESTERN AUSTRALIA, 6000 AU</v>
    <v>19.260000000000002</v>
    <v>Stock</v>
    <v>45363.833553553122</v>
    <v>177</v>
    <v>19.060099999999998</v>
    <v>WOODSIDE ENERGY GROUP LTD</v>
    <v>WOODSIDE ENERGY GROUP LTD</v>
    <v>19.22</v>
    <v>19.45</v>
    <v>19.149999999999999</v>
    <v>19.14</v>
    <v>WDS</v>
    <v>WOODSIDE ENERGY GROUP LTD (XNYS:WDS)</v>
    <v>819369</v>
    <v>1056000</v>
  </rv>
  <rv s="2">
    <v>178</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strument type" t="s"/>
    <k n="Last trade time"/>
    <k n="LearnMoreOnLink" t="r"/>
    <k n="Low"/>
    <k n="Name" t="s"/>
    <k n="Official name" t="s"/>
    <k n="Open"/>
    <k n="Previous close"/>
    <k n="Price"/>
    <k n="Price (Extended hours)"/>
    <k n="Ticker symbol" t="s"/>
    <k n="UniqueName" t="s"/>
    <k n="Volume"/>
    <k n="Volume average"/>
  </s>
</rvStructures>
</file>

<file path=xl/richData/rdsupportingpropertybag.xml><?xml version="1.0" encoding="utf-8"?>
<supportingPropertyBags xmlns="http://schemas.microsoft.com/office/spreadsheetml/2017/richdata2">
  <spbArrays count="9">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LearnMoreOnLink</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Beta</v>
      <v t="s">Description</v>
      <v t="s">Headquarters</v>
      <v t="s">Instrument type</v>
      <v t="s">_Flags</v>
      <v t="s">UniqueName</v>
      <v t="s">_DisplayString</v>
      <v t="s">LearnMoreOnLink</v>
      <v t="s">ExchangeID</v>
      <v t="s">%ProviderInfo</v>
    </a>
  </spbArrays>
  <spbData count="30">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4">
      <v>at close</v>
      <v>from previous close</v>
      <v>from previous close</v>
      <v>Source: Nasdaq</v>
      <v>GMT</v>
      <v>Delayed 15 minutes</v>
      <v>from close</v>
      <v>from close</v>
    </spb>
    <spb s="0">
      <v>1</v>
      <v>Name</v>
      <v>LearnMoreOnLink</v>
    </spb>
    <spb s="5">
      <v>0</v>
      <v>0</v>
    </spb>
    <spb s="6">
      <v>7</v>
      <v>1</v>
      <v>1</v>
      <v>1</v>
      <v>1</v>
    </spb>
    <spb s="7">
      <v>1</v>
      <v>2</v>
      <v>2</v>
      <v>1</v>
      <v>3</v>
      <v>1</v>
      <v>10</v>
      <v>1</v>
      <v>1</v>
      <v>4</v>
      <v>4</v>
      <v>5</v>
      <v>6</v>
      <v>1</v>
      <v>1</v>
      <v>1</v>
      <v>4</v>
      <v>7</v>
      <v>8</v>
      <v>9</v>
      <v>4</v>
      <v>1</v>
      <v>1</v>
      <v>5</v>
    </spb>
    <spb s="8">
      <v>Powered by Refinitiv</v>
    </spb>
    <spb s="0">
      <v>2</v>
      <v>Name</v>
      <v>LearnMoreOnLink</v>
    </spb>
    <spb s="9">
      <v>1</v>
      <v>2</v>
      <v>1</v>
      <v>3</v>
      <v>1</v>
      <v>1</v>
      <v>1</v>
      <v>4</v>
      <v>4</v>
      <v>5</v>
      <v>6</v>
      <v>1</v>
      <v>1</v>
      <v>1</v>
      <v>4</v>
      <v>7</v>
      <v>8</v>
      <v>9</v>
      <v>4</v>
      <v>1</v>
      <v>1</v>
      <v>5</v>
    </spb>
    <spb s="0">
      <v>3</v>
      <v>Name</v>
      <v>LearnMoreOnLink</v>
    </spb>
    <spb s="10">
      <v>1</v>
      <v>1</v>
      <v>1</v>
    </spb>
    <spb s="11">
      <v>1</v>
      <v>1</v>
      <v>3</v>
      <v>1</v>
      <v>1</v>
      <v>1</v>
      <v>4</v>
      <v>5</v>
      <v>1</v>
      <v>1</v>
      <v>1</v>
      <v>4</v>
      <v>7</v>
      <v>9</v>
      <v>1</v>
      <v>1</v>
      <v>5</v>
    </spb>
    <spb s="12">
      <v>at close</v>
      <v>from previous close</v>
      <v>Source: Nasdaq Last Sale</v>
      <v>from previous close</v>
      <v>GMT</v>
      <v>Real-Time Nasdaq Last Sale</v>
      <v>from close</v>
      <v>from close</v>
    </spb>
    <spb s="0">
      <v>4</v>
      <v>Name</v>
      <v>LearnMoreOnLink</v>
    </spb>
    <spb s="13">
      <v>1</v>
      <v>2</v>
      <v>1</v>
      <v>3</v>
      <v>1</v>
      <v>1</v>
      <v>1</v>
      <v>4</v>
      <v>5</v>
      <v>6</v>
      <v>1</v>
      <v>1</v>
      <v>5</v>
      <v>1</v>
      <v>4</v>
      <v>7</v>
      <v>9</v>
      <v>1</v>
      <v>1</v>
      <v>5</v>
    </spb>
    <spb s="12">
      <v>at close</v>
      <v>from previous close</v>
      <v>Source: Nasdaq</v>
      <v>from previous close</v>
      <v>GMT</v>
      <v>Delayed 15 minutes</v>
      <v>from close</v>
      <v>from close</v>
    </spb>
    <spb s="3">
      <v>1</v>
      <v>2</v>
      <v>2</v>
      <v>1</v>
      <v>3</v>
      <v>1</v>
      <v>1</v>
      <v>1</v>
      <v>4</v>
      <v>4</v>
      <v>5</v>
      <v>11</v>
      <v>1</v>
      <v>1</v>
      <v>1</v>
      <v>4</v>
      <v>7</v>
      <v>8</v>
      <v>9</v>
      <v>4</v>
      <v>1</v>
      <v>1</v>
      <v>5</v>
    </spb>
    <spb s="14">
      <v>5</v>
      <v>Name</v>
    </spb>
    <spb s="15">
      <v>1</v>
      <v>1</v>
      <v>1</v>
    </spb>
    <spb s="0">
      <v>6</v>
      <v>Name</v>
      <v>LearnMoreOnLink</v>
    </spb>
    <spb s="16">
      <v>12</v>
      <v>2</v>
      <v>2</v>
      <v>12</v>
      <v>3</v>
      <v>12</v>
      <v>12</v>
      <v>12</v>
      <v>4</v>
      <v>4</v>
      <v>5</v>
      <v>13</v>
      <v>12</v>
      <v>12</v>
      <v>12</v>
      <v>4</v>
      <v>7</v>
      <v>8</v>
      <v>9</v>
      <v>4</v>
    </spb>
    <spb s="17">
      <v>Delayed 20 minutes</v>
      <v>from previous close</v>
      <v>from previous close</v>
      <v>GMT</v>
    </spb>
    <spb s="0">
      <v>7</v>
      <v>Name</v>
      <v>LearnMoreOnLink</v>
    </spb>
    <spb s="18">
      <v>14</v>
      <v>2</v>
      <v>14</v>
      <v>3</v>
      <v>14</v>
      <v>14</v>
      <v>14</v>
      <v>4</v>
      <v>4</v>
      <v>5</v>
      <v>6</v>
      <v>14</v>
      <v>14</v>
      <v>14</v>
      <v>4</v>
      <v>7</v>
      <v>8</v>
      <v>9</v>
      <v>4</v>
    </spb>
    <spb s="0">
      <v>8</v>
      <v>Name</v>
      <v>LearnMoreOnLink</v>
    </spb>
    <spb s="19">
      <v>1</v>
      <v>2</v>
      <v>1</v>
      <v>3</v>
      <v>1</v>
      <v>1</v>
      <v>1</v>
      <v>4</v>
      <v>5</v>
      <v>1</v>
      <v>1</v>
      <v>1</v>
      <v>4</v>
      <v>7</v>
      <v>9</v>
      <v>1</v>
      <v>1</v>
      <v>5</v>
    </spb>
  </spbData>
</supportingPropertyBags>
</file>

<file path=xl/richData/rdsupportingpropertybagstructure.xml><?xml version="1.0" encoding="utf-8"?>
<spbStructures xmlns="http://schemas.microsoft.com/office/spreadsheetml/2017/richdata2" count="2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s>
  <s>
    <k n="Low" t="i"/>
    <k n="High" t="i"/>
    <k n="Name" t="i"/>
    <k n="Open" t="i"/>
    <k n="Price" t="i"/>
    <k n="Change" t="i"/>
    <k n="Volume" t="i"/>
    <k n="Change (%)" t="i"/>
    <k n="52 week low" t="i"/>
    <k n="52 week high"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Order" t="spba"/>
    <k n="TitleProperty"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Change (%)" t="i"/>
    <k n="52 week low" t="i"/>
    <k n="52 week high" t="i"/>
    <k n="Previous close" t="i"/>
    <k n="Volume average" t="i"/>
    <k n="Last trade time" t="i"/>
    <k n="`%EntityServiceId"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d\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_-[$$-en-CA]* #,##0_-;-[$$-en-CA]* #,##0_-;_-[$$-en-CA]* "-"_-;_-@_-</rpv>
    </rSty>
    <rSty dxfid="1">
      <rpv i="0">_-[$$-en-AU]* #,##0.00_-;-[$$-en-AU]* #,##0.00_-;_-[$$-en-AU]* "-"??_-;_-@_-</rpv>
    </rSty>
    <rSty dxfid="1">
      <rpv i="0">_-[$$-en-AU]* #,##0_-;-[$$-en-AU]* #,##0_-;_-[$$-en-AU]* "-"_-;_-@_-</rpv>
    </rSty>
    <rSty dxfid="1">
      <rpv i="0">_-[$$-es-MX]* #,##0.00_-;-[$$-es-MX]* #,##0.00_-;_-[$$-es-MX]* "-"??_-;_-@_-</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showGridLines="0" tabSelected="1" workbookViewId="0">
      <selection activeCell="N21" sqref="N21"/>
    </sheetView>
  </sheetViews>
  <sheetFormatPr defaultColWidth="14.453125" defaultRowHeight="15" customHeight="1" x14ac:dyDescent="0.35"/>
  <cols>
    <col min="1" max="1" width="3.54296875" customWidth="1"/>
    <col min="2" max="2" width="31.81640625" customWidth="1"/>
    <col min="3" max="3" width="17.7265625" customWidth="1"/>
    <col min="4" max="4" width="12.54296875" customWidth="1"/>
    <col min="5" max="5" width="10.453125" customWidth="1"/>
    <col min="6" max="6" width="10.81640625" customWidth="1"/>
    <col min="7" max="7" width="10.54296875" customWidth="1"/>
    <col min="8" max="8" width="9.54296875" customWidth="1"/>
    <col min="9" max="9" width="14" customWidth="1"/>
    <col min="10" max="10" width="15.81640625" customWidth="1"/>
    <col min="11" max="11" width="11.08984375" customWidth="1"/>
    <col min="12" max="12" width="17.453125" customWidth="1"/>
    <col min="13" max="13" width="15.81640625" customWidth="1"/>
    <col min="14" max="26" width="8.7265625" customWidth="1"/>
  </cols>
  <sheetData>
    <row r="1" spans="1:26" ht="14.25" customHeight="1" x14ac:dyDescent="0.35">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2" t="s">
        <v>0</v>
      </c>
      <c r="C2" s="3"/>
      <c r="D2" s="3"/>
      <c r="E2" s="3"/>
      <c r="F2" s="3"/>
      <c r="G2" s="3"/>
      <c r="H2" s="3"/>
      <c r="I2" s="3"/>
      <c r="J2" s="3"/>
      <c r="K2" s="3"/>
      <c r="L2" s="3"/>
      <c r="M2" s="3"/>
      <c r="N2" s="3"/>
      <c r="O2" s="3"/>
      <c r="P2" s="3"/>
      <c r="Q2" s="3"/>
      <c r="R2" s="3"/>
      <c r="T2" s="1"/>
      <c r="U2" s="1"/>
      <c r="V2" s="1"/>
      <c r="W2" s="1"/>
      <c r="X2" s="1"/>
      <c r="Y2" s="1"/>
      <c r="Z2" s="1"/>
    </row>
    <row r="3" spans="1:26" ht="14.25" customHeight="1" x14ac:dyDescent="0.35">
      <c r="A3" s="1"/>
      <c r="B3" s="4" t="s">
        <v>1</v>
      </c>
      <c r="C3" s="3"/>
      <c r="D3" s="3"/>
      <c r="E3" s="3"/>
      <c r="F3" s="3"/>
      <c r="G3" s="3"/>
      <c r="H3" s="3"/>
      <c r="I3" s="3"/>
      <c r="J3" s="3"/>
      <c r="K3" s="3"/>
      <c r="L3" s="3"/>
      <c r="M3" s="3"/>
      <c r="N3" s="3"/>
      <c r="O3" s="3"/>
      <c r="P3" s="3"/>
      <c r="Q3" s="3"/>
      <c r="R3" s="3"/>
      <c r="T3" s="1"/>
      <c r="U3" s="1"/>
      <c r="V3" s="1"/>
      <c r="W3" s="1"/>
      <c r="X3" s="1"/>
      <c r="Y3" s="1"/>
      <c r="Z3" s="1"/>
    </row>
    <row r="4" spans="1:26" ht="14.25" customHeight="1" x14ac:dyDescent="0.35">
      <c r="A4" s="1"/>
      <c r="B4" s="5" t="s">
        <v>2</v>
      </c>
      <c r="C4" s="3"/>
      <c r="D4" s="3"/>
      <c r="E4" s="3"/>
      <c r="F4" s="3"/>
      <c r="G4" s="3"/>
      <c r="H4" s="3"/>
      <c r="I4" s="3"/>
      <c r="J4" s="3"/>
      <c r="K4" s="3"/>
      <c r="L4" s="3"/>
      <c r="M4" s="3"/>
      <c r="N4" s="3"/>
      <c r="O4" s="3"/>
      <c r="P4" s="3"/>
      <c r="Q4" s="3"/>
      <c r="R4" s="3"/>
      <c r="T4" s="1"/>
      <c r="U4" s="1"/>
      <c r="V4" s="1"/>
      <c r="W4" s="1"/>
      <c r="X4" s="1"/>
      <c r="Y4" s="1"/>
      <c r="Z4" s="1"/>
    </row>
    <row r="5" spans="1:26" ht="14.25" customHeight="1" x14ac:dyDescent="0.35">
      <c r="A5" s="1"/>
      <c r="B5" s="1"/>
      <c r="C5" s="6"/>
      <c r="D5" s="6"/>
      <c r="E5" s="7"/>
      <c r="F5" s="1"/>
      <c r="G5" s="1"/>
      <c r="H5" s="1"/>
      <c r="I5" s="1"/>
      <c r="J5" s="1"/>
      <c r="K5" s="1"/>
      <c r="L5" s="1"/>
      <c r="M5" s="1"/>
      <c r="N5" s="1"/>
      <c r="O5" s="1"/>
      <c r="P5" s="1"/>
      <c r="Q5" s="1"/>
      <c r="R5" s="1"/>
      <c r="T5" s="1"/>
      <c r="U5" s="1"/>
      <c r="V5" s="1"/>
      <c r="W5" s="1"/>
      <c r="X5" s="1"/>
      <c r="Y5" s="1"/>
      <c r="Z5" s="1"/>
    </row>
    <row r="6" spans="1:26" ht="14.25" customHeight="1" x14ac:dyDescent="0.35">
      <c r="A6" s="1"/>
      <c r="B6" s="8" t="s">
        <v>3</v>
      </c>
      <c r="C6" s="9">
        <f>SUM(H10:H62)</f>
        <v>79916.975340000005</v>
      </c>
      <c r="D6" s="6"/>
      <c r="E6" s="7"/>
      <c r="F6" s="1"/>
      <c r="G6" s="1"/>
      <c r="H6" s="1"/>
      <c r="I6" s="1"/>
      <c r="J6" s="1"/>
      <c r="K6" s="1"/>
      <c r="L6" s="1"/>
      <c r="M6" s="1"/>
      <c r="N6" s="1"/>
      <c r="O6" s="1"/>
      <c r="P6" s="1"/>
      <c r="Q6" s="1"/>
      <c r="R6" s="1"/>
      <c r="T6" s="1"/>
      <c r="U6" s="1"/>
      <c r="V6" s="1"/>
      <c r="W6" s="1"/>
      <c r="X6" s="1"/>
      <c r="Y6" s="1"/>
      <c r="Z6" s="1"/>
    </row>
    <row r="7" spans="1:26" ht="14.25" customHeight="1" x14ac:dyDescent="0.35">
      <c r="A7" s="1"/>
      <c r="B7" s="1" t="s">
        <v>4</v>
      </c>
      <c r="C7" s="1">
        <f>COUNT(D10:D62)</f>
        <v>53</v>
      </c>
      <c r="D7" s="1"/>
      <c r="E7" s="1"/>
      <c r="F7" s="1"/>
      <c r="G7" s="1"/>
      <c r="H7" s="1"/>
      <c r="I7" s="1"/>
      <c r="J7" s="1"/>
      <c r="K7" s="1"/>
      <c r="L7" s="1"/>
      <c r="M7" s="1"/>
      <c r="N7" s="1"/>
      <c r="O7" s="1"/>
      <c r="P7" s="1"/>
      <c r="Q7" s="1"/>
      <c r="R7" s="1"/>
      <c r="S7" s="1"/>
      <c r="T7" s="1"/>
      <c r="U7" s="1"/>
      <c r="V7" s="1"/>
      <c r="W7" s="1"/>
      <c r="X7" s="1"/>
      <c r="Y7" s="1"/>
      <c r="Z7" s="1"/>
    </row>
    <row r="8" spans="1:26" ht="14.25" customHeight="1" x14ac:dyDescent="0.35">
      <c r="A8" s="1"/>
      <c r="B8" s="1"/>
      <c r="C8" s="1"/>
      <c r="D8" s="46" t="s">
        <v>5</v>
      </c>
      <c r="E8" s="47"/>
      <c r="F8" s="48"/>
      <c r="G8" s="46" t="s">
        <v>6</v>
      </c>
      <c r="H8" s="47"/>
      <c r="I8" s="47"/>
      <c r="J8" s="47"/>
      <c r="K8" s="47"/>
      <c r="L8" s="47"/>
      <c r="M8" s="47"/>
      <c r="N8" s="1"/>
      <c r="O8" s="1"/>
      <c r="P8" s="1"/>
      <c r="Q8" s="1"/>
      <c r="R8" s="1"/>
      <c r="S8" s="1"/>
      <c r="T8" s="1"/>
      <c r="U8" s="1"/>
      <c r="V8" s="1"/>
      <c r="W8" s="1"/>
      <c r="X8" s="1"/>
      <c r="Y8" s="1"/>
      <c r="Z8" s="1"/>
    </row>
    <row r="9" spans="1:26" ht="14.25" customHeight="1" x14ac:dyDescent="0.35">
      <c r="A9" s="1"/>
      <c r="B9" s="10" t="s">
        <v>7</v>
      </c>
      <c r="C9" s="10" t="s">
        <v>8</v>
      </c>
      <c r="D9" s="10" t="s">
        <v>9</v>
      </c>
      <c r="E9" s="10" t="s">
        <v>10</v>
      </c>
      <c r="F9" s="11" t="s">
        <v>11</v>
      </c>
      <c r="G9" s="10" t="s">
        <v>12</v>
      </c>
      <c r="H9" s="10" t="s">
        <v>13</v>
      </c>
      <c r="I9" s="10" t="s">
        <v>14</v>
      </c>
      <c r="J9" s="10" t="s">
        <v>15</v>
      </c>
      <c r="K9" s="10" t="s">
        <v>16</v>
      </c>
      <c r="L9" s="10" t="s">
        <v>17</v>
      </c>
      <c r="M9" s="10"/>
      <c r="N9" s="1"/>
      <c r="O9" s="1"/>
      <c r="P9" s="1"/>
      <c r="Q9" s="1"/>
      <c r="R9" s="1"/>
      <c r="S9" s="1"/>
      <c r="T9" s="1"/>
      <c r="U9" s="1"/>
      <c r="V9" s="1"/>
      <c r="W9" s="1"/>
      <c r="X9" s="1"/>
      <c r="Y9" s="1"/>
      <c r="Z9" s="1"/>
    </row>
    <row r="10" spans="1:26" ht="14.25" customHeight="1" x14ac:dyDescent="0.35">
      <c r="A10" s="1"/>
      <c r="B10" s="1" t="e" vm="1">
        <v>#VALUE!</v>
      </c>
      <c r="C10" s="1" t="s">
        <v>18</v>
      </c>
      <c r="D10" s="12">
        <v>20.748000000000001</v>
      </c>
      <c r="E10" s="13">
        <v>65.757180000000005</v>
      </c>
      <c r="F10" s="14">
        <v>1364.33</v>
      </c>
      <c r="G10" s="49" cm="1">
        <f t="array" ref="G10">_FV(B10,"Price")</f>
        <v>173.23</v>
      </c>
      <c r="H10" s="16">
        <f t="shared" ref="H10" si="0">G10*D10</f>
        <v>3594.1760399999998</v>
      </c>
      <c r="I10" s="17">
        <f t="shared" ref="I10" si="1">G10/E10-1</f>
        <v>1.6343891267843293</v>
      </c>
      <c r="J10" s="17">
        <f ca="1">IFERROR(__xludf.DUMMYFUNCTION("(G11-INDEX(GOOGLEFINANCE(C11,""price"",TODAY()-7),2,2))/(INDEX(GOOGLEFINANCE(C11,""price"",TODAY()-7),2,2))"),0.0119740186388024)</f>
        <v>1.1974018638802399E-2</v>
      </c>
      <c r="K10" s="18">
        <f t="shared" ref="K10" si="2">H10-F10</f>
        <v>2229.8460399999999</v>
      </c>
      <c r="L10" s="19">
        <f ca="1">IFERROR(__xludf.DUMMYFUNCTION("IFERROR(GOOGLEFINANCE(C11,""pe""),""Not Available"")"),65.88)</f>
        <v>65.88</v>
      </c>
      <c r="N10" s="1"/>
      <c r="O10" s="1"/>
      <c r="P10" s="1"/>
      <c r="Q10" s="1"/>
      <c r="R10" s="1"/>
      <c r="S10" s="1"/>
      <c r="T10" s="1"/>
      <c r="U10" s="1"/>
      <c r="V10" s="1"/>
      <c r="W10" s="1"/>
      <c r="X10" s="1"/>
      <c r="Y10" s="1"/>
      <c r="Z10" s="1"/>
    </row>
    <row r="11" spans="1:26" ht="14.25" customHeight="1" x14ac:dyDescent="0.35">
      <c r="A11" s="1"/>
      <c r="B11" s="1" t="e" vm="2">
        <v>#VALUE!</v>
      </c>
      <c r="C11" s="1" t="s">
        <v>19</v>
      </c>
      <c r="D11" s="12">
        <v>6.1980000000000004</v>
      </c>
      <c r="E11" s="13">
        <v>93.218779999999995</v>
      </c>
      <c r="F11" s="20">
        <v>577.77</v>
      </c>
      <c r="G11" s="49" cm="1">
        <f t="array" ref="G11">_FV(B11,"Price")</f>
        <v>180.87</v>
      </c>
      <c r="H11" s="16">
        <f t="shared" ref="H10:H62" si="3">G11*D11</f>
        <v>1121.0322600000002</v>
      </c>
      <c r="I11" s="17">
        <f t="shared" ref="I10:I62" si="4">G11/E11-1</f>
        <v>0.94027426662309899</v>
      </c>
      <c r="J11" s="17">
        <f ca="1">IFERROR(__xludf.DUMMYFUNCTION("(G11-INDEX(GOOGLEFINANCE(C11,""price"",TODAY()-7),2,2))/(INDEX(GOOGLEFINANCE(C11,""price"",TODAY()-7),2,2))"),0.0119740186388024)</f>
        <v>1.1974018638802399E-2</v>
      </c>
      <c r="K11" s="18">
        <f t="shared" ref="K10:K62" si="5">H11-F11</f>
        <v>543.2622600000002</v>
      </c>
      <c r="L11" s="19">
        <f ca="1">IFERROR(__xludf.DUMMYFUNCTION("IFERROR(GOOGLEFINANCE(C11,""pe""),""Not Available"")"),65.88)</f>
        <v>65.88</v>
      </c>
      <c r="M11" s="7"/>
      <c r="N11" s="1"/>
      <c r="O11" s="1"/>
      <c r="P11" s="1"/>
      <c r="Q11" s="1"/>
      <c r="R11" s="1"/>
      <c r="S11" s="1"/>
      <c r="T11" s="1"/>
      <c r="U11" s="1"/>
      <c r="V11" s="1"/>
      <c r="W11" s="1"/>
      <c r="X11" s="1"/>
      <c r="Y11" s="1"/>
      <c r="Z11" s="1"/>
    </row>
    <row r="12" spans="1:26" ht="14.25" customHeight="1" x14ac:dyDescent="0.35">
      <c r="A12" s="1"/>
      <c r="B12" s="1" t="e" vm="3">
        <v>#VALUE!</v>
      </c>
      <c r="C12" s="1" t="s">
        <v>20</v>
      </c>
      <c r="D12" s="12">
        <v>7.44</v>
      </c>
      <c r="E12" s="13">
        <v>66.708330000000004</v>
      </c>
      <c r="F12" s="20">
        <v>496.31</v>
      </c>
      <c r="G12" s="49" cm="1">
        <f t="array" ref="G12">_FV(B12,"Price")</f>
        <v>57.06</v>
      </c>
      <c r="H12" s="16">
        <f t="shared" si="3"/>
        <v>424.52640000000002</v>
      </c>
      <c r="I12" s="17">
        <f t="shared" si="4"/>
        <v>-0.14463456063133351</v>
      </c>
      <c r="J12" s="17">
        <f ca="1">IFERROR(__xludf.DUMMYFUNCTION("(G12-INDEX(GOOGLEFINANCE(C12,""price"",TODAY()-7),2,2))/(INDEX(GOOGLEFINANCE(C12,""price"",TODAY()-7),2,2))"),0.0332581736189403)</f>
        <v>3.3258173618940297E-2</v>
      </c>
      <c r="K12" s="18">
        <f t="shared" si="5"/>
        <v>-71.783599999999979</v>
      </c>
      <c r="L12" s="19">
        <f ca="1">IFERROR(__xludf.DUMMYFUNCTION("IFERROR(GOOGLEFINANCE(C12,""pe""),""Not Available"")"),7.65)</f>
        <v>7.65</v>
      </c>
      <c r="M12" s="7"/>
      <c r="N12" s="1"/>
      <c r="O12" s="1"/>
      <c r="P12" s="1"/>
      <c r="Q12" s="1"/>
      <c r="R12" s="1"/>
      <c r="S12" s="1"/>
      <c r="T12" s="1"/>
      <c r="U12" s="1"/>
      <c r="V12" s="1"/>
      <c r="W12" s="1"/>
      <c r="X12" s="1"/>
      <c r="Y12" s="1"/>
      <c r="Z12" s="1"/>
    </row>
    <row r="13" spans="1:26" ht="14.25" customHeight="1" x14ac:dyDescent="0.35">
      <c r="A13" s="1"/>
      <c r="B13" s="1" t="e" vm="4">
        <v>#VALUE!</v>
      </c>
      <c r="C13" s="1" t="s">
        <v>21</v>
      </c>
      <c r="D13" s="12">
        <v>5.0069999999999997</v>
      </c>
      <c r="E13" s="13">
        <v>45.69003</v>
      </c>
      <c r="F13" s="20">
        <v>228.77</v>
      </c>
      <c r="G13" s="49" cm="1">
        <f t="array" ref="G13">_FV(B13,"Price")</f>
        <v>67.27</v>
      </c>
      <c r="H13" s="16">
        <f t="shared" si="3"/>
        <v>336.82088999999996</v>
      </c>
      <c r="I13" s="17">
        <f t="shared" si="4"/>
        <v>0.47231244978390241</v>
      </c>
      <c r="J13" s="17">
        <f ca="1">IFERROR(__xludf.DUMMYFUNCTION("(G13-INDEX(GOOGLEFINANCE(C13,""price"",TODAY()-7),2,2))/(INDEX(GOOGLEFINANCE(C13,""price"",TODAY()-7),2,2))"),-0.0846483016849424)</f>
        <v>-8.4648301684942404E-2</v>
      </c>
      <c r="K13" s="18">
        <f t="shared" si="5"/>
        <v>108.05088999999995</v>
      </c>
      <c r="L13" s="19">
        <f ca="1">IFERROR(__xludf.DUMMYFUNCTION("IFERROR(GOOGLEFINANCE(C13,""pe""),""Not Available"")"),10.57)</f>
        <v>10.57</v>
      </c>
      <c r="M13" s="7"/>
      <c r="N13" s="1"/>
      <c r="O13" s="1"/>
      <c r="P13" s="1"/>
      <c r="Q13" s="1"/>
      <c r="R13" s="1"/>
      <c r="S13" s="1"/>
      <c r="T13" s="1"/>
      <c r="U13" s="1"/>
      <c r="V13" s="1"/>
      <c r="W13" s="1"/>
      <c r="X13" s="1"/>
      <c r="Y13" s="1"/>
      <c r="Z13" s="1"/>
    </row>
    <row r="14" spans="1:26" ht="14.25" customHeight="1" x14ac:dyDescent="0.35">
      <c r="A14" s="1"/>
      <c r="B14" s="1" t="e" vm="5">
        <v>#VALUE!</v>
      </c>
      <c r="C14" s="1" t="s">
        <v>22</v>
      </c>
      <c r="D14" s="12">
        <v>8.891</v>
      </c>
      <c r="E14" s="13">
        <v>70.406030000000001</v>
      </c>
      <c r="F14" s="20">
        <v>625.98</v>
      </c>
      <c r="G14" s="49" cm="1">
        <f t="array" ref="G14">_FV(B14,"Price")</f>
        <v>56.005000000000003</v>
      </c>
      <c r="H14" s="16">
        <f t="shared" si="3"/>
        <v>497.94045500000004</v>
      </c>
      <c r="I14" s="17">
        <f t="shared" si="4"/>
        <v>-0.20454256545923688</v>
      </c>
      <c r="J14" s="17">
        <f ca="1">IFERROR(__xludf.DUMMYFUNCTION("(G14-INDEX(GOOGLEFINANCE(C14,""price"",TODAY()-7),2,2))/(INDEX(GOOGLEFINANCE(C14,""price"",TODAY()-7),2,2))"),-0.0349638305201515)</f>
        <v>-3.49638305201515E-2</v>
      </c>
      <c r="K14" s="18">
        <f t="shared" si="5"/>
        <v>-128.03954499999998</v>
      </c>
      <c r="L14" s="19">
        <f ca="1">IFERROR(__xludf.DUMMYFUNCTION("IFERROR(GOOGLEFINANCE(C14,""pe""),""Not Available"")"),19.23)</f>
        <v>19.23</v>
      </c>
      <c r="M14" s="7"/>
      <c r="N14" s="1"/>
      <c r="O14" s="1"/>
      <c r="P14" s="1"/>
      <c r="Q14" s="1"/>
      <c r="R14" s="1"/>
      <c r="S14" s="1"/>
      <c r="T14" s="1"/>
      <c r="U14" s="1"/>
      <c r="V14" s="1"/>
      <c r="W14" s="1"/>
      <c r="X14" s="1"/>
      <c r="Y14" s="1"/>
      <c r="Z14" s="1"/>
    </row>
    <row r="15" spans="1:26" ht="14.25" customHeight="1" x14ac:dyDescent="0.35">
      <c r="A15" s="1"/>
      <c r="B15" s="1" t="e" vm="6">
        <v>#VALUE!</v>
      </c>
      <c r="C15" s="1" t="s">
        <v>101</v>
      </c>
      <c r="D15" s="12">
        <v>6</v>
      </c>
      <c r="E15" s="13">
        <v>166.55167</v>
      </c>
      <c r="F15" s="20">
        <v>999.31</v>
      </c>
      <c r="G15" s="49" cm="1">
        <f t="array" ref="G15">_FV(B15,"Price")</f>
        <v>404.8</v>
      </c>
      <c r="H15" s="16">
        <f t="shared" si="3"/>
        <v>2428.8000000000002</v>
      </c>
      <c r="I15" s="17">
        <f t="shared" si="4"/>
        <v>1.4304769805070103</v>
      </c>
      <c r="J15" s="17">
        <f ca="1">IFERROR(__xludf.DUMMYFUNCTION("(G15-INDEX(GOOGLEFINANCE(C15,""price"",TODAY()-7),2,2))/(INDEX(GOOGLEFINANCE(C15,""price"",TODAY()-7),2,2))"),0.000669327449862511)</f>
        <v>6.6932744986251101E-4</v>
      </c>
      <c r="K15" s="18">
        <f t="shared" si="5"/>
        <v>1429.4900000000002</v>
      </c>
      <c r="L15" s="19">
        <f ca="1">IFERROR(__xludf.DUMMYFUNCTION("IFERROR(GOOGLEFINANCE(C15,""pe""),""Not Available"")"),0.01)</f>
        <v>0.01</v>
      </c>
      <c r="M15" s="1"/>
      <c r="N15" s="1"/>
      <c r="O15" s="1"/>
      <c r="P15" s="1"/>
      <c r="Q15" s="1"/>
      <c r="R15" s="1"/>
      <c r="S15" s="1"/>
      <c r="T15" s="1"/>
      <c r="U15" s="1"/>
      <c r="V15" s="1"/>
      <c r="W15" s="1"/>
      <c r="X15" s="1"/>
      <c r="Y15" s="1"/>
      <c r="Z15" s="1"/>
    </row>
    <row r="16" spans="1:26" ht="14.25" customHeight="1" x14ac:dyDescent="0.35">
      <c r="A16" s="1"/>
      <c r="B16" s="1" t="e" vm="7">
        <v>#VALUE!</v>
      </c>
      <c r="C16" s="1" t="s">
        <v>24</v>
      </c>
      <c r="D16" s="12">
        <v>12.478</v>
      </c>
      <c r="E16" s="13">
        <v>48.264139999999998</v>
      </c>
      <c r="F16" s="20">
        <v>602.24</v>
      </c>
      <c r="G16" s="49" cm="1">
        <f t="array" ref="G16">_FV(B16,"Price")</f>
        <v>32.54</v>
      </c>
      <c r="H16" s="16">
        <f t="shared" si="3"/>
        <v>406.03411999999997</v>
      </c>
      <c r="I16" s="17">
        <f t="shared" si="4"/>
        <v>-0.32579343587185017</v>
      </c>
      <c r="J16" s="17">
        <f ca="1">IFERROR(__xludf.DUMMYFUNCTION("(G16-INDEX(GOOGLEFINANCE(C16,""price"",TODAY()-7),2,2))/(INDEX(GOOGLEFINANCE(C16,""price"",TODAY()-7),2,2))"),0.0489782679208564)</f>
        <v>4.8978267920856397E-2</v>
      </c>
      <c r="K16" s="18">
        <f t="shared" si="5"/>
        <v>-196.20588000000004</v>
      </c>
      <c r="L16" s="19">
        <f ca="1">IFERROR(__xludf.DUMMYFUNCTION("IFERROR(GOOGLEFINANCE(C16,""pe""),""Not Available"")"),12.01)</f>
        <v>12.01</v>
      </c>
      <c r="M16" s="7"/>
      <c r="N16" s="1"/>
      <c r="O16" s="1"/>
      <c r="P16" s="1"/>
      <c r="Q16" s="1"/>
      <c r="R16" s="1"/>
      <c r="S16" s="1"/>
      <c r="T16" s="1"/>
      <c r="U16" s="1"/>
      <c r="V16" s="1"/>
      <c r="W16" s="1"/>
      <c r="X16" s="1"/>
      <c r="Y16" s="1"/>
      <c r="Z16" s="1"/>
    </row>
    <row r="17" spans="1:26" ht="14.25" customHeight="1" x14ac:dyDescent="0.35">
      <c r="A17" s="1"/>
      <c r="B17" s="1" t="e" vm="8">
        <v>#VALUE!</v>
      </c>
      <c r="C17" s="1" t="s">
        <v>25</v>
      </c>
      <c r="D17" s="12">
        <v>8.14</v>
      </c>
      <c r="E17" s="13">
        <v>42.271500000000003</v>
      </c>
      <c r="F17" s="20">
        <v>344.09</v>
      </c>
      <c r="G17" s="49" cm="1">
        <f t="array" ref="G17">_FV(B17,"Price")</f>
        <v>168.37</v>
      </c>
      <c r="H17" s="16">
        <f t="shared" si="3"/>
        <v>1370.5318000000002</v>
      </c>
      <c r="I17" s="17">
        <f t="shared" si="4"/>
        <v>2.9830618738393477</v>
      </c>
      <c r="J17" s="17">
        <f ca="1">IFERROR(__xludf.DUMMYFUNCTION("(G17-INDEX(GOOGLEFINANCE(C17,""price"",TODAY()-7),2,2))/(INDEX(GOOGLEFINANCE(C17,""price"",TODAY()-7),2,2))"),-0.046423092221149)</f>
        <v>-4.6423092221149001E-2</v>
      </c>
      <c r="K17" s="18">
        <f t="shared" si="5"/>
        <v>1026.4418000000003</v>
      </c>
      <c r="L17" s="19">
        <f ca="1">IFERROR(__xludf.DUMMYFUNCTION("IFERROR(GOOGLEFINANCE(C17,""pe""),""Not Available"")"),33.53)</f>
        <v>33.53</v>
      </c>
      <c r="M17" s="7"/>
      <c r="N17" s="1"/>
      <c r="O17" s="1"/>
      <c r="P17" s="1"/>
      <c r="Q17" s="1"/>
      <c r="R17" s="1"/>
      <c r="S17" s="1"/>
      <c r="T17" s="1"/>
      <c r="U17" s="1"/>
      <c r="V17" s="1"/>
      <c r="W17" s="1"/>
      <c r="X17" s="1"/>
      <c r="Y17" s="1"/>
      <c r="Z17" s="1"/>
    </row>
    <row r="18" spans="1:26" ht="14.25" customHeight="1" x14ac:dyDescent="0.35">
      <c r="A18" s="1"/>
      <c r="B18" s="1" t="e" vm="9">
        <v>#VALUE!</v>
      </c>
      <c r="C18" s="1" t="s">
        <v>26</v>
      </c>
      <c r="D18" s="12">
        <v>6</v>
      </c>
      <c r="E18" s="13">
        <v>138.19</v>
      </c>
      <c r="F18" s="20">
        <v>829.14</v>
      </c>
      <c r="G18" s="49" cm="1">
        <f t="array" ref="G18">_FV(B18,"Price")</f>
        <v>187.37</v>
      </c>
      <c r="H18" s="16">
        <f t="shared" si="3"/>
        <v>1124.22</v>
      </c>
      <c r="I18" s="17">
        <f t="shared" si="4"/>
        <v>0.35588682249077364</v>
      </c>
      <c r="J18" s="17">
        <f ca="1">IFERROR(__xludf.DUMMYFUNCTION("(G18-INDEX(GOOGLEFINANCE(C18,""price"",TODAY()-7),2,2))/(INDEX(GOOGLEFINANCE(C18,""price"",TODAY()-7),2,2))"),0.00566709844559591)</f>
        <v>5.6670984455959098E-3</v>
      </c>
      <c r="K18" s="18">
        <f t="shared" si="5"/>
        <v>295.08000000000004</v>
      </c>
      <c r="L18" s="19">
        <f ca="1">IFERROR(__xludf.DUMMYFUNCTION("IFERROR(GOOGLEFINANCE(C18,""pe""),""Not Available"")"),26.84)</f>
        <v>26.84</v>
      </c>
      <c r="M18" s="1"/>
      <c r="N18" s="1"/>
      <c r="O18" s="1"/>
      <c r="P18" s="1"/>
      <c r="Q18" s="1"/>
      <c r="R18" s="1"/>
      <c r="S18" s="1"/>
      <c r="T18" s="1"/>
      <c r="U18" s="1"/>
      <c r="V18" s="1"/>
      <c r="W18" s="1"/>
      <c r="X18" s="1"/>
      <c r="Y18" s="1"/>
      <c r="Z18" s="1"/>
    </row>
    <row r="19" spans="1:26" ht="14.25" customHeight="1" x14ac:dyDescent="0.35">
      <c r="A19" s="1"/>
      <c r="B19" s="1" t="e" vm="10">
        <v>#VALUE!</v>
      </c>
      <c r="C19" s="1" t="s">
        <v>27</v>
      </c>
      <c r="D19" s="12">
        <v>3.3410000000000002</v>
      </c>
      <c r="E19" s="13">
        <v>313.55880999999999</v>
      </c>
      <c r="F19" s="14">
        <v>1047.5999999999999</v>
      </c>
      <c r="G19" s="49" cm="1">
        <f t="array" ref="G19">_FV(B19,"Price")</f>
        <v>736.88</v>
      </c>
      <c r="H19" s="16">
        <f t="shared" si="3"/>
        <v>2461.91608</v>
      </c>
      <c r="I19" s="17">
        <f t="shared" si="4"/>
        <v>1.3500535673036902</v>
      </c>
      <c r="J19" s="17">
        <f ca="1">IFERROR(__xludf.DUMMYFUNCTION("(G19-INDEX(GOOGLEFINANCE(C19,""price"",TODAY()-7),2,2))/(INDEX(GOOGLEFINANCE(C19,""price"",TODAY()-7),2,2))"),-0.0598145367370056)</f>
        <v>-5.9814536737005597E-2</v>
      </c>
      <c r="K19" s="18">
        <f t="shared" si="5"/>
        <v>1414.3160800000001</v>
      </c>
      <c r="L19" s="19">
        <f ca="1">IFERROR(__xludf.DUMMYFUNCTION("IFERROR(GOOGLEFINANCE(C19,""pe""),""Not Available"")"),48.69)</f>
        <v>48.69</v>
      </c>
      <c r="M19" s="7"/>
      <c r="N19" s="1"/>
      <c r="O19" s="1"/>
      <c r="P19" s="1"/>
      <c r="Q19" s="1"/>
      <c r="R19" s="1"/>
      <c r="S19" s="1"/>
      <c r="T19" s="1"/>
      <c r="U19" s="1"/>
      <c r="V19" s="1"/>
      <c r="W19" s="1"/>
      <c r="X19" s="1"/>
      <c r="Y19" s="1"/>
      <c r="Z19" s="1"/>
    </row>
    <row r="20" spans="1:26" ht="14.25" customHeight="1" x14ac:dyDescent="0.35">
      <c r="A20" s="1"/>
      <c r="B20" s="1" t="e" vm="11">
        <v>#VALUE!</v>
      </c>
      <c r="C20" s="1" t="s">
        <v>28</v>
      </c>
      <c r="D20" s="12">
        <v>27</v>
      </c>
      <c r="E20" s="13">
        <v>43.82</v>
      </c>
      <c r="F20" s="14">
        <v>1183.1400000000001</v>
      </c>
      <c r="G20" s="49" cm="1">
        <f t="array" ref="G20">_FV(B20,"Price")</f>
        <v>46.84</v>
      </c>
      <c r="H20" s="16">
        <f t="shared" si="3"/>
        <v>1264.68</v>
      </c>
      <c r="I20" s="17">
        <f t="shared" si="4"/>
        <v>6.8918302145139387E-2</v>
      </c>
      <c r="J20" s="17">
        <f ca="1">IFERROR(__xludf.DUMMYFUNCTION("(G20-INDEX(GOOGLEFINANCE(C20,""price"",TODAY()-7),2,2))/(INDEX(GOOGLEFINANCE(C20,""price"",TODAY()-7),2,2))"),0.018983198778093)</f>
        <v>1.8983198778092999E-2</v>
      </c>
      <c r="K20" s="18">
        <f t="shared" si="5"/>
        <v>81.539999999999964</v>
      </c>
      <c r="L20" s="19">
        <f ca="1">IFERROR(__xludf.DUMMYFUNCTION("IFERROR(GOOGLEFINANCE(C20,""pe""),""Not Available"")"),26.17)</f>
        <v>26.17</v>
      </c>
      <c r="M20" s="1"/>
      <c r="N20" s="1"/>
      <c r="O20" s="1"/>
      <c r="P20" s="1"/>
      <c r="Q20" s="1"/>
      <c r="R20" s="1"/>
      <c r="S20" s="1"/>
      <c r="T20" s="1"/>
      <c r="U20" s="1"/>
      <c r="V20" s="1"/>
      <c r="W20" s="1"/>
      <c r="X20" s="1"/>
      <c r="Y20" s="1"/>
      <c r="Z20" s="1"/>
    </row>
    <row r="21" spans="1:26" ht="14.25" customHeight="1" x14ac:dyDescent="0.35">
      <c r="A21" s="1"/>
      <c r="B21" s="1" t="e" vm="12">
        <v>#VALUE!</v>
      </c>
      <c r="C21" s="1" t="s">
        <v>29</v>
      </c>
      <c r="D21" s="12">
        <v>15.926</v>
      </c>
      <c r="E21" s="13">
        <v>91.268990000000002</v>
      </c>
      <c r="F21" s="14">
        <v>1453.55</v>
      </c>
      <c r="G21" s="49" cm="1">
        <f t="array" ref="G21">_FV(B21,"Price")</f>
        <v>75.209999999999994</v>
      </c>
      <c r="H21" s="16">
        <f t="shared" si="3"/>
        <v>1197.7944599999998</v>
      </c>
      <c r="I21" s="17">
        <f t="shared" si="4"/>
        <v>-0.17595231414306223</v>
      </c>
      <c r="J21" s="17">
        <f ca="1">IFERROR(__xludf.DUMMYFUNCTION("(G21-INDEX(GOOGLEFINANCE(C21,""price"",TODAY()-7),2,2))/(INDEX(GOOGLEFINANCE(C21,""price"",TODAY()-7),2,2))"),0.0326160508864527)</f>
        <v>3.2616050886452697E-2</v>
      </c>
      <c r="K21" s="18">
        <f t="shared" si="5"/>
        <v>-255.75554000000011</v>
      </c>
      <c r="L21" s="19">
        <f ca="1">IFERROR(__xludf.DUMMYFUNCTION("IFERROR(GOOGLEFINANCE(C21,""pe""),""Not Available"")"),11.76)</f>
        <v>11.76</v>
      </c>
      <c r="M21" s="7"/>
      <c r="N21" s="1"/>
      <c r="O21" s="1"/>
      <c r="P21" s="1"/>
      <c r="Q21" s="1"/>
      <c r="R21" s="1"/>
      <c r="S21" s="1"/>
      <c r="T21" s="1"/>
      <c r="U21" s="1"/>
      <c r="V21" s="1"/>
      <c r="W21" s="1"/>
      <c r="X21" s="1"/>
      <c r="Y21" s="1"/>
      <c r="Z21" s="1"/>
    </row>
    <row r="22" spans="1:26" ht="14.25" customHeight="1" x14ac:dyDescent="0.35">
      <c r="A22" s="1"/>
      <c r="B22" s="1" t="e" vm="13">
        <v>#VALUE!</v>
      </c>
      <c r="C22" s="1" t="s">
        <v>30</v>
      </c>
      <c r="D22" s="12">
        <v>31.108000000000001</v>
      </c>
      <c r="E22" s="13">
        <v>20.667999999999999</v>
      </c>
      <c r="F22" s="20">
        <v>642.94000000000005</v>
      </c>
      <c r="G22" s="49" cm="1">
        <f t="array" ref="G22">_FV(B22,"Price")</f>
        <v>113.56</v>
      </c>
      <c r="H22" s="16">
        <f t="shared" si="3"/>
        <v>3532.6244799999999</v>
      </c>
      <c r="I22" s="17">
        <f t="shared" si="4"/>
        <v>4.4944842268240759</v>
      </c>
      <c r="J22" s="17">
        <f ca="1">IFERROR(__xludf.DUMMYFUNCTION("(G22-INDEX(GOOGLEFINANCE(C22,""price"",TODAY()-7),2,2))/(INDEX(GOOGLEFINANCE(C22,""price"",TODAY()-7),2,2))"),-0.0509114797175234)</f>
        <v>-5.0911479717523397E-2</v>
      </c>
      <c r="K22" s="18">
        <f t="shared" si="5"/>
        <v>2889.6844799999999</v>
      </c>
      <c r="L22" s="19">
        <f ca="1">IFERROR(__xludf.DUMMYFUNCTION("IFERROR(GOOGLEFINANCE(C22,""pe""),""Not Available"")"),0)</f>
        <v>0</v>
      </c>
      <c r="M22" s="7"/>
      <c r="N22" s="1"/>
      <c r="O22" s="1"/>
      <c r="P22" s="1"/>
      <c r="Q22" s="1"/>
      <c r="R22" s="1"/>
      <c r="S22" s="1"/>
      <c r="T22" s="1"/>
      <c r="U22" s="1"/>
      <c r="V22" s="1"/>
      <c r="W22" s="1"/>
      <c r="X22" s="1"/>
      <c r="Y22" s="1"/>
      <c r="Z22" s="1"/>
    </row>
    <row r="23" spans="1:26" ht="14.25" customHeight="1" x14ac:dyDescent="0.35">
      <c r="A23" s="1"/>
      <c r="B23" s="1" t="e" vm="14">
        <v>#VALUE!</v>
      </c>
      <c r="C23" s="1" t="s">
        <v>31</v>
      </c>
      <c r="D23" s="12">
        <v>12.44</v>
      </c>
      <c r="E23" s="13">
        <v>114.22105999999999</v>
      </c>
      <c r="F23" s="14">
        <v>1420.91</v>
      </c>
      <c r="G23" s="49" cm="1">
        <f t="array" ref="G23">_FV(B23,"Price")</f>
        <v>112.45</v>
      </c>
      <c r="H23" s="16">
        <f t="shared" si="3"/>
        <v>1398.8779999999999</v>
      </c>
      <c r="I23" s="17">
        <f t="shared" si="4"/>
        <v>-1.5505546875506093E-2</v>
      </c>
      <c r="J23" s="17">
        <f ca="1">IFERROR(__xludf.DUMMYFUNCTION("(G23-INDEX(GOOGLEFINANCE(C23,""price"",TODAY()-7),2,2))/(INDEX(GOOGLEFINANCE(C23,""price"",TODAY()-7),2,2))"),-0.00958747471193599)</f>
        <v>-9.5874747119359897E-3</v>
      </c>
      <c r="K23" s="18">
        <f t="shared" si="5"/>
        <v>-22.032000000000153</v>
      </c>
      <c r="L23" s="19">
        <f ca="1">IFERROR(__xludf.DUMMYFUNCTION("IFERROR(GOOGLEFINANCE(C23,""pe""),""Not Available"")"),69.28)</f>
        <v>69.28</v>
      </c>
      <c r="M23" s="1"/>
      <c r="N23" s="1"/>
      <c r="O23" s="1"/>
      <c r="P23" s="1"/>
      <c r="Q23" s="1"/>
      <c r="R23" s="1"/>
      <c r="S23" s="1"/>
      <c r="T23" s="1"/>
      <c r="U23" s="1"/>
      <c r="V23" s="1"/>
      <c r="W23" s="1"/>
      <c r="X23" s="1"/>
      <c r="Y23" s="1"/>
      <c r="Z23" s="1"/>
    </row>
    <row r="24" spans="1:26" ht="14.25" customHeight="1" x14ac:dyDescent="0.35">
      <c r="A24" s="1"/>
      <c r="B24" s="1" t="e" vm="15">
        <v>#VALUE!</v>
      </c>
      <c r="C24" s="1" t="s">
        <v>32</v>
      </c>
      <c r="D24" s="12">
        <v>9</v>
      </c>
      <c r="E24" s="13">
        <v>23.572220000000002</v>
      </c>
      <c r="F24" s="20">
        <v>212.15</v>
      </c>
      <c r="G24" s="49" cm="1">
        <f t="array" ref="G24">_FV(B24,"Price")</f>
        <v>10.42</v>
      </c>
      <c r="H24" s="16">
        <f t="shared" si="3"/>
        <v>93.78</v>
      </c>
      <c r="I24" s="17">
        <f t="shared" si="4"/>
        <v>-0.55795423596080473</v>
      </c>
      <c r="J24" s="17">
        <f ca="1">IFERROR(__xludf.DUMMYFUNCTION("(G24-INDEX(GOOGLEFINANCE(C24,""price"",TODAY()-7),2,2))/(INDEX(GOOGLEFINANCE(C24,""price"",TODAY()-7),2,2))"),0.177615571776155)</f>
        <v>0.177615571776155</v>
      </c>
      <c r="K24" s="18">
        <f t="shared" si="5"/>
        <v>-118.37</v>
      </c>
      <c r="L24" s="19" t="str">
        <f ca="1">IFERROR(__xludf.DUMMYFUNCTION("IFERROR(GOOGLEFINANCE(C24,""pe""),""Not Available"")"),"Not Available")</f>
        <v>Not Available</v>
      </c>
      <c r="M24" s="1"/>
      <c r="N24" s="1"/>
      <c r="O24" s="1"/>
      <c r="P24" s="1"/>
      <c r="Q24" s="1"/>
      <c r="R24" s="1"/>
      <c r="S24" s="1"/>
      <c r="T24" s="1"/>
      <c r="U24" s="1"/>
      <c r="V24" s="1"/>
      <c r="W24" s="1"/>
      <c r="X24" s="1"/>
      <c r="Y24" s="1"/>
      <c r="Z24" s="1"/>
    </row>
    <row r="25" spans="1:26" ht="14.25" customHeight="1" x14ac:dyDescent="0.35">
      <c r="A25" s="1"/>
      <c r="B25" s="1" t="e" vm="16">
        <v>#VALUE!</v>
      </c>
      <c r="C25" s="1" t="s">
        <v>33</v>
      </c>
      <c r="D25" s="12">
        <v>19.427</v>
      </c>
      <c r="E25" s="13">
        <v>47.783499999999997</v>
      </c>
      <c r="F25" s="20">
        <v>928.29</v>
      </c>
      <c r="G25" s="49" cm="1">
        <f t="array" ref="G25">_FV(B25,"Price")</f>
        <v>76.944999999999993</v>
      </c>
      <c r="H25" s="16">
        <f t="shared" si="3"/>
        <v>1494.8105149999999</v>
      </c>
      <c r="I25" s="17">
        <f t="shared" si="4"/>
        <v>0.61028388460451821</v>
      </c>
      <c r="J25" s="17">
        <f ca="1">IFERROR(__xludf.DUMMYFUNCTION("(G25-INDEX(GOOGLEFINANCE(C25,""price"",TODAY()-7),2,2))/(INDEX(GOOGLEFINANCE(C25,""price"",TODAY()-7),2,2))"),0.0161635052097247)</f>
        <v>1.6163505209724701E-2</v>
      </c>
      <c r="K25" s="18">
        <f t="shared" si="5"/>
        <v>566.52051499999993</v>
      </c>
      <c r="L25" s="19">
        <f ca="1">IFERROR(__xludf.DUMMYFUNCTION("IFERROR(GOOGLEFINANCE(C25,""pe""),""Not Available"")"),21.32)</f>
        <v>21.32</v>
      </c>
      <c r="M25" s="7"/>
      <c r="N25" s="1"/>
      <c r="O25" s="1"/>
      <c r="P25" s="1"/>
      <c r="Q25" s="1"/>
      <c r="R25" s="1"/>
      <c r="S25" s="1"/>
      <c r="T25" s="1"/>
      <c r="U25" s="1"/>
      <c r="V25" s="1"/>
      <c r="W25" s="1"/>
      <c r="X25" s="1"/>
      <c r="Y25" s="1"/>
      <c r="Z25" s="1"/>
    </row>
    <row r="26" spans="1:26" ht="14.25" customHeight="1" x14ac:dyDescent="0.35">
      <c r="A26" s="1"/>
      <c r="B26" s="1" t="e" vm="17">
        <v>#VALUE!</v>
      </c>
      <c r="C26" s="1" t="s">
        <v>34</v>
      </c>
      <c r="D26" s="12">
        <v>6</v>
      </c>
      <c r="E26" s="13">
        <v>177.84</v>
      </c>
      <c r="F26" s="14">
        <v>1067.04</v>
      </c>
      <c r="G26" s="49" cm="1">
        <f t="array" ref="G26">_FV(B26,"Price")</f>
        <v>121</v>
      </c>
      <c r="H26" s="16">
        <f t="shared" si="3"/>
        <v>726</v>
      </c>
      <c r="I26" s="17">
        <f t="shared" si="4"/>
        <v>-0.31961313540260905</v>
      </c>
      <c r="J26" s="17">
        <f ca="1">IFERROR(__xludf.DUMMYFUNCTION("(G26-INDEX(GOOGLEFINANCE(C26,""price"",TODAY()-7),2,2))/(INDEX(GOOGLEFINANCE(C26,""price"",TODAY()-7),2,2))"),0.043720254900379)</f>
        <v>4.3720254900379001E-2</v>
      </c>
      <c r="K26" s="18">
        <f t="shared" si="5"/>
        <v>-341.03999999999996</v>
      </c>
      <c r="L26" s="19">
        <f ca="1">IFERROR(__xludf.DUMMYFUNCTION("IFERROR(GOOGLEFINANCE(C26,""pe""),""Not Available"")"),42.18)</f>
        <v>42.18</v>
      </c>
      <c r="M26" s="1"/>
      <c r="N26" s="1"/>
      <c r="O26" s="1"/>
      <c r="P26" s="1"/>
      <c r="Q26" s="1"/>
      <c r="R26" s="1"/>
      <c r="S26" s="1"/>
      <c r="T26" s="1"/>
      <c r="U26" s="1"/>
      <c r="V26" s="1"/>
      <c r="W26" s="1"/>
      <c r="X26" s="1"/>
      <c r="Y26" s="1"/>
      <c r="Z26" s="1"/>
    </row>
    <row r="27" spans="1:26" ht="14.25" customHeight="1" x14ac:dyDescent="0.35">
      <c r="A27" s="1"/>
      <c r="B27" s="1" t="e" vm="18">
        <v>#VALUE!</v>
      </c>
      <c r="C27" s="1" t="s">
        <v>35</v>
      </c>
      <c r="D27" s="12">
        <v>77.043999999999997</v>
      </c>
      <c r="E27" s="13">
        <v>18.862729999999999</v>
      </c>
      <c r="F27" s="14">
        <v>1453.26</v>
      </c>
      <c r="G27" s="49" cm="1">
        <f t="array" ref="G27">_FV(B27,"Price")</f>
        <v>28.465</v>
      </c>
      <c r="H27" s="16">
        <f t="shared" si="3"/>
        <v>2193.05746</v>
      </c>
      <c r="I27" s="17">
        <f t="shared" si="4"/>
        <v>0.50906045943508715</v>
      </c>
      <c r="J27" s="17">
        <f ca="1">IFERROR(__xludf.DUMMYFUNCTION("(G27-INDEX(GOOGLEFINANCE(C27,""price"",TODAY()-7),2,2))/(INDEX(GOOGLEFINANCE(C27,""price"",TODAY()-7),2,2))"),0.0159132007233273)</f>
        <v>1.59132007233273E-2</v>
      </c>
      <c r="K27" s="18">
        <f t="shared" si="5"/>
        <v>739.79746</v>
      </c>
      <c r="L27" s="19">
        <f ca="1">IFERROR(__xludf.DUMMYFUNCTION("IFERROR(GOOGLEFINANCE(C27,""pe""),""Not Available"")"),11.15)</f>
        <v>11.15</v>
      </c>
      <c r="M27" s="7"/>
      <c r="N27" s="1"/>
      <c r="O27" s="1"/>
      <c r="P27" s="1"/>
      <c r="Q27" s="1"/>
      <c r="R27" s="1"/>
      <c r="S27" s="1"/>
      <c r="T27" s="1"/>
      <c r="U27" s="1"/>
      <c r="V27" s="1"/>
      <c r="W27" s="1"/>
      <c r="X27" s="1"/>
      <c r="Y27" s="1"/>
      <c r="Z27" s="1"/>
    </row>
    <row r="28" spans="1:26" ht="14.25" customHeight="1" x14ac:dyDescent="0.35">
      <c r="A28" s="1"/>
      <c r="B28" s="1" t="e" vm="19">
        <v>#VALUE!</v>
      </c>
      <c r="C28" s="1" t="s">
        <v>36</v>
      </c>
      <c r="D28" s="12">
        <v>28.106999999999999</v>
      </c>
      <c r="E28" s="13">
        <v>33.695520000000002</v>
      </c>
      <c r="F28" s="20">
        <v>947.08</v>
      </c>
      <c r="G28" s="49" cm="1">
        <f t="array" ref="G28">_FV(B28,"Price")</f>
        <v>37.01</v>
      </c>
      <c r="H28" s="16">
        <f t="shared" si="3"/>
        <v>1040.2400699999998</v>
      </c>
      <c r="I28" s="17">
        <f t="shared" si="4"/>
        <v>9.8365598750219441E-2</v>
      </c>
      <c r="J28" s="17">
        <f ca="1">IFERROR(__xludf.DUMMYFUNCTION("(G28-INDEX(GOOGLEFINANCE(C28,""price"",TODAY()-7),2,2))/(INDEX(GOOGLEFINANCE(C28,""price"",TODAY()-7),2,2))"),0.0234806629834252)</f>
        <v>2.3480662983425198E-2</v>
      </c>
      <c r="K28" s="18">
        <f t="shared" si="5"/>
        <v>93.160069999999791</v>
      </c>
      <c r="L28" s="19">
        <f ca="1">IFERROR(__xludf.DUMMYFUNCTION("IFERROR(GOOGLEFINANCE(C28,""pe""),""Not Available"")"),15.86)</f>
        <v>15.86</v>
      </c>
      <c r="M28" s="7"/>
      <c r="N28" s="1"/>
      <c r="O28" s="1"/>
      <c r="P28" s="1"/>
      <c r="Q28" s="1"/>
      <c r="R28" s="1"/>
      <c r="S28" s="1"/>
      <c r="T28" s="1"/>
      <c r="U28" s="1"/>
      <c r="V28" s="1"/>
      <c r="W28" s="1"/>
      <c r="X28" s="1"/>
      <c r="Y28" s="1"/>
      <c r="Z28" s="1"/>
    </row>
    <row r="29" spans="1:26" ht="14.25" customHeight="1" x14ac:dyDescent="0.35">
      <c r="A29" s="1"/>
      <c r="B29" s="1" t="e" vm="20">
        <v>#VALUE!</v>
      </c>
      <c r="C29" s="1" t="s">
        <v>37</v>
      </c>
      <c r="D29" s="12">
        <v>63.04</v>
      </c>
      <c r="E29" s="13">
        <v>18.152920000000002</v>
      </c>
      <c r="F29" s="14">
        <v>1144.3599999999999</v>
      </c>
      <c r="G29" s="49" cm="1">
        <f t="array" ref="G29">_FV(B29,"Price")</f>
        <v>40.36</v>
      </c>
      <c r="H29" s="16">
        <f t="shared" si="3"/>
        <v>2544.2943999999998</v>
      </c>
      <c r="I29" s="17">
        <f t="shared" si="4"/>
        <v>1.2233337666887749</v>
      </c>
      <c r="J29" s="17">
        <f ca="1">IFERROR(__xludf.DUMMYFUNCTION("(G29-INDEX(GOOGLEFINANCE(C29,""price"",TODAY()-7),2,2))/(INDEX(GOOGLEFINANCE(C29,""price"",TODAY()-7),2,2))"),0.0548016701461378)</f>
        <v>5.48016701461378E-2</v>
      </c>
      <c r="K29" s="18">
        <f t="shared" si="5"/>
        <v>1399.9343999999999</v>
      </c>
      <c r="L29" s="19">
        <f ca="1">IFERROR(__xludf.DUMMYFUNCTION("IFERROR(GOOGLEFINANCE(C29,""pe""),""Not Available"")"),31.65)</f>
        <v>31.65</v>
      </c>
      <c r="M29" s="7"/>
      <c r="N29" s="1"/>
      <c r="O29" s="1"/>
      <c r="P29" s="1"/>
      <c r="Q29" s="1"/>
      <c r="R29" s="1"/>
      <c r="S29" s="1"/>
      <c r="T29" s="1"/>
      <c r="U29" s="1"/>
      <c r="V29" s="1"/>
      <c r="W29" s="1"/>
      <c r="X29" s="1"/>
      <c r="Y29" s="1"/>
      <c r="Z29" s="1"/>
    </row>
    <row r="30" spans="1:26" ht="14.25" customHeight="1" x14ac:dyDescent="0.35">
      <c r="A30" s="1"/>
      <c r="B30" s="1" t="e" vm="21">
        <v>#VALUE!</v>
      </c>
      <c r="C30" s="1" t="s">
        <v>38</v>
      </c>
      <c r="D30" s="12">
        <v>8.1950000000000003</v>
      </c>
      <c r="E30" s="13">
        <v>205.96095</v>
      </c>
      <c r="F30" s="14">
        <v>1687.85</v>
      </c>
      <c r="G30" s="49" cm="1">
        <f t="array" ref="G30">_FV(B30,"Price")</f>
        <v>254.31</v>
      </c>
      <c r="H30" s="16">
        <f t="shared" si="3"/>
        <v>2084.0704500000002</v>
      </c>
      <c r="I30" s="17">
        <f t="shared" si="4"/>
        <v>0.23474862589243251</v>
      </c>
      <c r="J30" s="17">
        <f ca="1">IFERROR(__xludf.DUMMYFUNCTION("(G30-INDEX(GOOGLEFINANCE(C30,""price"",TODAY()-7),2,2))/(INDEX(GOOGLEFINANCE(C30,""price"",TODAY()-7),2,2))"),0.0167767556834298)</f>
        <v>1.67767556834298E-2</v>
      </c>
      <c r="K30" s="18">
        <f t="shared" si="5"/>
        <v>396.22045000000026</v>
      </c>
      <c r="L30" s="19">
        <f ca="1">IFERROR(__xludf.DUMMYFUNCTION("IFERROR(GOOGLEFINANCE(C30,""pe""),""Not Available"")"),14.86)</f>
        <v>14.86</v>
      </c>
      <c r="M30" s="7"/>
      <c r="N30" s="1"/>
      <c r="O30" s="1"/>
      <c r="P30" s="1"/>
      <c r="Q30" s="1"/>
      <c r="R30" s="1"/>
      <c r="S30" s="1"/>
      <c r="T30" s="1"/>
      <c r="U30" s="1"/>
      <c r="V30" s="1"/>
      <c r="W30" s="1"/>
      <c r="X30" s="1"/>
      <c r="Y30" s="1"/>
      <c r="Z30" s="1"/>
    </row>
    <row r="31" spans="1:26" ht="14.25" customHeight="1" x14ac:dyDescent="0.35">
      <c r="A31" s="1"/>
      <c r="B31" s="1" t="e" vm="22">
        <v>#VALUE!</v>
      </c>
      <c r="C31" s="1" t="s">
        <v>39</v>
      </c>
      <c r="D31" s="12">
        <v>14</v>
      </c>
      <c r="E31" s="13">
        <v>38.006430000000002</v>
      </c>
      <c r="F31" s="20">
        <v>532.09</v>
      </c>
      <c r="G31" s="49" cm="1">
        <f t="array" ref="G31">_FV(B31,"Price")</f>
        <v>71.34</v>
      </c>
      <c r="H31" s="16">
        <f t="shared" si="3"/>
        <v>998.76</v>
      </c>
      <c r="I31" s="17">
        <f t="shared" si="4"/>
        <v>0.87705080429811488</v>
      </c>
      <c r="J31" s="17">
        <f ca="1">IFERROR(__xludf.DUMMYFUNCTION("(G31-INDEX(GOOGLEFINANCE(C31,""price"",TODAY()-7),2,2))/(INDEX(GOOGLEFINANCE(C31,""price"",TODAY()-7),2,2))"),-0.00182098333099867)</f>
        <v>-1.8209833309986701E-3</v>
      </c>
      <c r="K31" s="18">
        <f t="shared" si="5"/>
        <v>466.66999999999996</v>
      </c>
      <c r="L31" s="19">
        <f ca="1">IFERROR(__xludf.DUMMYFUNCTION("IFERROR(GOOGLEFINANCE(C31,""pe""),""Not Available"")"),49.03)</f>
        <v>49.03</v>
      </c>
      <c r="M31" s="1"/>
      <c r="N31" s="1"/>
      <c r="O31" s="1"/>
      <c r="P31" s="1"/>
      <c r="Q31" s="1"/>
      <c r="R31" s="1"/>
      <c r="S31" s="1"/>
      <c r="T31" s="1"/>
      <c r="U31" s="1"/>
      <c r="V31" s="1"/>
      <c r="W31" s="1"/>
      <c r="X31" s="1"/>
      <c r="Y31" s="1"/>
      <c r="Z31" s="1"/>
    </row>
    <row r="32" spans="1:26" ht="14.25" customHeight="1" x14ac:dyDescent="0.35">
      <c r="A32" s="1"/>
      <c r="B32" s="1" t="e" vm="23">
        <v>#VALUE!</v>
      </c>
      <c r="C32" s="1" t="s">
        <v>40</v>
      </c>
      <c r="D32" s="12">
        <v>8</v>
      </c>
      <c r="E32" s="13">
        <v>115.17874999999999</v>
      </c>
      <c r="F32" s="20">
        <v>921.43</v>
      </c>
      <c r="G32" s="49" cm="1">
        <f t="array" ref="G32">_FV(B32,"Price")</f>
        <v>199.78</v>
      </c>
      <c r="H32" s="16">
        <f t="shared" si="3"/>
        <v>1598.24</v>
      </c>
      <c r="I32" s="17">
        <f t="shared" si="4"/>
        <v>0.73452134182737705</v>
      </c>
      <c r="J32" s="17">
        <f ca="1">IFERROR(__xludf.DUMMYFUNCTION("(G32-INDEX(GOOGLEFINANCE(C32,""price"",TODAY()-7),2,2))/(INDEX(GOOGLEFINANCE(C32,""price"",TODAY()-7),2,2))"),0.0297433804397735)</f>
        <v>2.9743380439773499E-2</v>
      </c>
      <c r="K32" s="18">
        <f t="shared" si="5"/>
        <v>676.81000000000006</v>
      </c>
      <c r="L32" s="19">
        <f ca="1">IFERROR(__xludf.DUMMYFUNCTION("IFERROR(GOOGLEFINANCE(C32,""pe""),""Not Available"")"),9.06)</f>
        <v>9.06</v>
      </c>
      <c r="M32" s="1"/>
      <c r="N32" s="1"/>
      <c r="O32" s="1"/>
      <c r="P32" s="1"/>
      <c r="Q32" s="1"/>
      <c r="R32" s="1"/>
      <c r="S32" s="1"/>
      <c r="T32" s="1"/>
      <c r="U32" s="1"/>
      <c r="V32" s="1"/>
      <c r="W32" s="1"/>
      <c r="X32" s="1"/>
      <c r="Y32" s="1"/>
      <c r="Z32" s="1"/>
    </row>
    <row r="33" spans="1:26" ht="14.25" customHeight="1" x14ac:dyDescent="0.35">
      <c r="A33" s="1"/>
      <c r="B33" s="1" t="e" vm="24">
        <v>#VALUE!</v>
      </c>
      <c r="C33" s="1" t="s">
        <v>41</v>
      </c>
      <c r="D33" s="12">
        <v>19</v>
      </c>
      <c r="E33" s="13">
        <v>51.366320000000002</v>
      </c>
      <c r="F33" s="20">
        <v>975.96</v>
      </c>
      <c r="G33" s="49" cm="1">
        <f t="array" ref="G33">_FV(B33,"Price")</f>
        <v>139.62</v>
      </c>
      <c r="H33" s="16">
        <f t="shared" si="3"/>
        <v>2652.78</v>
      </c>
      <c r="I33" s="17">
        <f t="shared" si="4"/>
        <v>1.7181234707878628</v>
      </c>
      <c r="J33" s="17">
        <f ca="1">IFERROR(__xludf.DUMMYFUNCTION("(G33-INDEX(GOOGLEFINANCE(C33,""price"",TODAY()-7),2,2))/(INDEX(GOOGLEFINANCE(C33,""price"",TODAY()-7),2,2))"),0.0395678092399404)</f>
        <v>3.9567809239940403E-2</v>
      </c>
      <c r="K33" s="18">
        <f t="shared" si="5"/>
        <v>1676.8200000000002</v>
      </c>
      <c r="L33" s="19">
        <f ca="1">IFERROR(__xludf.DUMMYFUNCTION("IFERROR(GOOGLEFINANCE(C33,""pe""),""Not Available"")"),25.66)</f>
        <v>25.66</v>
      </c>
      <c r="M33" s="1"/>
      <c r="N33" s="1"/>
      <c r="O33" s="1"/>
      <c r="P33" s="1"/>
      <c r="Q33" s="1"/>
      <c r="R33" s="1"/>
      <c r="S33" s="1"/>
      <c r="T33" s="1"/>
      <c r="U33" s="1"/>
      <c r="V33" s="1"/>
      <c r="W33" s="1"/>
      <c r="X33" s="1"/>
      <c r="Y33" s="1"/>
      <c r="Z33" s="1"/>
    </row>
    <row r="34" spans="1:26" ht="14.25" customHeight="1" x14ac:dyDescent="0.35">
      <c r="A34" s="1"/>
      <c r="B34" s="1" t="e" vm="25">
        <v>#VALUE!</v>
      </c>
      <c r="C34" s="1" t="s">
        <v>42</v>
      </c>
      <c r="D34" s="12">
        <v>13</v>
      </c>
      <c r="E34" s="13">
        <v>33.56615</v>
      </c>
      <c r="F34" s="20">
        <v>436.36</v>
      </c>
      <c r="G34" s="49" cm="1">
        <f t="array" ref="G34">_FV(B34,"Price")</f>
        <v>48.85</v>
      </c>
      <c r="H34" s="16">
        <f t="shared" si="3"/>
        <v>635.05000000000007</v>
      </c>
      <c r="I34" s="17">
        <f t="shared" si="4"/>
        <v>0.45533521121725307</v>
      </c>
      <c r="J34" s="17">
        <f ca="1">IFERROR(__xludf.DUMMYFUNCTION("(G34-INDEX(GOOGLEFINANCE(C34,""price"",TODAY()-7),2,2))/(INDEX(GOOGLEFINANCE(C34,""price"",TODAY()-7),2,2))"),-0.00842189693202315)</f>
        <v>-8.4218969320231495E-3</v>
      </c>
      <c r="K34" s="18">
        <f t="shared" si="5"/>
        <v>198.69000000000005</v>
      </c>
      <c r="L34" s="19">
        <f ca="1">IFERROR(__xludf.DUMMYFUNCTION("IFERROR(GOOGLEFINANCE(C34,""pe""),""Not Available"")"),25.82)</f>
        <v>25.82</v>
      </c>
      <c r="M34" s="1"/>
      <c r="N34" s="1"/>
      <c r="O34" s="1"/>
      <c r="P34" s="1"/>
      <c r="Q34" s="1"/>
      <c r="R34" s="1"/>
      <c r="S34" s="1"/>
      <c r="T34" s="1"/>
      <c r="U34" s="1"/>
      <c r="V34" s="1"/>
      <c r="W34" s="1"/>
      <c r="X34" s="1"/>
      <c r="Y34" s="1"/>
      <c r="Z34" s="1"/>
    </row>
    <row r="35" spans="1:26" ht="14.25" customHeight="1" x14ac:dyDescent="0.35">
      <c r="A35" s="1"/>
      <c r="B35" s="1" t="e" vm="26">
        <v>#VALUE!</v>
      </c>
      <c r="C35" s="1" t="s">
        <v>43</v>
      </c>
      <c r="D35" s="12">
        <v>10.27</v>
      </c>
      <c r="E35" s="13">
        <v>157.70788999999999</v>
      </c>
      <c r="F35" s="14">
        <v>1619.66</v>
      </c>
      <c r="G35" s="49" cm="1">
        <f t="array" ref="G35">_FV(B35,"Price")</f>
        <v>290.16000000000003</v>
      </c>
      <c r="H35" s="16">
        <f t="shared" si="3"/>
        <v>2979.9432000000002</v>
      </c>
      <c r="I35" s="17">
        <f t="shared" si="4"/>
        <v>0.83985721957221071</v>
      </c>
      <c r="J35" s="17">
        <f ca="1">IFERROR(__xludf.DUMMYFUNCTION("(G35-INDEX(GOOGLEFINANCE(C35,""price"",TODAY()-7),2,2))/(INDEX(GOOGLEFINANCE(C35,""price"",TODAY()-7),2,2))"),-0.0212866444017137)</f>
        <v>-2.1286644401713701E-2</v>
      </c>
      <c r="K35" s="18">
        <f t="shared" si="5"/>
        <v>1360.2832000000001</v>
      </c>
      <c r="L35" s="19">
        <f ca="1">IFERROR(__xludf.DUMMYFUNCTION("IFERROR(GOOGLEFINANCE(C35,""pe""),""Not Available"")"),17)</f>
        <v>17</v>
      </c>
      <c r="M35" s="7"/>
      <c r="N35" s="1"/>
      <c r="O35" s="1"/>
      <c r="P35" s="1"/>
      <c r="Q35" s="1"/>
      <c r="R35" s="1"/>
      <c r="S35" s="1"/>
      <c r="T35" s="1"/>
      <c r="U35" s="1"/>
      <c r="V35" s="1"/>
      <c r="W35" s="1"/>
      <c r="X35" s="1"/>
      <c r="Y35" s="1"/>
      <c r="Z35" s="1"/>
    </row>
    <row r="36" spans="1:26" ht="14.25" customHeight="1" x14ac:dyDescent="0.35">
      <c r="A36" s="1"/>
      <c r="B36" s="1" t="e" vm="27">
        <v>#VALUE!</v>
      </c>
      <c r="C36" s="1" t="s">
        <v>44</v>
      </c>
      <c r="D36" s="12">
        <v>11.457000000000001</v>
      </c>
      <c r="E36" s="13">
        <v>93.156149999999997</v>
      </c>
      <c r="F36" s="14">
        <v>1067.29</v>
      </c>
      <c r="G36" s="49" cm="1">
        <f t="array" ref="G36">_FV(B36,"Price")</f>
        <v>149.18</v>
      </c>
      <c r="H36" s="16">
        <f t="shared" si="3"/>
        <v>1709.1552600000002</v>
      </c>
      <c r="I36" s="17">
        <f t="shared" si="4"/>
        <v>0.60139722390845929</v>
      </c>
      <c r="J36" s="17">
        <f ca="1">IFERROR(__xludf.DUMMYFUNCTION("(G36-INDEX(GOOGLEFINANCE(C36,""price"",TODAY()-7),2,2))/(INDEX(GOOGLEFINANCE(C36,""price"",TODAY()-7),2,2))"),-0.000339812423542088)</f>
        <v>-3.39812423542088E-4</v>
      </c>
      <c r="K36" s="18">
        <f t="shared" si="5"/>
        <v>641.86526000000026</v>
      </c>
      <c r="L36" s="19">
        <f ca="1">IFERROR(__xludf.DUMMYFUNCTION("IFERROR(GOOGLEFINANCE(C36,""pe""),""Not Available"")"),26.25)</f>
        <v>26.25</v>
      </c>
      <c r="M36" s="7"/>
      <c r="N36" s="1"/>
      <c r="O36" s="1"/>
      <c r="P36" s="1"/>
      <c r="Q36" s="1"/>
      <c r="R36" s="1"/>
      <c r="S36" s="1"/>
      <c r="T36" s="1"/>
      <c r="U36" s="1"/>
      <c r="V36" s="1"/>
      <c r="W36" s="1"/>
      <c r="X36" s="1"/>
      <c r="Y36" s="1"/>
      <c r="Z36" s="1"/>
    </row>
    <row r="37" spans="1:26" ht="14.25" customHeight="1" x14ac:dyDescent="0.35">
      <c r="A37" s="1"/>
      <c r="B37" s="1" t="e" vm="28">
        <v>#VALUE!</v>
      </c>
      <c r="C37" s="1" t="s">
        <v>45</v>
      </c>
      <c r="D37" s="12">
        <v>29.56</v>
      </c>
      <c r="E37" s="13">
        <v>38.229030000000002</v>
      </c>
      <c r="F37" s="14">
        <v>1130.05</v>
      </c>
      <c r="G37" s="49" cm="1">
        <f t="array" ref="G37">_FV(B37,"Price")</f>
        <v>149.61000000000001</v>
      </c>
      <c r="H37" s="16">
        <f t="shared" si="3"/>
        <v>4422.4715999999999</v>
      </c>
      <c r="I37" s="17">
        <f t="shared" si="4"/>
        <v>2.9135180777540004</v>
      </c>
      <c r="J37" s="17">
        <f ca="1">IFERROR(__xludf.DUMMYFUNCTION("(G37-INDEX(GOOGLEFINANCE(C37,""price"",TODAY()-7),2,2))/(INDEX(GOOGLEFINANCE(C37,""price"",TODAY()-7),2,2))"),-0.00403714170367376)</f>
        <v>-4.0371417036737601E-3</v>
      </c>
      <c r="K37" s="18">
        <f t="shared" si="5"/>
        <v>3292.4215999999997</v>
      </c>
      <c r="L37" s="19">
        <f ca="1">IFERROR(__xludf.DUMMYFUNCTION("IFERROR(GOOGLEFINANCE(C37,""pe""),""Not Available"")"),25.21)</f>
        <v>25.21</v>
      </c>
      <c r="M37" s="7"/>
      <c r="N37" s="1"/>
      <c r="O37" s="1"/>
      <c r="P37" s="1"/>
      <c r="Q37" s="1"/>
      <c r="R37" s="1"/>
      <c r="S37" s="1"/>
      <c r="T37" s="1"/>
      <c r="U37" s="1"/>
      <c r="V37" s="1"/>
      <c r="W37" s="1"/>
      <c r="X37" s="1"/>
      <c r="Y37" s="1"/>
      <c r="Z37" s="1"/>
    </row>
    <row r="38" spans="1:26" ht="14.25" customHeight="1" x14ac:dyDescent="0.35">
      <c r="A38" s="1"/>
      <c r="B38" s="1" t="e" vm="29">
        <v>#VALUE!</v>
      </c>
      <c r="C38" s="1" t="s">
        <v>46</v>
      </c>
      <c r="D38" s="12">
        <v>10.448</v>
      </c>
      <c r="E38" s="13">
        <v>67.931659999999994</v>
      </c>
      <c r="F38" s="20">
        <v>709.75</v>
      </c>
      <c r="G38" s="49" cm="1">
        <f t="array" ref="G38">_FV(B38,"Price")</f>
        <v>51.17</v>
      </c>
      <c r="H38" s="16">
        <f t="shared" si="3"/>
        <v>534.62416000000007</v>
      </c>
      <c r="I38" s="17">
        <f t="shared" si="4"/>
        <v>-0.24674297669157497</v>
      </c>
      <c r="J38" s="17">
        <f ca="1">IFERROR(__xludf.DUMMYFUNCTION("(G38-INDEX(GOOGLEFINANCE(C38,""price"",TODAY()-7),2,2))/(INDEX(GOOGLEFINANCE(C38,""price"",TODAY()-7),2,2))"),0.0116669962428316)</f>
        <v>1.1666996242831599E-2</v>
      </c>
      <c r="K38" s="18">
        <f t="shared" si="5"/>
        <v>-175.12583999999993</v>
      </c>
      <c r="L38" s="19" t="str">
        <f ca="1">IFERROR(__xludf.DUMMYFUNCTION("IFERROR(GOOGLEFINANCE(C38,""pe""),""Not Available"")"),"Not Available")</f>
        <v>Not Available</v>
      </c>
      <c r="M38" s="7"/>
      <c r="N38" s="1"/>
      <c r="O38" s="1"/>
      <c r="P38" s="1"/>
      <c r="Q38" s="1"/>
      <c r="R38" s="1"/>
      <c r="S38" s="1"/>
      <c r="T38" s="1"/>
      <c r="U38" s="1"/>
      <c r="V38" s="1"/>
      <c r="W38" s="1"/>
      <c r="X38" s="1"/>
      <c r="Y38" s="1"/>
      <c r="Z38" s="1"/>
    </row>
    <row r="39" spans="1:26" ht="14.25" customHeight="1" x14ac:dyDescent="0.35">
      <c r="A39" s="1"/>
      <c r="B39" s="1" t="e" vm="30">
        <v>#VALUE!</v>
      </c>
      <c r="C39" s="1" t="s">
        <v>47</v>
      </c>
      <c r="D39" s="12">
        <v>54</v>
      </c>
      <c r="E39" s="13">
        <v>16.355740000000001</v>
      </c>
      <c r="F39" s="20">
        <v>883.21</v>
      </c>
      <c r="G39" s="49" cm="1">
        <f t="array" ref="G39">_FV(B39,"Price")</f>
        <v>7.82</v>
      </c>
      <c r="H39" s="16">
        <f t="shared" si="3"/>
        <v>422.28000000000003</v>
      </c>
      <c r="I39" s="17">
        <f t="shared" si="4"/>
        <v>-0.52188039183797241</v>
      </c>
      <c r="J39" s="17">
        <f ca="1">IFERROR(__xludf.DUMMYFUNCTION("(G39-INDEX(GOOGLEFINANCE(C39,""price"",TODAY()-7),2,2))/(INDEX(GOOGLEFINANCE(C39,""price"",TODAY()-7),2,2))"),0.00248756218905489)</f>
        <v>2.4875621890548898E-3</v>
      </c>
      <c r="K39" s="18">
        <f t="shared" si="5"/>
        <v>-460.93</v>
      </c>
      <c r="L39" s="19">
        <f ca="1">IFERROR(__xludf.DUMMYFUNCTION("IFERROR(GOOGLEFINANCE(C39,""pe""),""Not Available"")"),22.51)</f>
        <v>22.51</v>
      </c>
      <c r="M39" s="1"/>
      <c r="N39" s="1"/>
      <c r="O39" s="1"/>
      <c r="P39" s="1"/>
      <c r="Q39" s="1"/>
      <c r="R39" s="1"/>
      <c r="S39" s="1"/>
      <c r="T39" s="1"/>
      <c r="U39" s="1"/>
      <c r="V39" s="1"/>
      <c r="W39" s="1"/>
      <c r="X39" s="1"/>
      <c r="Y39" s="1"/>
      <c r="Z39" s="1"/>
    </row>
    <row r="40" spans="1:26" ht="14.25" customHeight="1" x14ac:dyDescent="0.35">
      <c r="A40" s="1"/>
      <c r="B40" s="1" t="e" vm="31">
        <v>#VALUE!</v>
      </c>
      <c r="C40" s="1" t="s">
        <v>48</v>
      </c>
      <c r="D40" s="12">
        <v>3.387</v>
      </c>
      <c r="E40" s="13">
        <v>367.83879999999999</v>
      </c>
      <c r="F40" s="14">
        <v>1245.8699999999999</v>
      </c>
      <c r="G40" s="49" cm="1">
        <f t="array" ref="G40">_FV(B40,"Price")</f>
        <v>434.91</v>
      </c>
      <c r="H40" s="16">
        <f t="shared" si="3"/>
        <v>1473.04017</v>
      </c>
      <c r="I40" s="17">
        <f t="shared" si="4"/>
        <v>0.18233856787266611</v>
      </c>
      <c r="J40" s="17">
        <f ca="1">IFERROR(__xludf.DUMMYFUNCTION("(G40-INDEX(GOOGLEFINANCE(C40,""price"",TODAY()-7),2,2))/(INDEX(GOOGLEFINANCE(C40,""price"",TODAY()-7),2,2))"),0.00615826272167436)</f>
        <v>6.1582627216743603E-3</v>
      </c>
      <c r="K40" s="18">
        <f t="shared" si="5"/>
        <v>227.1701700000001</v>
      </c>
      <c r="L40" s="19">
        <f ca="1">IFERROR(__xludf.DUMMYFUNCTION("IFERROR(GOOGLEFINANCE(C40,""pe""),""Not Available"")"),15.78)</f>
        <v>15.78</v>
      </c>
      <c r="M40" s="7"/>
      <c r="N40" s="1"/>
      <c r="O40" s="1"/>
      <c r="P40" s="1"/>
      <c r="Q40" s="1"/>
      <c r="R40" s="1"/>
      <c r="S40" s="1"/>
      <c r="T40" s="1"/>
      <c r="U40" s="1"/>
      <c r="V40" s="1"/>
      <c r="W40" s="1"/>
      <c r="X40" s="1"/>
      <c r="Y40" s="1"/>
      <c r="Z40" s="1"/>
    </row>
    <row r="41" spans="1:26" ht="14.25" customHeight="1" x14ac:dyDescent="0.35">
      <c r="A41" s="1"/>
      <c r="B41" s="1" t="e" vm="32">
        <v>#VALUE!</v>
      </c>
      <c r="C41" s="1" t="s">
        <v>49</v>
      </c>
      <c r="D41" s="12">
        <v>15.795</v>
      </c>
      <c r="E41" s="13">
        <v>70.371639999999999</v>
      </c>
      <c r="F41" s="14">
        <v>1111.52</v>
      </c>
      <c r="G41" s="49" cm="1">
        <f t="array" ref="G41">_FV(B41,"Price")</f>
        <v>40.630000000000003</v>
      </c>
      <c r="H41" s="16">
        <f t="shared" si="3"/>
        <v>641.75085000000001</v>
      </c>
      <c r="I41" s="17">
        <f t="shared" si="4"/>
        <v>-0.42263673263831847</v>
      </c>
      <c r="J41" s="17">
        <f ca="1">IFERROR(__xludf.DUMMYFUNCTION("(G41-INDEX(GOOGLEFINANCE(C41,""price"",TODAY()-7),2,2))/(INDEX(GOOGLEFINANCE(C41,""price"",TODAY()-7),2,2))"),0.0251863274222565)</f>
        <v>2.5186327422256499E-2</v>
      </c>
      <c r="K41" s="18">
        <f t="shared" si="5"/>
        <v>-469.76914999999997</v>
      </c>
      <c r="L41" s="19" t="str">
        <f ca="1">IFERROR(__xludf.DUMMYFUNCTION("IFERROR(GOOGLEFINANCE(C41,""pe""),""Not Available"")"),"Not Available")</f>
        <v>Not Available</v>
      </c>
      <c r="M41" s="7"/>
      <c r="N41" s="1"/>
      <c r="O41" s="1"/>
      <c r="P41" s="1"/>
      <c r="Q41" s="1"/>
      <c r="R41" s="1"/>
      <c r="S41" s="1"/>
      <c r="T41" s="1"/>
      <c r="U41" s="1"/>
      <c r="V41" s="1"/>
      <c r="W41" s="1"/>
      <c r="X41" s="1"/>
      <c r="Y41" s="1"/>
      <c r="Z41" s="1"/>
    </row>
    <row r="42" spans="1:26" ht="14.25" customHeight="1" x14ac:dyDescent="0.35">
      <c r="A42" s="1"/>
      <c r="B42" s="1" t="e" vm="33">
        <v>#VALUE!</v>
      </c>
      <c r="C42" s="1" t="s">
        <v>50</v>
      </c>
      <c r="D42" s="12">
        <v>3.8940000000000001</v>
      </c>
      <c r="E42" s="13">
        <v>180.44171</v>
      </c>
      <c r="F42" s="20">
        <v>702.64</v>
      </c>
      <c r="G42" s="49" cm="1">
        <f t="array" ref="G42">_FV(B42,"Price")</f>
        <v>531.24</v>
      </c>
      <c r="H42" s="16">
        <f t="shared" si="3"/>
        <v>2068.6485600000001</v>
      </c>
      <c r="I42" s="17">
        <f t="shared" si="4"/>
        <v>1.9441086542573776</v>
      </c>
      <c r="J42" s="17">
        <f ca="1">IFERROR(__xludf.DUMMYFUNCTION("(G42-INDEX(GOOGLEFINANCE(C42,""price"",TODAY()-7),2,2))/(INDEX(GOOGLEFINANCE(C42,""price"",TODAY()-7),2,2))"),-0.0134598824366317)</f>
        <v>-1.3459882436631701E-2</v>
      </c>
      <c r="K42" s="18">
        <f t="shared" si="5"/>
        <v>1366.0085600000002</v>
      </c>
      <c r="L42" s="19">
        <f ca="1">IFERROR(__xludf.DUMMYFUNCTION("IFERROR(GOOGLEFINANCE(C42,""pe""),""Not Available"")"),23.87)</f>
        <v>23.87</v>
      </c>
      <c r="M42" s="7"/>
      <c r="N42" s="1"/>
      <c r="O42" s="1"/>
      <c r="P42" s="1"/>
      <c r="Q42" s="1"/>
      <c r="R42" s="1"/>
      <c r="S42" s="1"/>
      <c r="T42" s="1"/>
      <c r="U42" s="1"/>
      <c r="V42" s="1"/>
      <c r="W42" s="1"/>
      <c r="X42" s="1"/>
      <c r="Y42" s="1"/>
      <c r="Z42" s="1"/>
    </row>
    <row r="43" spans="1:26" ht="14.25" customHeight="1" x14ac:dyDescent="0.35">
      <c r="A43" s="1"/>
      <c r="B43" s="1" t="e" vm="34">
        <v>#VALUE!</v>
      </c>
      <c r="C43" s="1" t="s">
        <v>51</v>
      </c>
      <c r="D43" s="12">
        <v>11</v>
      </c>
      <c r="E43" s="13">
        <v>157.77455</v>
      </c>
      <c r="F43" s="14">
        <v>1735.52</v>
      </c>
      <c r="G43" s="49" cm="1">
        <f t="array" ref="G43">_FV(B43,"Price")</f>
        <v>499.75</v>
      </c>
      <c r="H43" s="16">
        <f t="shared" si="3"/>
        <v>5497.25</v>
      </c>
      <c r="I43" s="17">
        <f t="shared" si="4"/>
        <v>2.1674943772617321</v>
      </c>
      <c r="J43" s="17">
        <f ca="1">IFERROR(__xludf.DUMMYFUNCTION("(G43-INDEX(GOOGLEFINANCE(C43,""price"",TODAY()-7),2,2))/(INDEX(GOOGLEFINANCE(C43,""price"",TODAY()-7),2,2))"),-0.0263152612457094)</f>
        <v>-2.63152612457094E-2</v>
      </c>
      <c r="K43" s="18">
        <f t="shared" si="5"/>
        <v>3761.73</v>
      </c>
      <c r="L43" s="19">
        <f ca="1">IFERROR(__xludf.DUMMYFUNCTION("IFERROR(GOOGLEFINANCE(C43,""pe""),""Not Available"")"),31.66)</f>
        <v>31.66</v>
      </c>
      <c r="M43" s="1"/>
      <c r="N43" s="1"/>
      <c r="O43" s="1"/>
      <c r="P43" s="1"/>
      <c r="Q43" s="1"/>
      <c r="R43" s="1"/>
      <c r="S43" s="1"/>
      <c r="T43" s="1"/>
      <c r="U43" s="1"/>
      <c r="V43" s="1"/>
      <c r="W43" s="1"/>
      <c r="X43" s="1"/>
      <c r="Y43" s="1"/>
      <c r="Z43" s="1"/>
    </row>
    <row r="44" spans="1:26" ht="14.25" customHeight="1" x14ac:dyDescent="0.35">
      <c r="A44" s="1"/>
      <c r="B44" s="1" t="e" vm="35">
        <v>#VALUE!</v>
      </c>
      <c r="C44" s="1" t="s">
        <v>52</v>
      </c>
      <c r="D44" s="12">
        <v>12</v>
      </c>
      <c r="E44" s="13">
        <v>45</v>
      </c>
      <c r="F44" s="20">
        <v>540</v>
      </c>
      <c r="G44" s="49" cm="1">
        <f t="array" ref="G44">_FV(B44,"Price")</f>
        <v>127.92</v>
      </c>
      <c r="H44" s="16">
        <f t="shared" si="3"/>
        <v>1535.04</v>
      </c>
      <c r="I44" s="17">
        <f t="shared" si="4"/>
        <v>1.8426666666666667</v>
      </c>
      <c r="J44" s="17">
        <f ca="1">IFERROR(__xludf.DUMMYFUNCTION("(G44-INDEX(GOOGLEFINANCE(C44,""price"",TODAY()-7),2,2))/(INDEX(GOOGLEFINANCE(C44,""price"",TODAY()-7),2,2))"),-0.0134722331009634)</f>
        <v>-1.3472233100963399E-2</v>
      </c>
      <c r="K44" s="18">
        <f t="shared" si="5"/>
        <v>995.04</v>
      </c>
      <c r="L44" s="19">
        <f ca="1">IFERROR(__xludf.DUMMYFUNCTION("IFERROR(GOOGLEFINANCE(C44,""pe""),""Not Available"")"),7.76)</f>
        <v>7.76</v>
      </c>
      <c r="M44" s="1"/>
      <c r="N44" s="1"/>
      <c r="O44" s="1"/>
      <c r="P44" s="1"/>
      <c r="Q44" s="1"/>
      <c r="R44" s="1"/>
      <c r="S44" s="1"/>
      <c r="T44" s="1"/>
      <c r="U44" s="1"/>
      <c r="V44" s="1"/>
      <c r="W44" s="1"/>
      <c r="X44" s="1"/>
      <c r="Y44" s="1"/>
      <c r="Z44" s="1"/>
    </row>
    <row r="45" spans="1:26" ht="14.25" customHeight="1" x14ac:dyDescent="0.35">
      <c r="A45" s="1"/>
      <c r="B45" s="1" t="e" vm="36">
        <v>#VALUE!</v>
      </c>
      <c r="C45" s="1" t="s">
        <v>53</v>
      </c>
      <c r="D45" s="12">
        <v>4</v>
      </c>
      <c r="E45" s="13">
        <v>272.84500000000003</v>
      </c>
      <c r="F45" s="14">
        <v>1091.3800000000001</v>
      </c>
      <c r="G45" s="49" cm="1">
        <f t="array" ref="G45">_FV(B45,"Price")</f>
        <v>402.55</v>
      </c>
      <c r="H45" s="16">
        <f t="shared" si="3"/>
        <v>1610.2</v>
      </c>
      <c r="I45" s="17">
        <f t="shared" si="4"/>
        <v>0.47537979438875544</v>
      </c>
      <c r="J45" s="17">
        <f ca="1">IFERROR(__xludf.DUMMYFUNCTION("(G45-INDEX(GOOGLEFINANCE(C45,""price"",TODAY()-7),2,2))/(INDEX(GOOGLEFINANCE(C45,""price"",TODAY()-7),2,2))"),0.0420126762385202)</f>
        <v>4.2012676238520202E-2</v>
      </c>
      <c r="K45" s="18">
        <f t="shared" si="5"/>
        <v>518.81999999999994</v>
      </c>
      <c r="L45" s="19">
        <f ca="1">IFERROR(__xludf.DUMMYFUNCTION("IFERROR(GOOGLEFINANCE(C45,""pe""),""Not Available"")"),21.31)</f>
        <v>21.31</v>
      </c>
      <c r="M45" s="1"/>
      <c r="N45" s="1"/>
      <c r="O45" s="1"/>
      <c r="P45" s="1"/>
      <c r="Q45" s="1"/>
      <c r="R45" s="1"/>
      <c r="S45" s="1"/>
      <c r="T45" s="1"/>
      <c r="U45" s="1"/>
      <c r="V45" s="1"/>
      <c r="W45" s="1"/>
      <c r="X45" s="1"/>
      <c r="Y45" s="1"/>
      <c r="Z45" s="1"/>
    </row>
    <row r="46" spans="1:26" ht="14.25" customHeight="1" x14ac:dyDescent="0.35">
      <c r="A46" s="1"/>
      <c r="B46" s="1" t="e" vm="37">
        <v>#VALUE!</v>
      </c>
      <c r="C46" s="1" t="s">
        <v>54</v>
      </c>
      <c r="D46" s="12">
        <v>4.7759999999999998</v>
      </c>
      <c r="E46" s="13">
        <v>79.430490000000006</v>
      </c>
      <c r="F46" s="20">
        <v>379.36</v>
      </c>
      <c r="G46" s="49" cm="1">
        <f t="array" ref="G46">_FV(B46,"Price")</f>
        <v>122.66</v>
      </c>
      <c r="H46" s="16">
        <f t="shared" si="3"/>
        <v>585.82416000000001</v>
      </c>
      <c r="I46" s="17">
        <f t="shared" si="4"/>
        <v>0.54424327484319912</v>
      </c>
      <c r="J46" s="17">
        <f ca="1">IFERROR(__xludf.DUMMYFUNCTION("(G46-INDEX(GOOGLEFINANCE(C46,""price"",TODAY()-7),2,2))/(INDEX(GOOGLEFINANCE(C46,""price"",TODAY()-7),2,2))"),-0.0146715034260378)</f>
        <v>-1.4671503426037799E-2</v>
      </c>
      <c r="K46" s="18">
        <f t="shared" si="5"/>
        <v>206.46415999999999</v>
      </c>
      <c r="L46" s="19">
        <f ca="1">IFERROR(__xludf.DUMMYFUNCTION("IFERROR(GOOGLEFINANCE(C46,""pe""),""Not Available"")"),852.8)</f>
        <v>852.8</v>
      </c>
      <c r="M46" s="7"/>
      <c r="N46" s="1"/>
      <c r="O46" s="1"/>
      <c r="P46" s="1"/>
      <c r="Q46" s="1"/>
      <c r="R46" s="1"/>
      <c r="S46" s="1"/>
      <c r="T46" s="1"/>
      <c r="U46" s="1"/>
      <c r="V46" s="1"/>
      <c r="W46" s="1"/>
      <c r="X46" s="1"/>
      <c r="Y46" s="1"/>
      <c r="Z46" s="1"/>
    </row>
    <row r="47" spans="1:26" ht="14.25" customHeight="1" x14ac:dyDescent="0.35">
      <c r="A47" s="1"/>
      <c r="B47" s="1" t="e" vm="38">
        <v>#VALUE!</v>
      </c>
      <c r="C47" s="1" t="s">
        <v>55</v>
      </c>
      <c r="D47" s="12">
        <v>10</v>
      </c>
      <c r="E47" s="13">
        <v>101.2</v>
      </c>
      <c r="F47" s="14">
        <v>1012</v>
      </c>
      <c r="G47" s="49" cm="1">
        <f t="array" ref="G47">_FV(B47,"Price")</f>
        <v>137.74</v>
      </c>
      <c r="H47" s="16">
        <f t="shared" si="3"/>
        <v>1377.4</v>
      </c>
      <c r="I47" s="17">
        <f t="shared" si="4"/>
        <v>0.36106719367588935</v>
      </c>
      <c r="J47" s="17">
        <f ca="1">IFERROR(__xludf.DUMMYFUNCTION("(G47-INDEX(GOOGLEFINANCE(C47,""price"",TODAY()-7),2,2))/(INDEX(GOOGLEFINANCE(C47,""price"",TODAY()-7),2,2))"),0.0344801682692307)</f>
        <v>3.4480168269230699E-2</v>
      </c>
      <c r="K47" s="18">
        <f t="shared" si="5"/>
        <v>365.40000000000009</v>
      </c>
      <c r="L47" s="19">
        <f ca="1">IFERROR(__xludf.DUMMYFUNCTION("IFERROR(GOOGLEFINANCE(C47,""pe""),""Not Available"")"),55.64)</f>
        <v>55.64</v>
      </c>
      <c r="M47" s="1"/>
      <c r="N47" s="1"/>
      <c r="O47" s="1"/>
      <c r="P47" s="1"/>
      <c r="Q47" s="1"/>
      <c r="R47" s="1"/>
      <c r="S47" s="1"/>
      <c r="T47" s="1"/>
      <c r="U47" s="1"/>
      <c r="V47" s="1"/>
      <c r="W47" s="1"/>
      <c r="X47" s="1"/>
      <c r="Y47" s="1"/>
      <c r="Z47" s="1"/>
    </row>
    <row r="48" spans="1:26" ht="14.25" customHeight="1" x14ac:dyDescent="0.35">
      <c r="A48" s="1"/>
      <c r="B48" s="1" t="e" vm="39">
        <v>#VALUE!</v>
      </c>
      <c r="C48" s="1" t="s">
        <v>56</v>
      </c>
      <c r="D48" s="12">
        <v>2</v>
      </c>
      <c r="E48" s="13">
        <v>338.73500000000001</v>
      </c>
      <c r="F48" s="20">
        <v>677.47</v>
      </c>
      <c r="G48" s="49" cm="1">
        <f t="array" ref="G48">_FV(B48,"Price")</f>
        <v>611.08000000000004</v>
      </c>
      <c r="H48" s="16">
        <f t="shared" si="3"/>
        <v>1222.1600000000001</v>
      </c>
      <c r="I48" s="17">
        <f t="shared" si="4"/>
        <v>0.80400608145010111</v>
      </c>
      <c r="J48" s="17">
        <f ca="1">IFERROR(__xludf.DUMMYFUNCTION("(G48-INDEX(GOOGLEFINANCE(C48,""price"",TODAY()-7),2,2))/(INDEX(GOOGLEFINANCE(C48,""price"",TODAY()-7),2,2))"),-0.0218079664842571)</f>
        <v>-2.1807966484257101E-2</v>
      </c>
      <c r="K48" s="18">
        <f t="shared" si="5"/>
        <v>544.69000000000005</v>
      </c>
      <c r="L48" s="19">
        <f ca="1">IFERROR(__xludf.DUMMYFUNCTION("IFERROR(GOOGLEFINANCE(C48,""pe""),""Not Available"")"),50.05)</f>
        <v>50.05</v>
      </c>
      <c r="M48" s="1"/>
      <c r="N48" s="1"/>
      <c r="O48" s="1"/>
      <c r="P48" s="1"/>
      <c r="Q48" s="1"/>
      <c r="R48" s="1"/>
      <c r="S48" s="1"/>
      <c r="T48" s="1"/>
      <c r="U48" s="1"/>
      <c r="V48" s="1"/>
      <c r="W48" s="1"/>
      <c r="X48" s="1"/>
      <c r="Y48" s="1"/>
      <c r="Z48" s="1"/>
    </row>
    <row r="49" spans="1:26" ht="14.25" customHeight="1" x14ac:dyDescent="0.35">
      <c r="A49" s="1"/>
      <c r="B49" s="1" t="e" vm="40">
        <v>#VALUE!</v>
      </c>
      <c r="C49" s="1" t="s">
        <v>57</v>
      </c>
      <c r="D49" s="12">
        <v>2.4209999999999998</v>
      </c>
      <c r="E49" s="13">
        <v>283.62247000000002</v>
      </c>
      <c r="F49" s="20">
        <v>686.65</v>
      </c>
      <c r="G49" s="49" cm="1">
        <f t="array" ref="G49">_FV(B49,"Price")</f>
        <v>458.82</v>
      </c>
      <c r="H49" s="16">
        <f t="shared" si="3"/>
        <v>1110.80322</v>
      </c>
      <c r="I49" s="17">
        <f t="shared" si="4"/>
        <v>0.6177138574387282</v>
      </c>
      <c r="J49" s="17">
        <f ca="1">IFERROR(__xludf.DUMMYFUNCTION("(G49-INDEX(GOOGLEFINANCE(C49,""price"",TODAY()-7),2,2))/(INDEX(GOOGLEFINANCE(C49,""price"",TODAY()-7),2,2))"),0.000695531211963122)</f>
        <v>6.9553121196312196E-4</v>
      </c>
      <c r="K49" s="18">
        <f t="shared" si="5"/>
        <v>424.15322000000003</v>
      </c>
      <c r="L49" s="19">
        <f ca="1">IFERROR(__xludf.DUMMYFUNCTION("IFERROR(GOOGLEFINANCE(C49,""pe""),""Not Available"")"),34.03)</f>
        <v>34.03</v>
      </c>
      <c r="M49" s="7"/>
      <c r="N49" s="1"/>
      <c r="O49" s="1"/>
      <c r="P49" s="1"/>
      <c r="Q49" s="1"/>
      <c r="R49" s="1"/>
      <c r="S49" s="1"/>
      <c r="T49" s="1"/>
      <c r="U49" s="1"/>
      <c r="V49" s="1"/>
      <c r="W49" s="1"/>
      <c r="X49" s="1"/>
      <c r="Y49" s="1"/>
      <c r="Z49" s="1"/>
    </row>
    <row r="50" spans="1:26" ht="14.25" customHeight="1" x14ac:dyDescent="0.35">
      <c r="A50" s="1"/>
      <c r="B50" s="1" t="e" vm="41">
        <v>#VALUE!</v>
      </c>
      <c r="C50" s="1" t="s">
        <v>58</v>
      </c>
      <c r="D50" s="12">
        <v>28.911000000000001</v>
      </c>
      <c r="E50" s="13">
        <v>31.160799999999998</v>
      </c>
      <c r="F50" s="20">
        <v>900.89</v>
      </c>
      <c r="G50" s="49" cm="1">
        <f t="array" ref="G50">_FV(B50,"Price")</f>
        <v>52.98</v>
      </c>
      <c r="H50" s="16">
        <f t="shared" si="3"/>
        <v>1531.70478</v>
      </c>
      <c r="I50" s="17">
        <f t="shared" si="4"/>
        <v>0.70021308823906958</v>
      </c>
      <c r="J50" s="17">
        <f ca="1">IFERROR(__xludf.DUMMYFUNCTION("(G50-INDEX(GOOGLEFINANCE(C50,""price"",TODAY()-7),2,2))/(INDEX(GOOGLEFINANCE(C50,""price"",TODAY()-7),2,2))"),0.0416012558869701)</f>
        <v>4.1601255886970098E-2</v>
      </c>
      <c r="K50" s="18">
        <f t="shared" si="5"/>
        <v>630.81478000000004</v>
      </c>
      <c r="L50" s="19" t="str">
        <f ca="1">IFERROR(__xludf.DUMMYFUNCTION("IFERROR(GOOGLEFINANCE(C50,""pe""),""Not Available"")"),"Not Available")</f>
        <v>Not Available</v>
      </c>
      <c r="M50" s="7"/>
      <c r="N50" s="1"/>
      <c r="O50" s="1"/>
      <c r="P50" s="1"/>
      <c r="Q50" s="1"/>
      <c r="R50" s="1"/>
      <c r="S50" s="1"/>
      <c r="T50" s="1"/>
      <c r="U50" s="1"/>
      <c r="V50" s="1"/>
      <c r="W50" s="1"/>
      <c r="X50" s="1"/>
      <c r="Y50" s="1"/>
      <c r="Z50" s="1"/>
    </row>
    <row r="51" spans="1:26" ht="14.25" customHeight="1" x14ac:dyDescent="0.35">
      <c r="A51" s="1"/>
      <c r="B51" s="1" t="e" vm="42">
        <v>#VALUE!</v>
      </c>
      <c r="C51" s="1" t="s">
        <v>59</v>
      </c>
      <c r="D51" s="12">
        <v>26.53</v>
      </c>
      <c r="E51" s="13">
        <v>48.95552</v>
      </c>
      <c r="F51" s="14">
        <v>1298.79</v>
      </c>
      <c r="G51" s="49" cm="1">
        <f t="array" ref="G51">_FV(B51,"Price")</f>
        <v>127.495</v>
      </c>
      <c r="H51" s="16">
        <f t="shared" si="3"/>
        <v>3382.4423500000003</v>
      </c>
      <c r="I51" s="17">
        <f t="shared" si="4"/>
        <v>1.6043028447047445</v>
      </c>
      <c r="J51" s="17">
        <f ca="1">IFERROR(__xludf.DUMMYFUNCTION("(G51-INDEX(GOOGLEFINANCE(C51,""price"",TODAY()-7),2,2))/(INDEX(GOOGLEFINANCE(C51,""price"",TODAY()-7),2,2))"),0.00122742416272137)</f>
        <v>1.22742416272137E-3</v>
      </c>
      <c r="K51" s="18">
        <f t="shared" si="5"/>
        <v>2083.6523500000003</v>
      </c>
      <c r="L51" s="19">
        <f ca="1">IFERROR(__xludf.DUMMYFUNCTION("IFERROR(GOOGLEFINANCE(C51,""pe""),""Not Available"")"),31.62)</f>
        <v>31.62</v>
      </c>
      <c r="M51" s="7"/>
      <c r="N51" s="1"/>
      <c r="O51" s="1"/>
      <c r="P51" s="1"/>
      <c r="Q51" s="1"/>
      <c r="R51" s="1"/>
      <c r="S51" s="1"/>
      <c r="T51" s="1"/>
      <c r="U51" s="1"/>
      <c r="V51" s="1"/>
      <c r="W51" s="1"/>
      <c r="X51" s="1"/>
      <c r="Y51" s="1"/>
      <c r="Z51" s="1"/>
    </row>
    <row r="52" spans="1:26" ht="14.25" customHeight="1" x14ac:dyDescent="0.35">
      <c r="A52" s="1"/>
      <c r="B52" s="1" t="e" vm="43">
        <v>#VALUE!</v>
      </c>
      <c r="C52" s="1" t="s">
        <v>60</v>
      </c>
      <c r="D52" s="12">
        <v>10.032999999999999</v>
      </c>
      <c r="E52" s="13">
        <v>68.772049999999993</v>
      </c>
      <c r="F52" s="20">
        <v>689.99</v>
      </c>
      <c r="G52" s="49" cm="1">
        <f t="array" ref="G52">_FV(B52,"Price")</f>
        <v>114.78</v>
      </c>
      <c r="H52" s="16">
        <f t="shared" si="3"/>
        <v>1151.5877399999999</v>
      </c>
      <c r="I52" s="17">
        <f t="shared" si="4"/>
        <v>0.66899198148084893</v>
      </c>
      <c r="J52" s="17">
        <f ca="1">IFERROR(__xludf.DUMMYFUNCTION("(G52-INDEX(GOOGLEFINANCE(C52,""price"",TODAY()-7),2,2))/(INDEX(GOOGLEFINANCE(C52,""price"",TODAY()-7),2,2))"),0.00641196900881644)</f>
        <v>6.4119690088164398E-3</v>
      </c>
      <c r="K52" s="18">
        <f t="shared" si="5"/>
        <v>461.59773999999993</v>
      </c>
      <c r="L52" s="19">
        <f ca="1">IFERROR(__xludf.DUMMYFUNCTION("IFERROR(GOOGLEFINANCE(C52,""pe""),""Not Available"")"),12.91)</f>
        <v>12.91</v>
      </c>
      <c r="M52" s="7"/>
      <c r="N52" s="1"/>
      <c r="O52" s="1"/>
      <c r="P52" s="1"/>
      <c r="Q52" s="1"/>
      <c r="R52" s="1"/>
      <c r="S52" s="1"/>
      <c r="T52" s="1"/>
      <c r="U52" s="1"/>
      <c r="V52" s="1"/>
      <c r="W52" s="1"/>
      <c r="X52" s="1"/>
      <c r="Y52" s="1"/>
      <c r="Z52" s="1"/>
    </row>
    <row r="53" spans="1:26" ht="14.25" customHeight="1" x14ac:dyDescent="0.35">
      <c r="A53" s="1"/>
      <c r="B53" s="1" t="e" vm="44">
        <v>#VALUE!</v>
      </c>
      <c r="C53" s="1" t="s">
        <v>61</v>
      </c>
      <c r="D53" s="12">
        <v>16.065999999999999</v>
      </c>
      <c r="E53" s="13">
        <v>48.040579999999999</v>
      </c>
      <c r="F53" s="20">
        <v>771.82</v>
      </c>
      <c r="G53" s="49" cm="1">
        <f t="array" ref="G53">_FV(B53,"Price")</f>
        <v>132.37</v>
      </c>
      <c r="H53" s="16">
        <f t="shared" si="3"/>
        <v>2126.6564199999998</v>
      </c>
      <c r="I53" s="17">
        <f t="shared" si="4"/>
        <v>1.7553788900966643</v>
      </c>
      <c r="J53" s="17">
        <f ca="1">IFERROR(__xludf.DUMMYFUNCTION("(G53-INDEX(GOOGLEFINANCE(C53,""price"",TODAY()-7),2,2))/(INDEX(GOOGLEFINANCE(C53,""price"",TODAY()-7),2,2))"),-0.0526736413833188)</f>
        <v>-5.2673641383318801E-2</v>
      </c>
      <c r="K53" s="18">
        <f t="shared" si="5"/>
        <v>1354.8364199999996</v>
      </c>
      <c r="L53" s="19">
        <f ca="1">IFERROR(__xludf.DUMMYFUNCTION("IFERROR(GOOGLEFINANCE(C53,""pe""),""Not Available"")"),15.37)</f>
        <v>15.37</v>
      </c>
      <c r="M53" s="7"/>
      <c r="N53" s="1"/>
      <c r="O53" s="1"/>
      <c r="P53" s="1"/>
      <c r="Q53" s="1"/>
      <c r="R53" s="1"/>
      <c r="S53" s="1"/>
      <c r="T53" s="1"/>
      <c r="U53" s="1"/>
      <c r="V53" s="1"/>
      <c r="W53" s="1"/>
      <c r="X53" s="1"/>
      <c r="Y53" s="1"/>
      <c r="Z53" s="1"/>
    </row>
    <row r="54" spans="1:26" ht="14.25" customHeight="1" x14ac:dyDescent="0.35">
      <c r="A54" s="1"/>
      <c r="B54" s="1" t="e" vm="45">
        <v>#VALUE!</v>
      </c>
      <c r="C54" s="1" t="s">
        <v>62</v>
      </c>
      <c r="D54" s="12">
        <v>11</v>
      </c>
      <c r="E54" s="13">
        <v>47.712730000000001</v>
      </c>
      <c r="F54" s="20">
        <v>524.84</v>
      </c>
      <c r="G54" s="49" cm="1">
        <f t="array" ref="G54">_FV(B54,"Price")</f>
        <v>60.03</v>
      </c>
      <c r="H54" s="16">
        <f t="shared" si="3"/>
        <v>660.33</v>
      </c>
      <c r="I54" s="17">
        <f t="shared" si="4"/>
        <v>0.25815479432847388</v>
      </c>
      <c r="J54" s="17">
        <f ca="1">IFERROR(__xludf.DUMMYFUNCTION("(G54-INDEX(GOOGLEFINANCE(C54,""price"",TODAY()-7),2,2))/(INDEX(GOOGLEFINANCE(C54,""price"",TODAY()-7),2,2))"),-0.000500166722240647)</f>
        <v>-5.0016672224064698E-4</v>
      </c>
      <c r="K54" s="18">
        <f t="shared" si="5"/>
        <v>135.49</v>
      </c>
      <c r="L54" s="19">
        <f ca="1">IFERROR(__xludf.DUMMYFUNCTION("IFERROR(GOOGLEFINANCE(C54,""pe""),""Not Available"")"),15.63)</f>
        <v>15.63</v>
      </c>
      <c r="M54" s="1"/>
      <c r="N54" s="1"/>
      <c r="O54" s="1"/>
      <c r="P54" s="1"/>
      <c r="Q54" s="1"/>
      <c r="R54" s="1"/>
      <c r="S54" s="1"/>
      <c r="T54" s="1"/>
      <c r="U54" s="1"/>
      <c r="V54" s="1"/>
      <c r="W54" s="1"/>
      <c r="X54" s="1"/>
      <c r="Y54" s="1"/>
      <c r="Z54" s="1"/>
    </row>
    <row r="55" spans="1:26" ht="14.25" customHeight="1" x14ac:dyDescent="0.35">
      <c r="A55" s="1"/>
      <c r="B55" s="1" t="e" vm="46">
        <v>#VALUE!</v>
      </c>
      <c r="C55" s="1" t="s">
        <v>63</v>
      </c>
      <c r="D55" s="12">
        <v>9.1110000000000007</v>
      </c>
      <c r="E55" s="13">
        <v>122.21599999999999</v>
      </c>
      <c r="F55" s="14">
        <v>1113.51</v>
      </c>
      <c r="G55" s="49" cm="1">
        <f t="array" ref="G55">_FV(B55,"Price")</f>
        <v>173.08</v>
      </c>
      <c r="H55" s="16">
        <f t="shared" si="3"/>
        <v>1576.9318800000003</v>
      </c>
      <c r="I55" s="17">
        <f t="shared" si="4"/>
        <v>0.41618118740590448</v>
      </c>
      <c r="J55" s="17">
        <f ca="1">IFERROR(__xludf.DUMMYFUNCTION("(G55-INDEX(GOOGLEFINANCE(C55,""price"",TODAY()-7),2,2))/(INDEX(GOOGLEFINANCE(C55,""price"",TODAY()-7),2,2))"),0.0247358309317963)</f>
        <v>2.47358309317963E-2</v>
      </c>
      <c r="K55" s="18">
        <f t="shared" si="5"/>
        <v>463.42188000000033</v>
      </c>
      <c r="L55" s="19">
        <f ca="1">IFERROR(__xludf.DUMMYFUNCTION("IFERROR(GOOGLEFINANCE(C55,""pe""),""Not Available"")"),24.75)</f>
        <v>24.75</v>
      </c>
      <c r="M55" s="7"/>
      <c r="N55" s="1"/>
      <c r="O55" s="1"/>
      <c r="P55" s="1"/>
      <c r="Q55" s="1"/>
      <c r="R55" s="1"/>
      <c r="S55" s="1"/>
      <c r="T55" s="1"/>
      <c r="U55" s="1"/>
      <c r="V55" s="1"/>
      <c r="W55" s="1"/>
      <c r="X55" s="1"/>
      <c r="Y55" s="1"/>
      <c r="Z55" s="1"/>
    </row>
    <row r="56" spans="1:26" ht="14.25" customHeight="1" x14ac:dyDescent="0.35">
      <c r="A56" s="1"/>
      <c r="B56" s="1" t="e" vm="47">
        <v>#VALUE!</v>
      </c>
      <c r="C56" s="1" t="s">
        <v>64</v>
      </c>
      <c r="D56" s="12">
        <v>3</v>
      </c>
      <c r="E56" s="13">
        <v>236.77</v>
      </c>
      <c r="F56" s="20">
        <v>710.31</v>
      </c>
      <c r="G56" s="49" cm="1">
        <f t="array" ref="G56">_FV(B56,"Price")</f>
        <v>36.340000000000003</v>
      </c>
      <c r="H56" s="16">
        <f t="shared" si="3"/>
        <v>109.02000000000001</v>
      </c>
      <c r="I56" s="17">
        <f t="shared" si="4"/>
        <v>-0.84651771761625205</v>
      </c>
      <c r="J56" s="17">
        <f ca="1">IFERROR(__xludf.DUMMYFUNCTION("(G56-INDEX(GOOGLEFINANCE(C56,""price"",TODAY()-7),2,2))/(INDEX(GOOGLEFINANCE(C56,""price"",TODAY()-7),2,2))"),0.0936655658961272)</f>
        <v>9.3665565896127206E-2</v>
      </c>
      <c r="K56" s="18">
        <f t="shared" si="5"/>
        <v>-601.29</v>
      </c>
      <c r="L56" s="19" t="str">
        <f ca="1">IFERROR(__xludf.DUMMYFUNCTION("IFERROR(GOOGLEFINANCE(C56,""pe""),""Not Available"")"),"Not Available")</f>
        <v>Not Available</v>
      </c>
      <c r="M56" s="1"/>
      <c r="N56" s="1"/>
      <c r="O56" s="1"/>
      <c r="P56" s="1"/>
      <c r="Q56" s="1"/>
      <c r="R56" s="1"/>
      <c r="S56" s="1"/>
      <c r="T56" s="1"/>
      <c r="U56" s="1"/>
      <c r="V56" s="1"/>
      <c r="W56" s="1"/>
      <c r="X56" s="1"/>
      <c r="Y56" s="1"/>
      <c r="Z56" s="1"/>
    </row>
    <row r="57" spans="1:26" ht="14.25" customHeight="1" x14ac:dyDescent="0.35">
      <c r="A57" s="1"/>
      <c r="B57" s="1" t="e" vm="48">
        <v>#VALUE!</v>
      </c>
      <c r="C57" s="1" t="s">
        <v>65</v>
      </c>
      <c r="D57" s="12">
        <v>13</v>
      </c>
      <c r="E57" s="13">
        <v>17.915379999999999</v>
      </c>
      <c r="F57" s="20">
        <v>232.9</v>
      </c>
      <c r="G57" s="49" cm="1">
        <f t="array" ref="G57">_FV(B57,"Price")</f>
        <v>21.37</v>
      </c>
      <c r="H57" s="16">
        <f t="shared" si="3"/>
        <v>277.81</v>
      </c>
      <c r="I57" s="17">
        <f t="shared" si="4"/>
        <v>0.19282984787372648</v>
      </c>
      <c r="J57" s="17">
        <f ca="1">IFERROR(__xludf.DUMMYFUNCTION("(G57-INDEX(GOOGLEFINANCE(C57,""price"",TODAY()-7),2,2))/(INDEX(GOOGLEFINANCE(C57,""price"",TODAY()-7),2,2))"),0.046191646191646)</f>
        <v>4.6191646191646001E-2</v>
      </c>
      <c r="K57" s="18">
        <f t="shared" si="5"/>
        <v>44.91</v>
      </c>
      <c r="L57" s="19">
        <f ca="1">IFERROR(__xludf.DUMMYFUNCTION("IFERROR(GOOGLEFINANCE(C57,""pe""),""Not Available"")"),637.8)</f>
        <v>637.79999999999995</v>
      </c>
      <c r="M57" s="1"/>
      <c r="N57" s="1"/>
      <c r="O57" s="1"/>
      <c r="P57" s="1"/>
      <c r="Q57" s="1"/>
      <c r="R57" s="1"/>
      <c r="S57" s="1"/>
      <c r="T57" s="1"/>
      <c r="U57" s="1"/>
      <c r="V57" s="1"/>
      <c r="W57" s="1"/>
      <c r="X57" s="1"/>
      <c r="Y57" s="1"/>
      <c r="Z57" s="1"/>
    </row>
    <row r="58" spans="1:26" ht="14.25" customHeight="1" x14ac:dyDescent="0.35">
      <c r="A58" s="1"/>
      <c r="B58" s="1" t="e" vm="49">
        <v>#VALUE!</v>
      </c>
      <c r="C58" s="1" t="s">
        <v>66</v>
      </c>
      <c r="D58" s="12">
        <v>31.338000000000001</v>
      </c>
      <c r="E58" s="13">
        <v>29.484010000000001</v>
      </c>
      <c r="F58" s="20">
        <v>923.97</v>
      </c>
      <c r="G58" s="49" cm="1">
        <f t="array" ref="G58">_FV(B58,"Price")</f>
        <v>34.56</v>
      </c>
      <c r="H58" s="16">
        <f t="shared" si="3"/>
        <v>1083.0412800000001</v>
      </c>
      <c r="I58" s="17">
        <f t="shared" si="4"/>
        <v>0.1721607746029119</v>
      </c>
      <c r="J58" s="17">
        <f ca="1">IFERROR(__xludf.DUMMYFUNCTION("(G58-INDEX(GOOGLEFINANCE(C58,""price"",TODAY()-7),2,2))/(INDEX(GOOGLEFINANCE(C58,""price"",TODAY()-7),2,2))"),-0.00454545454545465)</f>
        <v>-4.5454545454546502E-3</v>
      </c>
      <c r="K58" s="18">
        <f t="shared" si="5"/>
        <v>159.07128000000012</v>
      </c>
      <c r="L58" s="19">
        <f ca="1">IFERROR(__xludf.DUMMYFUNCTION("IFERROR(GOOGLEFINANCE(C58,""pe""),""Not Available"")"),30.48)</f>
        <v>30.48</v>
      </c>
      <c r="M58" s="7"/>
      <c r="N58" s="1"/>
      <c r="O58" s="1"/>
      <c r="P58" s="1"/>
      <c r="Q58" s="1"/>
      <c r="R58" s="1"/>
      <c r="S58" s="1"/>
      <c r="T58" s="1"/>
      <c r="U58" s="1"/>
      <c r="V58" s="1"/>
      <c r="W58" s="1"/>
      <c r="X58" s="1"/>
      <c r="Y58" s="1"/>
      <c r="Z58" s="1"/>
    </row>
    <row r="59" spans="1:26" ht="14.25" customHeight="1" x14ac:dyDescent="0.35">
      <c r="A59" s="1"/>
      <c r="B59" s="1" t="e" vm="50">
        <v>#VALUE!</v>
      </c>
      <c r="C59" s="1" t="s">
        <v>67</v>
      </c>
      <c r="D59" s="12">
        <v>48.009</v>
      </c>
      <c r="E59" s="13">
        <v>18.43779</v>
      </c>
      <c r="F59" s="20">
        <v>885.18</v>
      </c>
      <c r="G59" s="49" cm="1">
        <f t="array" ref="G59">_FV(B59,"Price")</f>
        <v>14.37</v>
      </c>
      <c r="H59" s="16">
        <f t="shared" si="3"/>
        <v>689.88932999999997</v>
      </c>
      <c r="I59" s="17">
        <f t="shared" si="4"/>
        <v>-0.22062242817604494</v>
      </c>
      <c r="J59" s="17">
        <f ca="1">IFERROR(__xludf.DUMMYFUNCTION("(G59-INDEX(GOOGLEFINANCE(C59,""price"",TODAY()-7),2,2))/(INDEX(GOOGLEFINANCE(C59,""price"",TODAY()-7),2,2))"),0.00552486187845304)</f>
        <v>5.5248618784530402E-3</v>
      </c>
      <c r="K59" s="18">
        <f t="shared" si="5"/>
        <v>-195.29066999999998</v>
      </c>
      <c r="L59" s="19">
        <f ca="1">IFERROR(__xludf.DUMMYFUNCTION("IFERROR(GOOGLEFINANCE(C59,""pe""),""Not Available"")"),37.94)</f>
        <v>37.94</v>
      </c>
      <c r="M59" s="7"/>
      <c r="N59" s="1"/>
      <c r="O59" s="1"/>
      <c r="P59" s="1"/>
      <c r="Q59" s="1"/>
      <c r="R59" s="1"/>
      <c r="S59" s="1"/>
      <c r="T59" s="1"/>
      <c r="U59" s="1"/>
      <c r="V59" s="1"/>
      <c r="W59" s="1"/>
      <c r="X59" s="1"/>
      <c r="Y59" s="1"/>
      <c r="Z59" s="1"/>
    </row>
    <row r="60" spans="1:26" ht="14.25" customHeight="1" x14ac:dyDescent="0.35">
      <c r="A60" s="1"/>
      <c r="B60" s="1" t="e" vm="51">
        <v>#VALUE!</v>
      </c>
      <c r="C60" s="1" t="s">
        <v>68</v>
      </c>
      <c r="D60" s="12">
        <v>2.0110000000000001</v>
      </c>
      <c r="E60" s="13">
        <v>466.05171999999999</v>
      </c>
      <c r="F60" s="20">
        <v>937.23</v>
      </c>
      <c r="G60" s="49" cm="1">
        <f t="array" ref="G60">_FV(B60,"Price")</f>
        <v>597.29999999999995</v>
      </c>
      <c r="H60" s="16">
        <f t="shared" si="3"/>
        <v>1201.1703</v>
      </c>
      <c r="I60" s="17">
        <f t="shared" si="4"/>
        <v>0.28161741362096038</v>
      </c>
      <c r="J60" s="17">
        <f ca="1">IFERROR(__xludf.DUMMYFUNCTION("(G60-INDEX(GOOGLEFINANCE(C60,""price"",TODAY()-7),2,2))/(INDEX(GOOGLEFINANCE(C60,""price"",TODAY()-7),2,2))"),0.0245856543566468)</f>
        <v>2.4585654356646801E-2</v>
      </c>
      <c r="K60" s="18">
        <f t="shared" si="5"/>
        <v>263.94029999999998</v>
      </c>
      <c r="L60" s="19">
        <f ca="1">IFERROR(__xludf.DUMMYFUNCTION("IFERROR(GOOGLEFINANCE(C60,""pe""),""Not Available"")"),38.57)</f>
        <v>38.57</v>
      </c>
      <c r="M60" s="7"/>
      <c r="N60" s="1"/>
      <c r="O60" s="1"/>
      <c r="P60" s="1"/>
      <c r="Q60" s="1"/>
      <c r="R60" s="1"/>
      <c r="S60" s="1"/>
      <c r="T60" s="1"/>
      <c r="U60" s="1"/>
      <c r="V60" s="1"/>
      <c r="W60" s="1"/>
      <c r="X60" s="1"/>
      <c r="Y60" s="1"/>
      <c r="Z60" s="1"/>
    </row>
    <row r="61" spans="1:26" ht="14.25" customHeight="1" x14ac:dyDescent="0.35">
      <c r="A61" s="1"/>
      <c r="B61" s="1" t="e" vm="52">
        <v>#VALUE!</v>
      </c>
      <c r="C61" s="1" t="s">
        <v>69</v>
      </c>
      <c r="D61" s="12">
        <v>3.1419999999999999</v>
      </c>
      <c r="E61" s="13">
        <v>21.56906</v>
      </c>
      <c r="F61" s="20">
        <v>67.77</v>
      </c>
      <c r="G61" s="49" cm="1">
        <f t="array" ref="G61">_FV(B61,"Price")</f>
        <v>29.1</v>
      </c>
      <c r="H61" s="16">
        <f t="shared" si="3"/>
        <v>91.432199999999995</v>
      </c>
      <c r="I61" s="17">
        <f t="shared" si="4"/>
        <v>0.34915476149632863</v>
      </c>
      <c r="J61" s="17">
        <f ca="1">IFERROR(__xludf.DUMMYFUNCTION("(G61-INDEX(GOOGLEFINANCE(C61,""price"",TODAY()-7),2,2))/(INDEX(GOOGLEFINANCE(C61,""price"",TODAY()-7),2,2))"),-0.0192405063291138)</f>
        <v>-1.92405063291138E-2</v>
      </c>
      <c r="K61" s="18">
        <f t="shared" si="5"/>
        <v>23.662199999999999</v>
      </c>
      <c r="L61" s="19" t="str">
        <f ca="1">IFERROR(__xludf.DUMMYFUNCTION("IFERROR(GOOGLEFINANCE(C61,""pe""),""Not Available"")"),"Not Available")</f>
        <v>Not Available</v>
      </c>
      <c r="M61" s="7"/>
      <c r="N61" s="1"/>
      <c r="O61" s="1"/>
      <c r="P61" s="1"/>
      <c r="Q61" s="1"/>
      <c r="R61" s="1"/>
      <c r="S61" s="1"/>
      <c r="T61" s="1"/>
      <c r="U61" s="1"/>
      <c r="V61" s="1"/>
      <c r="W61" s="1"/>
      <c r="X61" s="1"/>
      <c r="Y61" s="1"/>
      <c r="Z61" s="1"/>
    </row>
    <row r="62" spans="1:26" ht="14.25" customHeight="1" x14ac:dyDescent="0.35">
      <c r="A62" s="1"/>
      <c r="B62" s="1" t="e" vm="53">
        <v>#VALUE!</v>
      </c>
      <c r="C62" s="1" t="s">
        <v>70</v>
      </c>
      <c r="D62" s="12">
        <v>13</v>
      </c>
      <c r="E62" s="13">
        <v>30.548459999999999</v>
      </c>
      <c r="F62" s="20">
        <v>397.13</v>
      </c>
      <c r="G62" s="49" cm="1">
        <f t="array" ref="G62">_FV(B62,"Price")</f>
        <v>124.87</v>
      </c>
      <c r="H62" s="16">
        <f t="shared" si="3"/>
        <v>1623.31</v>
      </c>
      <c r="I62" s="17">
        <f t="shared" si="4"/>
        <v>3.0876037613680039</v>
      </c>
      <c r="J62" s="17">
        <f ca="1">IFERROR(__xludf.DUMMYFUNCTION("(G62-INDEX(GOOGLEFINANCE(C62,""price"",TODAY()-7),2,2))/(INDEX(GOOGLEFINANCE(C62,""price"",TODAY()-7),2,2))"),-0.0114516394793211)</f>
        <v>-1.14516394793211E-2</v>
      </c>
      <c r="K62" s="18">
        <f t="shared" si="5"/>
        <v>1226.1799999999998</v>
      </c>
      <c r="L62" s="19">
        <f ca="1">IFERROR(__xludf.DUMMYFUNCTION("IFERROR(GOOGLEFINANCE(C62,""pe""),""Not Available"")"),73.66)</f>
        <v>73.66</v>
      </c>
      <c r="M62" s="1"/>
      <c r="N62" s="1"/>
      <c r="O62" s="1"/>
      <c r="P62" s="1"/>
      <c r="Q62" s="1"/>
      <c r="R62" s="1"/>
      <c r="S62" s="1"/>
      <c r="T62" s="1"/>
      <c r="U62" s="1"/>
      <c r="V62" s="1"/>
      <c r="W62" s="1"/>
      <c r="X62" s="1"/>
      <c r="Y62" s="1"/>
      <c r="Z62" s="1"/>
    </row>
    <row r="63" spans="1:26" ht="14.2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5">
      <c r="A66" s="1"/>
      <c r="B66" s="1"/>
      <c r="C66" s="1" t="s">
        <v>71</v>
      </c>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5">
      <c r="A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5">
      <c r="A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5">
      <c r="A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5">
      <c r="A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5">
      <c r="A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5">
      <c r="A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5">
      <c r="A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5">
      <c r="A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5">
      <c r="A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5">
      <c r="A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5">
      <c r="A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5">
      <c r="A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5">
      <c r="A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5">
      <c r="A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5">
      <c r="A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5">
      <c r="A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5">
      <c r="A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5">
      <c r="A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5">
      <c r="A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5">
      <c r="A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5">
      <c r="A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5">
      <c r="A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5">
      <c r="A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5">
      <c r="A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5">
      <c r="A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5">
      <c r="A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5">
      <c r="A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5">
      <c r="A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5">
      <c r="A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5">
      <c r="A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5">
      <c r="A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5">
      <c r="A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5">
      <c r="A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5">
      <c r="A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5">
      <c r="A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5">
      <c r="A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5">
      <c r="A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5">
      <c r="A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5">
      <c r="A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5">
      <c r="A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5">
      <c r="A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5">
      <c r="A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2">
    <mergeCell ref="D8:F8"/>
    <mergeCell ref="G8:M8"/>
  </mergeCells>
  <conditionalFormatting sqref="I10:J62">
    <cfRule type="cellIs" dxfId="15" priority="1" operator="greaterThan">
      <formula>0</formula>
    </cfRule>
  </conditionalFormatting>
  <conditionalFormatting sqref="I10:K62">
    <cfRule type="cellIs" dxfId="14" priority="2" operator="lessThan">
      <formula>0</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9"/>
  <sheetViews>
    <sheetView showGridLines="0" workbookViewId="0">
      <selection activeCell="C28" sqref="C28"/>
    </sheetView>
  </sheetViews>
  <sheetFormatPr defaultColWidth="14.453125" defaultRowHeight="15" customHeight="1" x14ac:dyDescent="0.35"/>
  <cols>
    <col min="1" max="1" width="3.54296875" customWidth="1"/>
    <col min="2" max="2" width="31.81640625" customWidth="1"/>
    <col min="3" max="3" width="17.7265625" customWidth="1"/>
    <col min="4" max="4" width="12.54296875" customWidth="1"/>
    <col min="5" max="6" width="10.453125" customWidth="1"/>
    <col min="7" max="7" width="10.81640625" customWidth="1"/>
    <col min="8" max="8" width="10.54296875" customWidth="1"/>
    <col min="9" max="9" width="9.54296875" customWidth="1"/>
    <col min="10" max="10" width="14" customWidth="1"/>
    <col min="11" max="11" width="15.81640625" customWidth="1"/>
    <col min="12" max="12" width="11.08984375" customWidth="1"/>
    <col min="13" max="13" width="17.453125" customWidth="1"/>
    <col min="14" max="14" width="15.81640625" customWidth="1"/>
    <col min="15" max="27" width="8.7265625" customWidth="1"/>
  </cols>
  <sheetData>
    <row r="1" spans="1:27" ht="14.25" customHeight="1" x14ac:dyDescent="0.35">
      <c r="A1" s="1"/>
      <c r="B1" s="1"/>
      <c r="C1" s="1"/>
      <c r="D1" s="1"/>
      <c r="E1" s="1"/>
      <c r="F1" s="1"/>
      <c r="G1" s="1"/>
      <c r="H1" s="1"/>
      <c r="I1" s="1"/>
      <c r="J1" s="1"/>
      <c r="K1" s="1"/>
      <c r="L1" s="1"/>
      <c r="M1" s="1"/>
      <c r="N1" s="1"/>
      <c r="O1" s="1"/>
      <c r="P1" s="1"/>
      <c r="Q1" s="1"/>
      <c r="R1" s="1"/>
      <c r="S1" s="1"/>
      <c r="T1" s="1"/>
      <c r="U1" s="1"/>
      <c r="V1" s="1"/>
      <c r="W1" s="1"/>
      <c r="X1" s="1"/>
      <c r="Y1" s="1"/>
      <c r="Z1" s="1"/>
      <c r="AA1" s="1"/>
    </row>
    <row r="2" spans="1:27" ht="14.25" customHeight="1" x14ac:dyDescent="0.35">
      <c r="A2" s="1"/>
      <c r="B2" s="2" t="s">
        <v>0</v>
      </c>
      <c r="C2" s="3"/>
      <c r="D2" s="3"/>
      <c r="E2" s="3"/>
      <c r="F2" s="3"/>
      <c r="G2" s="3"/>
      <c r="H2" s="3"/>
      <c r="I2" s="3"/>
      <c r="J2" s="3"/>
      <c r="K2" s="3"/>
      <c r="L2" s="3"/>
      <c r="M2" s="3"/>
      <c r="N2" s="3"/>
      <c r="O2" s="3"/>
      <c r="P2" s="3"/>
      <c r="Q2" s="3"/>
      <c r="R2" s="3"/>
      <c r="S2" s="3"/>
      <c r="U2" s="1"/>
      <c r="V2" s="1"/>
      <c r="W2" s="1"/>
      <c r="X2" s="1"/>
      <c r="Y2" s="1"/>
      <c r="Z2" s="1"/>
      <c r="AA2" s="1"/>
    </row>
    <row r="3" spans="1:27" ht="14.25" customHeight="1" x14ac:dyDescent="0.35">
      <c r="A3" s="1"/>
      <c r="B3" s="4" t="s">
        <v>1</v>
      </c>
      <c r="C3" s="3"/>
      <c r="D3" s="3"/>
      <c r="E3" s="3"/>
      <c r="F3" s="3"/>
      <c r="G3" s="3"/>
      <c r="H3" s="3"/>
      <c r="I3" s="3"/>
      <c r="J3" s="3"/>
      <c r="K3" s="3"/>
      <c r="L3" s="3"/>
      <c r="M3" s="3"/>
      <c r="N3" s="3"/>
      <c r="O3" s="3"/>
      <c r="P3" s="3"/>
      <c r="Q3" s="3"/>
      <c r="R3" s="3"/>
      <c r="S3" s="3"/>
      <c r="U3" s="1"/>
      <c r="V3" s="1"/>
      <c r="W3" s="1"/>
      <c r="X3" s="1"/>
      <c r="Y3" s="1"/>
      <c r="Z3" s="1"/>
      <c r="AA3" s="1"/>
    </row>
    <row r="4" spans="1:27" ht="14.25" customHeight="1" x14ac:dyDescent="0.35">
      <c r="A4" s="1"/>
      <c r="B4" s="5" t="s">
        <v>2</v>
      </c>
      <c r="C4" s="3"/>
      <c r="D4" s="3"/>
      <c r="E4" s="3"/>
      <c r="F4" s="3"/>
      <c r="G4" s="3"/>
      <c r="H4" s="3"/>
      <c r="I4" s="3"/>
      <c r="J4" s="3"/>
      <c r="K4" s="3"/>
      <c r="L4" s="3"/>
      <c r="M4" s="3"/>
      <c r="N4" s="3"/>
      <c r="O4" s="3"/>
      <c r="P4" s="3"/>
      <c r="Q4" s="3"/>
      <c r="R4" s="3"/>
      <c r="S4" s="3"/>
      <c r="U4" s="1"/>
      <c r="V4" s="1"/>
      <c r="W4" s="1"/>
      <c r="X4" s="1"/>
      <c r="Y4" s="1"/>
      <c r="Z4" s="1"/>
      <c r="AA4" s="1"/>
    </row>
    <row r="5" spans="1:27" ht="14.25" customHeight="1" x14ac:dyDescent="0.35">
      <c r="A5" s="1"/>
      <c r="B5" s="1"/>
      <c r="C5" s="1"/>
      <c r="D5" s="1"/>
      <c r="E5" s="1"/>
      <c r="F5" s="1"/>
      <c r="G5" s="1"/>
      <c r="H5" s="1"/>
      <c r="I5" s="1"/>
      <c r="J5" s="1"/>
      <c r="K5" s="1"/>
      <c r="L5" s="1"/>
      <c r="M5" s="1"/>
      <c r="N5" s="1"/>
      <c r="O5" s="1"/>
      <c r="P5" s="1"/>
      <c r="Q5" s="1"/>
      <c r="R5" s="1"/>
      <c r="S5" s="1"/>
      <c r="T5" s="1"/>
      <c r="U5" s="1"/>
      <c r="V5" s="1"/>
      <c r="W5" s="1"/>
      <c r="X5" s="1"/>
      <c r="Y5" s="1"/>
      <c r="Z5" s="1"/>
      <c r="AA5" s="1"/>
    </row>
    <row r="6" spans="1:27" ht="14.25" customHeight="1" x14ac:dyDescent="0.35">
      <c r="A6" s="1"/>
      <c r="B6" s="1"/>
      <c r="C6" s="1"/>
      <c r="D6" s="46"/>
      <c r="E6" s="47"/>
      <c r="F6" s="47"/>
      <c r="G6" s="47"/>
      <c r="H6" s="46"/>
      <c r="I6" s="47"/>
      <c r="J6" s="47"/>
      <c r="K6" s="47"/>
      <c r="L6" s="47"/>
      <c r="M6" s="47"/>
      <c r="N6" s="47"/>
      <c r="O6" s="1"/>
      <c r="P6" s="1"/>
      <c r="Q6" s="1"/>
      <c r="R6" s="1"/>
      <c r="S6" s="1"/>
      <c r="T6" s="1"/>
      <c r="U6" s="1"/>
      <c r="V6" s="1"/>
      <c r="W6" s="1"/>
      <c r="X6" s="1"/>
      <c r="Y6" s="1"/>
      <c r="Z6" s="1"/>
      <c r="AA6" s="1"/>
    </row>
    <row r="7" spans="1:27" ht="14.25" customHeight="1" x14ac:dyDescent="0.35">
      <c r="A7" s="1"/>
      <c r="B7" s="1"/>
      <c r="C7" s="1"/>
      <c r="D7" s="1"/>
      <c r="E7" s="1"/>
      <c r="F7" s="1"/>
      <c r="G7" s="1"/>
      <c r="H7" s="1"/>
      <c r="I7" s="1"/>
      <c r="J7" s="1"/>
      <c r="K7" s="1"/>
      <c r="L7" s="1"/>
      <c r="M7" s="1"/>
      <c r="N7" s="1"/>
      <c r="O7" s="1"/>
      <c r="P7" s="1"/>
      <c r="Q7" s="1"/>
      <c r="R7" s="1"/>
      <c r="S7" s="1"/>
      <c r="T7" s="1"/>
      <c r="U7" s="1"/>
      <c r="V7" s="1"/>
      <c r="W7" s="1"/>
      <c r="X7" s="1"/>
      <c r="Y7" s="1"/>
      <c r="Z7" s="1"/>
      <c r="AA7" s="1"/>
    </row>
    <row r="8" spans="1:27" ht="14.25" customHeight="1" x14ac:dyDescent="0.35">
      <c r="A8" s="1"/>
      <c r="B8" s="8"/>
      <c r="C8" s="1"/>
      <c r="D8" s="21"/>
      <c r="E8" s="15"/>
      <c r="F8" s="15"/>
      <c r="G8" s="16"/>
      <c r="H8" s="15"/>
      <c r="I8" s="16"/>
      <c r="J8" s="17"/>
      <c r="K8" s="17"/>
      <c r="L8" s="18"/>
      <c r="M8" s="19"/>
      <c r="N8" s="7"/>
      <c r="O8" s="1"/>
      <c r="P8" s="1"/>
      <c r="Q8" s="1"/>
      <c r="R8" s="1"/>
      <c r="S8" s="1"/>
      <c r="T8" s="1"/>
      <c r="U8" s="1"/>
      <c r="V8" s="1"/>
      <c r="W8" s="1"/>
      <c r="X8" s="1"/>
      <c r="Y8" s="1"/>
      <c r="Z8" s="1"/>
      <c r="AA8" s="1"/>
    </row>
    <row r="9" spans="1:27" ht="14.25" customHeight="1" x14ac:dyDescent="0.35">
      <c r="A9" s="1"/>
      <c r="B9" s="8"/>
      <c r="C9" s="22" t="s">
        <v>72</v>
      </c>
      <c r="D9" s="23" t="s">
        <v>73</v>
      </c>
      <c r="E9" s="23" t="s">
        <v>74</v>
      </c>
      <c r="F9" s="23" t="s">
        <v>75</v>
      </c>
      <c r="G9" s="24" t="s">
        <v>76</v>
      </c>
      <c r="H9" s="15"/>
      <c r="I9" s="16"/>
      <c r="J9" s="17"/>
      <c r="K9" s="17"/>
      <c r="L9" s="18"/>
      <c r="M9" s="19"/>
      <c r="N9" s="7"/>
      <c r="O9" s="1"/>
      <c r="P9" s="1"/>
      <c r="Q9" s="1"/>
      <c r="R9" s="1"/>
      <c r="S9" s="1"/>
      <c r="T9" s="1"/>
      <c r="U9" s="25">
        <v>44927</v>
      </c>
      <c r="V9" s="1"/>
      <c r="W9" s="1"/>
      <c r="X9" s="1"/>
      <c r="Y9" s="1"/>
      <c r="Z9" s="1"/>
      <c r="AA9" s="1"/>
    </row>
    <row r="10" spans="1:27" ht="14.25" customHeight="1" x14ac:dyDescent="0.35">
      <c r="A10" s="1"/>
      <c r="B10" s="8" t="s">
        <v>77</v>
      </c>
      <c r="C10" s="26">
        <f>TMT!C6</f>
        <v>111481.50935000001</v>
      </c>
      <c r="D10" s="27">
        <f t="shared" ref="D10:D15" si="0">C10/$C$17</f>
        <v>0.6769923877727444</v>
      </c>
      <c r="E10" s="27">
        <f ca="1">SUMPRODUCT(TMT!K10:K24,TMT!F10:F24/TMT!F26)</f>
        <v>0.55620260244223396</v>
      </c>
      <c r="F10" s="27">
        <f ca="1">SUMPRODUCT(TMT!L10:L24,TMT!F10:F24/TMT!F26)</f>
        <v>0.74610567638202174</v>
      </c>
      <c r="G10" s="28">
        <f>TMT!H26/TMT!F26-1</f>
        <v>6.5830952152595827</v>
      </c>
      <c r="H10" s="15"/>
      <c r="I10" s="16"/>
      <c r="J10" s="17"/>
      <c r="K10" s="17"/>
      <c r="L10" s="18"/>
      <c r="M10" s="19"/>
      <c r="N10" s="7"/>
      <c r="O10" s="1"/>
      <c r="P10" s="1"/>
      <c r="Q10" s="1"/>
      <c r="R10" s="1"/>
      <c r="S10" s="1"/>
      <c r="T10" s="1"/>
      <c r="U10" s="1"/>
      <c r="V10" s="1"/>
      <c r="W10" s="1"/>
      <c r="X10" s="1"/>
      <c r="Y10" s="1"/>
      <c r="Z10" s="1"/>
      <c r="AA10" s="1"/>
    </row>
    <row r="11" spans="1:27" ht="14.25" customHeight="1" x14ac:dyDescent="0.35">
      <c r="A11" s="1"/>
      <c r="B11" s="8" t="s">
        <v>78</v>
      </c>
      <c r="C11" s="26">
        <f>PNR!C6</f>
        <v>11471.505944999999</v>
      </c>
      <c r="D11" s="27">
        <f t="shared" si="0"/>
        <v>6.9662872761013447E-2</v>
      </c>
      <c r="E11" s="27">
        <f ca="1">SUMPRODUCT(PNR!K10:K19,PNR!F10:F19/PNR!F21)</f>
        <v>-3.205151204962594E-2</v>
      </c>
      <c r="F11" s="27">
        <f ca="1">SUMPRODUCT(PNR!L10:L19,PNR!F10:F19/PNR!F21)</f>
        <v>-5.367659003190977E-2</v>
      </c>
      <c r="G11" s="28">
        <f>PNR!H21/PNR!F21-1</f>
        <v>0.43920031929241254</v>
      </c>
      <c r="H11" s="15"/>
      <c r="I11" s="16"/>
      <c r="J11" s="17"/>
      <c r="K11" s="17"/>
      <c r="L11" s="18"/>
      <c r="M11" s="19"/>
      <c r="N11" s="7"/>
      <c r="O11" s="1"/>
      <c r="P11" s="1"/>
      <c r="Q11" s="1"/>
      <c r="R11" s="1"/>
      <c r="S11" s="1"/>
      <c r="T11" s="1"/>
      <c r="U11" s="1"/>
      <c r="V11" s="1"/>
      <c r="W11" s="1"/>
      <c r="X11" s="1"/>
      <c r="Y11" s="1"/>
      <c r="Z11" s="1"/>
      <c r="AA11" s="1"/>
    </row>
    <row r="12" spans="1:27" ht="14.25" customHeight="1" x14ac:dyDescent="0.35">
      <c r="A12" s="1"/>
      <c r="B12" s="8" t="s">
        <v>79</v>
      </c>
      <c r="C12" s="26">
        <f>IND!C6</f>
        <v>16110.064159999998</v>
      </c>
      <c r="D12" s="27">
        <f t="shared" si="0"/>
        <v>9.7831388061041802E-2</v>
      </c>
      <c r="E12" s="27">
        <f ca="1">SUMPRODUCT(IND!K10:K21,IND!F10:F21/IND!F23)</f>
        <v>0.36725567733155978</v>
      </c>
      <c r="F12" s="27">
        <f ca="1">SUMPRODUCT(IND!L10:L21,IND!F10:F21/IND!F23)</f>
        <v>0.42238702265039596</v>
      </c>
      <c r="G12" s="7">
        <f>IND!H23/IND!F23-1</f>
        <v>0.60537476133722912</v>
      </c>
      <c r="H12" s="15"/>
      <c r="I12" s="16"/>
      <c r="J12" s="17"/>
      <c r="K12" s="17"/>
      <c r="L12" s="18"/>
      <c r="M12" s="19"/>
      <c r="N12" s="7"/>
      <c r="O12" s="1"/>
      <c r="P12" s="1"/>
      <c r="Q12" s="1"/>
      <c r="R12" s="1"/>
      <c r="S12" s="1"/>
      <c r="T12" s="1"/>
      <c r="U12" s="1"/>
      <c r="V12" s="1"/>
      <c r="W12" s="1"/>
      <c r="X12" s="1"/>
      <c r="Y12" s="1"/>
      <c r="Z12" s="1"/>
      <c r="AA12" s="1"/>
    </row>
    <row r="13" spans="1:27" ht="14.25" customHeight="1" x14ac:dyDescent="0.35">
      <c r="A13" s="1"/>
      <c r="B13" s="8" t="s">
        <v>80</v>
      </c>
      <c r="C13" s="26">
        <f>CNR!C6</f>
        <v>9816.6678499999998</v>
      </c>
      <c r="D13" s="27">
        <f t="shared" si="0"/>
        <v>5.9613557858090055E-2</v>
      </c>
      <c r="E13" s="27">
        <f ca="1">SUMPRODUCT(CNR!K10:K15,CNR!F10:F15/CNR!F17)</f>
        <v>0.29666455800860481</v>
      </c>
      <c r="F13" s="27">
        <f ca="1">SUMPRODUCT(CNR!L10:L15,CNR!F10:F15/CNR!F17)</f>
        <v>0.1998213773938376</v>
      </c>
      <c r="G13" s="28">
        <f>CNR!H17/CNR!F17-1</f>
        <v>0.72701261745297052</v>
      </c>
      <c r="H13" s="15"/>
      <c r="I13" s="16"/>
      <c r="J13" s="17"/>
      <c r="K13" s="17"/>
      <c r="L13" s="18"/>
      <c r="M13" s="19"/>
      <c r="N13" s="7"/>
      <c r="O13" s="1"/>
      <c r="P13" s="1"/>
      <c r="Q13" s="1"/>
      <c r="R13" s="1"/>
      <c r="S13" s="1"/>
      <c r="T13" s="1"/>
      <c r="U13" s="1"/>
      <c r="V13" s="1"/>
      <c r="W13" s="1"/>
      <c r="X13" s="1"/>
      <c r="Y13" s="1"/>
      <c r="Z13" s="1"/>
      <c r="AA13" s="1"/>
    </row>
    <row r="14" spans="1:27" ht="14.25" customHeight="1" x14ac:dyDescent="0.35">
      <c r="A14" s="1"/>
      <c r="B14" s="8" t="s">
        <v>81</v>
      </c>
      <c r="C14" s="26">
        <f>HC!C6</f>
        <v>10242.755125</v>
      </c>
      <c r="D14" s="27">
        <f t="shared" si="0"/>
        <v>6.2201052801275733E-2</v>
      </c>
      <c r="E14" s="27">
        <f ca="1">SUMPRODUCT(HC!K10:K18,HC!F10:F18/HC!F20)</f>
        <v>0.29227784262416889</v>
      </c>
      <c r="F14" s="27">
        <f ca="1">SUMPRODUCT(HC!L10:L18,HC!F10:F18/HC!F20)</f>
        <v>0.15308955066308888</v>
      </c>
      <c r="G14" s="28">
        <f>HC!H20/HC!F20-1</f>
        <v>0.52285981638418066</v>
      </c>
      <c r="H14" s="15"/>
      <c r="I14" s="16"/>
      <c r="J14" s="17"/>
      <c r="K14" s="17"/>
      <c r="L14" s="18"/>
      <c r="M14" s="19"/>
      <c r="N14" s="1"/>
      <c r="O14" s="1"/>
      <c r="P14" s="1"/>
      <c r="Q14" s="1"/>
      <c r="R14" s="1"/>
      <c r="S14" s="1"/>
      <c r="T14" s="1"/>
      <c r="U14" s="1"/>
      <c r="V14" s="1"/>
      <c r="W14" s="1"/>
      <c r="X14" s="1"/>
      <c r="Y14" s="1"/>
      <c r="Z14" s="1"/>
      <c r="AA14" s="1"/>
    </row>
    <row r="15" spans="1:27" ht="14.25" customHeight="1" x14ac:dyDescent="0.35">
      <c r="A15" s="1"/>
      <c r="B15" s="8" t="s">
        <v>82</v>
      </c>
      <c r="C15" s="26">
        <f>ER!C6</f>
        <v>5549.23002</v>
      </c>
      <c r="D15" s="27">
        <f t="shared" si="0"/>
        <v>3.369874074583467E-2</v>
      </c>
      <c r="E15" s="27">
        <f ca="1">SUMPRODUCT(ER!K10:K12,ER!F10:F12/ER!F14)</f>
        <v>4.0607669038079913E-2</v>
      </c>
      <c r="F15" s="27">
        <f ca="1">SUMPRODUCT(ER!L10:L12,ER!F10:F12/ER!F14)</f>
        <v>-1.9422028647312913E-2</v>
      </c>
      <c r="G15" s="28">
        <f>ER!H14/ER!F14-1</f>
        <v>1.1636347394902824E-2</v>
      </c>
      <c r="H15" s="15"/>
      <c r="I15" s="16"/>
      <c r="J15" s="17"/>
      <c r="K15" s="17"/>
      <c r="L15" s="18"/>
      <c r="M15" s="19"/>
      <c r="N15" s="1"/>
      <c r="O15" s="1"/>
      <c r="P15" s="1"/>
      <c r="Q15" s="1"/>
      <c r="R15" s="1"/>
      <c r="S15" s="1"/>
      <c r="T15" s="1"/>
      <c r="U15" s="1"/>
      <c r="V15" s="1"/>
      <c r="W15" s="1"/>
      <c r="X15" s="1"/>
      <c r="Y15" s="1"/>
      <c r="Z15" s="1"/>
      <c r="AA15" s="1"/>
    </row>
    <row r="16" spans="1:27" ht="14.25" customHeight="1" x14ac:dyDescent="0.35">
      <c r="A16" s="1"/>
      <c r="B16" s="8"/>
      <c r="C16" s="1"/>
      <c r="D16" s="21"/>
      <c r="E16" s="15"/>
      <c r="F16" s="15"/>
      <c r="G16" s="15"/>
      <c r="H16" s="15"/>
      <c r="I16" s="16"/>
      <c r="J16" s="17"/>
      <c r="K16" s="17"/>
      <c r="L16" s="18"/>
      <c r="M16" s="22"/>
      <c r="N16" s="7"/>
      <c r="O16" s="1"/>
      <c r="P16" s="1"/>
      <c r="Q16" s="1"/>
      <c r="R16" s="1"/>
      <c r="S16" s="1"/>
      <c r="T16" s="1"/>
      <c r="U16" s="1"/>
      <c r="V16" s="1"/>
      <c r="W16" s="1"/>
      <c r="X16" s="1"/>
      <c r="Y16" s="1"/>
      <c r="Z16" s="1"/>
      <c r="AA16" s="1"/>
    </row>
    <row r="17" spans="1:27" ht="14.25" customHeight="1" x14ac:dyDescent="0.35">
      <c r="A17" s="1"/>
      <c r="B17" s="8" t="s">
        <v>83</v>
      </c>
      <c r="C17" s="29">
        <f>SUM(C10:C15)</f>
        <v>164671.73244999998</v>
      </c>
      <c r="D17" s="21"/>
      <c r="E17" s="28">
        <f ca="1">SUMPRODUCT(E10:E15,D10:D15)</f>
        <v>0.44747490681992236</v>
      </c>
      <c r="F17" s="28">
        <f ca="1">SUMPRODUCT(D10:D15,F10:F15)</f>
        <v>0.56347120320640953</v>
      </c>
      <c r="G17" s="28"/>
      <c r="H17" s="15"/>
      <c r="I17" s="16"/>
      <c r="J17" s="17"/>
      <c r="K17" s="17"/>
      <c r="L17" s="18"/>
      <c r="M17" s="19"/>
      <c r="N17" s="7"/>
      <c r="O17" s="1"/>
      <c r="P17" s="1"/>
      <c r="Q17" s="1"/>
      <c r="R17" s="1"/>
      <c r="S17" s="1"/>
      <c r="T17" s="1"/>
      <c r="U17" s="1"/>
      <c r="V17" s="1"/>
      <c r="W17" s="1"/>
      <c r="X17" s="1"/>
      <c r="Y17" s="1"/>
      <c r="Z17" s="1"/>
      <c r="AA17" s="1"/>
    </row>
    <row r="18" spans="1:27" ht="14.25" customHeight="1" x14ac:dyDescent="0.35">
      <c r="A18" s="1"/>
      <c r="B18" s="8"/>
      <c r="C18" s="30"/>
      <c r="D18" s="21"/>
      <c r="E18" s="15"/>
      <c r="F18" s="15"/>
      <c r="G18" s="15"/>
      <c r="H18" s="15"/>
      <c r="I18" s="16"/>
      <c r="J18" s="17"/>
      <c r="K18" s="17"/>
      <c r="L18" s="18"/>
      <c r="M18" s="19"/>
      <c r="N18" s="1"/>
      <c r="O18" s="1"/>
      <c r="P18" s="1"/>
      <c r="Q18" s="1"/>
      <c r="R18" s="1"/>
      <c r="S18" s="1"/>
      <c r="T18" s="1"/>
      <c r="U18" s="1"/>
      <c r="V18" s="1"/>
      <c r="W18" s="1"/>
      <c r="X18" s="1"/>
      <c r="Y18" s="1"/>
      <c r="Z18" s="1"/>
      <c r="AA18" s="1"/>
    </row>
    <row r="19" spans="1:27" ht="14.25" customHeight="1" x14ac:dyDescent="0.35">
      <c r="A19" s="1"/>
      <c r="B19" s="8"/>
      <c r="C19" s="1"/>
      <c r="D19" s="21"/>
      <c r="E19" s="15"/>
      <c r="F19" s="15"/>
      <c r="G19" s="16"/>
      <c r="H19" s="15"/>
      <c r="I19" s="16"/>
      <c r="J19" s="17"/>
      <c r="K19" s="17"/>
      <c r="L19" s="18"/>
      <c r="M19" s="19"/>
      <c r="N19" s="7"/>
      <c r="O19" s="1"/>
      <c r="P19" s="1"/>
      <c r="Q19" s="1"/>
      <c r="R19" s="1"/>
      <c r="S19" s="1"/>
      <c r="T19" s="1"/>
      <c r="U19" s="1"/>
      <c r="V19" s="1"/>
      <c r="W19" s="1"/>
      <c r="X19" s="1"/>
      <c r="Y19" s="1"/>
      <c r="Z19" s="1"/>
      <c r="AA19" s="1"/>
    </row>
    <row r="20" spans="1:27" ht="14.25" customHeight="1" x14ac:dyDescent="0.35">
      <c r="A20" s="1"/>
      <c r="B20" s="8"/>
      <c r="C20" s="1"/>
      <c r="D20" s="21"/>
      <c r="E20" s="15"/>
      <c r="F20" s="15"/>
      <c r="G20" s="16"/>
      <c r="H20" s="15"/>
      <c r="I20" s="16"/>
      <c r="J20" s="17"/>
      <c r="K20" s="17"/>
      <c r="L20" s="18"/>
      <c r="M20" s="19"/>
      <c r="N20" s="1"/>
      <c r="O20" s="1"/>
      <c r="P20" s="1"/>
      <c r="Q20" s="1"/>
      <c r="R20" s="1"/>
      <c r="S20" s="1"/>
      <c r="T20" s="1"/>
      <c r="U20" s="1"/>
      <c r="V20" s="1"/>
      <c r="W20" s="1"/>
      <c r="X20" s="1"/>
      <c r="Y20" s="1"/>
      <c r="Z20" s="1"/>
      <c r="AA20" s="1"/>
    </row>
    <row r="21" spans="1:27" ht="14.25" customHeight="1" x14ac:dyDescent="0.35">
      <c r="A21" s="1"/>
      <c r="B21" s="8"/>
      <c r="C21" s="1"/>
      <c r="D21" s="21"/>
      <c r="E21" s="15"/>
      <c r="F21" s="15"/>
      <c r="G21" s="16"/>
      <c r="H21" s="15"/>
      <c r="I21" s="16"/>
      <c r="J21" s="17"/>
      <c r="K21" s="17"/>
      <c r="L21" s="18"/>
      <c r="M21" s="19"/>
      <c r="N21" s="7"/>
      <c r="O21" s="1"/>
      <c r="P21" s="1"/>
      <c r="Q21" s="1"/>
      <c r="R21" s="1"/>
      <c r="S21" s="1"/>
      <c r="T21" s="1"/>
      <c r="U21" s="1"/>
      <c r="V21" s="1"/>
      <c r="W21" s="1"/>
      <c r="X21" s="1"/>
      <c r="Y21" s="1"/>
      <c r="Z21" s="1"/>
      <c r="AA21" s="1"/>
    </row>
    <row r="22" spans="1:27" ht="14.25" customHeight="1" x14ac:dyDescent="0.35">
      <c r="A22" s="1"/>
      <c r="B22" s="8"/>
      <c r="C22" s="1"/>
      <c r="D22" s="21"/>
      <c r="E22" s="15"/>
      <c r="F22" s="15"/>
      <c r="G22" s="15"/>
      <c r="H22" s="15"/>
      <c r="I22" s="16"/>
      <c r="J22" s="17"/>
      <c r="K22" s="17"/>
      <c r="L22" s="18"/>
      <c r="M22" s="19"/>
      <c r="N22" s="7"/>
      <c r="O22" s="1"/>
      <c r="P22" s="1"/>
      <c r="Q22" s="1"/>
      <c r="R22" s="1"/>
      <c r="S22" s="1"/>
      <c r="T22" s="1"/>
      <c r="U22" s="1"/>
      <c r="V22" s="1"/>
      <c r="W22" s="1"/>
      <c r="X22" s="1"/>
      <c r="Y22" s="1"/>
      <c r="Z22" s="1"/>
      <c r="AA22" s="1"/>
    </row>
    <row r="23" spans="1:27" ht="14.25" customHeight="1" x14ac:dyDescent="0.35">
      <c r="A23" s="1"/>
      <c r="B23" s="8"/>
      <c r="C23" s="1"/>
      <c r="D23" s="21"/>
      <c r="E23" s="15"/>
      <c r="F23" s="15"/>
      <c r="G23" s="16"/>
      <c r="H23" s="15"/>
      <c r="I23" s="16"/>
      <c r="J23" s="17"/>
      <c r="K23" s="17"/>
      <c r="L23" s="18"/>
      <c r="M23" s="19"/>
      <c r="N23" s="1"/>
      <c r="O23" s="1"/>
      <c r="P23" s="1"/>
      <c r="Q23" s="1"/>
      <c r="R23" s="1"/>
      <c r="S23" s="1"/>
      <c r="T23" s="1"/>
      <c r="U23" s="1"/>
      <c r="V23" s="1"/>
      <c r="W23" s="1"/>
      <c r="X23" s="1"/>
      <c r="Y23" s="1"/>
      <c r="Z23" s="1"/>
      <c r="AA23" s="1"/>
    </row>
    <row r="24" spans="1:27" ht="14.25" customHeight="1" x14ac:dyDescent="0.35">
      <c r="A24" s="1"/>
      <c r="B24" s="8" t="s">
        <v>84</v>
      </c>
      <c r="C24" s="22" t="s">
        <v>74</v>
      </c>
      <c r="D24" s="22" t="s">
        <v>75</v>
      </c>
      <c r="E24" s="15"/>
      <c r="F24" s="15"/>
      <c r="G24" s="15"/>
      <c r="H24" s="15"/>
      <c r="I24" s="16"/>
      <c r="J24" s="17"/>
      <c r="K24" s="17"/>
      <c r="L24" s="18"/>
      <c r="M24" s="19"/>
      <c r="N24" s="1"/>
      <c r="O24" s="1"/>
      <c r="P24" s="1"/>
      <c r="Q24" s="1"/>
      <c r="R24" s="1"/>
      <c r="S24" s="1"/>
      <c r="T24" s="1"/>
      <c r="U24" s="1"/>
      <c r="V24" s="1"/>
      <c r="W24" s="1"/>
      <c r="X24" s="1"/>
      <c r="Y24" s="1"/>
      <c r="Z24" s="1"/>
      <c r="AA24" s="1"/>
    </row>
    <row r="25" spans="1:27" ht="14.25" customHeight="1" x14ac:dyDescent="0.35">
      <c r="A25" s="1"/>
      <c r="B25" s="1" t="s">
        <v>85</v>
      </c>
      <c r="C25" s="28">
        <f ca="1">IFERROR(__xludf.DUMMYFUNCTION("IFERROR((GOOGLEFINANCE(""SPY"",""price"")-INDEX(GOOGLEFINANCE(""SPY"",""price"",TODAY()-365),2,2))/(INDEX(GOOGLEFINANCE(""SPY"",""price"",TODAY()-365),2,2)),""Not Available"")"),0.325228357899107)</f>
        <v>0.32522835789910698</v>
      </c>
      <c r="D25" s="28">
        <f ca="1">IFERROR(__xludf.DUMMYFUNCTION("IFERROR((GOOGLEFINANCE(""SPY"",""price"")-INDEX(GOOGLEFINANCE(""SPY"",""price"",""1/1/2023""),2,2))/(INDEX(GOOGLEFINANCE(""SPY"",""price"",""1/1/2023""),2,2)),""Not Available"")"),0.341027256971797)</f>
        <v>0.34102725697179698</v>
      </c>
      <c r="E25" s="15"/>
      <c r="F25" s="15"/>
      <c r="G25" s="15"/>
      <c r="H25" s="15"/>
      <c r="I25" s="16"/>
      <c r="J25" s="17"/>
      <c r="K25" s="17"/>
      <c r="L25" s="18"/>
      <c r="M25" s="19"/>
      <c r="N25" s="7"/>
      <c r="O25" s="1"/>
      <c r="P25" s="1"/>
      <c r="Q25" s="1"/>
      <c r="R25" s="1"/>
      <c r="S25" s="1"/>
      <c r="T25" s="1"/>
      <c r="U25" s="1"/>
      <c r="V25" s="1"/>
      <c r="W25" s="1"/>
      <c r="X25" s="1"/>
      <c r="Y25" s="1"/>
      <c r="Z25" s="1"/>
      <c r="AA25" s="1"/>
    </row>
    <row r="26" spans="1:27" ht="14.25" customHeight="1" x14ac:dyDescent="0.35">
      <c r="A26" s="1"/>
      <c r="B26" s="1" t="s">
        <v>86</v>
      </c>
      <c r="C26" s="28">
        <f ca="1">IFERROR(__xludf.DUMMYFUNCTION("IFERROR((GOOGLEFINANCE("".IXIC"",""price"")-INDEX(GOOGLEFINANCE("".IXIC"",""price"",TODAY()-365),2,2))/(INDEX(GOOGLEFINANCE("".IXIC"",""price"",TODAY()-365),2,2)),""Not Available"")"),0.432664154639801)</f>
        <v>0.43266415463980101</v>
      </c>
      <c r="D26" s="28">
        <f ca="1">IFERROR(__xludf.DUMMYFUNCTION("IFERROR((GOOGLEFINANCE("".IXIC"",""price"")-INDEX(GOOGLEFINANCE("".IXIC"",""price"",""1/1/2023""),2,2))/(INDEX(GOOGLEFINANCE("".IXIC"",""price"",""1/1/2023""),2,2)),""Not Available"")"),0.543262292540957)</f>
        <v>0.54326229254095704</v>
      </c>
      <c r="E26" s="15"/>
      <c r="F26" s="15"/>
      <c r="G26" s="16"/>
      <c r="H26" s="15"/>
      <c r="I26" s="16"/>
      <c r="J26" s="17"/>
      <c r="K26" s="17"/>
      <c r="L26" s="18"/>
      <c r="M26" s="19"/>
      <c r="N26" s="1"/>
      <c r="O26" s="1"/>
      <c r="P26" s="1"/>
      <c r="Q26" s="1"/>
      <c r="R26" s="1"/>
      <c r="S26" s="1"/>
      <c r="T26" s="1"/>
      <c r="U26" s="1"/>
      <c r="V26" s="1"/>
      <c r="W26" s="1"/>
      <c r="X26" s="1"/>
      <c r="Y26" s="1"/>
      <c r="Z26" s="1"/>
      <c r="AA26" s="1"/>
    </row>
    <row r="27" spans="1:27" ht="14.25" customHeight="1" x14ac:dyDescent="0.35">
      <c r="A27" s="1"/>
      <c r="B27" s="1" t="s">
        <v>87</v>
      </c>
      <c r="C27" s="28">
        <f ca="1">IFERROR(__xludf.DUMMYFUNCTION("IFERROR((GOOGLEFINANCE("".DJI"",""price"")-INDEX(GOOGLEFINANCE("".DJI"",""price"",TODAY()-365),2,2))/(INDEX(GOOGLEFINANCE("".DJI"",""price"",TODAY()-365),2,2)),""Not Available"")"),0.216928238789609)</f>
        <v>0.21692823878960901</v>
      </c>
      <c r="D27" s="28">
        <f ca="1">IFERROR(__xludf.DUMMYFUNCTION("IFERROR((GOOGLEFINANCE("".DJI"",""price"")-INDEX(GOOGLEFINANCE("".DJI"",""price"",""1/1/2023""),2,2))/(INDEX(GOOGLEFINANCE("".DJI"",""price"",""1/1/2023""),2,2)),""Not Available"")"),0.168553163789515)</f>
        <v>0.16855316378951499</v>
      </c>
      <c r="E27" s="15"/>
      <c r="F27" s="15"/>
      <c r="G27" s="16"/>
      <c r="H27" s="15"/>
      <c r="I27" s="16"/>
      <c r="J27" s="17"/>
      <c r="K27" s="17"/>
      <c r="L27" s="18"/>
      <c r="M27" s="19"/>
      <c r="N27" s="7"/>
      <c r="O27" s="1"/>
      <c r="P27" s="1"/>
      <c r="Q27" s="1"/>
      <c r="R27" s="1"/>
      <c r="S27" s="1"/>
      <c r="T27" s="1"/>
      <c r="U27" s="1"/>
      <c r="V27" s="1"/>
      <c r="W27" s="1"/>
      <c r="X27" s="1"/>
      <c r="Y27" s="1"/>
      <c r="Z27" s="1"/>
      <c r="AA27" s="1"/>
    </row>
    <row r="28" spans="1:27" ht="14.25" customHeight="1" x14ac:dyDescent="0.35">
      <c r="A28" s="1"/>
      <c r="B28" s="1" t="s">
        <v>88</v>
      </c>
      <c r="C28" s="28">
        <f ca="1">IFERROR(__xludf.DUMMYFUNCTION("IFERROR((GOOGLEFINANCE(""RUT"",""price"")-INDEX(GOOGLEFINANCE(""RUT"",""price"",TODAY()-365),2,2))/(INDEX(GOOGLEFINANCE(""RUT"",""price"",TODAY()-365),2,2)),""Not Available"")"),0.187909189932924)</f>
        <v>0.18790918993292399</v>
      </c>
      <c r="D28" s="28">
        <f ca="1">IFERROR(__xludf.DUMMYFUNCTION("IFERROR((GOOGLEFINANCE(""RUT"",""price"")-INDEX(GOOGLEFINANCE(""RUT"",""price"",""1/1/2023""),2,2))/(INDEX(GOOGLEFINANCE(""RUT"",""price"",""1/1/2023""),2,2)),""Not Available"")"),0.183546292118145)</f>
        <v>0.18354629211814499</v>
      </c>
      <c r="E28" s="15"/>
      <c r="F28" s="15"/>
      <c r="G28" s="15"/>
      <c r="H28" s="15"/>
      <c r="I28" s="16"/>
      <c r="J28" s="17"/>
      <c r="K28" s="17"/>
      <c r="L28" s="18"/>
      <c r="M28" s="19"/>
      <c r="N28" s="7"/>
      <c r="O28" s="1"/>
      <c r="P28" s="1"/>
      <c r="Q28" s="1"/>
      <c r="R28" s="1"/>
      <c r="S28" s="1"/>
      <c r="T28" s="1"/>
      <c r="U28" s="1"/>
      <c r="V28" s="1"/>
      <c r="W28" s="1"/>
      <c r="X28" s="1"/>
      <c r="Y28" s="1"/>
      <c r="Z28" s="1"/>
      <c r="AA28" s="1"/>
    </row>
    <row r="29" spans="1:27" ht="14.25" customHeight="1" x14ac:dyDescent="0.35">
      <c r="A29" s="1"/>
      <c r="D29" s="21"/>
      <c r="E29" s="15"/>
      <c r="F29" s="15"/>
      <c r="G29" s="16"/>
      <c r="H29" s="15"/>
      <c r="I29" s="16"/>
      <c r="J29" s="17"/>
      <c r="K29" s="17"/>
      <c r="L29" s="18"/>
      <c r="M29" s="19"/>
      <c r="N29" s="7"/>
      <c r="O29" s="1"/>
      <c r="P29" s="1"/>
      <c r="Q29" s="1"/>
      <c r="R29" s="1"/>
      <c r="S29" s="1"/>
      <c r="T29" s="1"/>
      <c r="U29" s="1"/>
      <c r="V29" s="1"/>
      <c r="W29" s="1"/>
      <c r="X29" s="1"/>
      <c r="Y29" s="1"/>
      <c r="Z29" s="1"/>
      <c r="AA29" s="1"/>
    </row>
    <row r="30" spans="1:27" ht="14.25" customHeight="1" x14ac:dyDescent="0.35">
      <c r="A30" s="1"/>
      <c r="B30" s="8" t="s">
        <v>89</v>
      </c>
      <c r="C30" s="31">
        <f t="shared" ref="C30:D30" ca="1" si="1">E17</f>
        <v>0.44747490681992236</v>
      </c>
      <c r="D30" s="31">
        <f t="shared" ca="1" si="1"/>
        <v>0.56347120320640953</v>
      </c>
      <c r="E30" s="15"/>
      <c r="F30" s="15"/>
      <c r="G30" s="16"/>
      <c r="H30" s="15"/>
      <c r="I30" s="16"/>
      <c r="J30" s="17"/>
      <c r="K30" s="17"/>
      <c r="L30" s="18"/>
      <c r="M30" s="19"/>
      <c r="N30" s="7"/>
      <c r="O30" s="1"/>
      <c r="P30" s="1"/>
      <c r="Q30" s="1"/>
      <c r="R30" s="1"/>
      <c r="S30" s="1"/>
      <c r="T30" s="1"/>
      <c r="U30" s="1"/>
      <c r="V30" s="1"/>
      <c r="W30" s="1"/>
      <c r="X30" s="1"/>
      <c r="Y30" s="1"/>
      <c r="Z30" s="1"/>
      <c r="AA30" s="1"/>
    </row>
    <row r="31" spans="1:27" ht="14.25" customHeight="1" x14ac:dyDescent="0.35">
      <c r="A31" s="1"/>
      <c r="B31" s="8"/>
      <c r="C31" s="1"/>
      <c r="D31" s="21"/>
      <c r="E31" s="15"/>
      <c r="F31" s="15"/>
      <c r="G31" s="15"/>
      <c r="H31" s="15"/>
      <c r="I31" s="16"/>
      <c r="J31" s="17"/>
      <c r="K31" s="17"/>
      <c r="L31" s="18"/>
      <c r="M31" s="19"/>
      <c r="N31" s="1"/>
      <c r="O31" s="1"/>
      <c r="P31" s="1"/>
      <c r="Q31" s="1"/>
      <c r="R31" s="1"/>
      <c r="S31" s="1"/>
      <c r="T31" s="1"/>
      <c r="U31" s="1"/>
      <c r="V31" s="1"/>
      <c r="W31" s="1"/>
      <c r="X31" s="1"/>
      <c r="Y31" s="1"/>
      <c r="Z31" s="1"/>
      <c r="AA31" s="1"/>
    </row>
    <row r="32" spans="1:27" ht="14.25" customHeight="1" x14ac:dyDescent="0.35">
      <c r="A32" s="1"/>
      <c r="B32" s="8"/>
      <c r="C32" s="1"/>
      <c r="D32" s="21"/>
      <c r="E32" s="15"/>
      <c r="F32" s="15"/>
      <c r="G32" s="15"/>
      <c r="H32" s="15"/>
      <c r="I32" s="16"/>
      <c r="J32" s="17"/>
      <c r="K32" s="17"/>
      <c r="L32" s="18"/>
      <c r="M32" s="19"/>
      <c r="N32" s="1"/>
      <c r="O32" s="1"/>
      <c r="P32" s="1"/>
      <c r="Q32" s="1"/>
      <c r="R32" s="1"/>
      <c r="S32" s="1"/>
      <c r="T32" s="1"/>
      <c r="U32" s="1"/>
      <c r="V32" s="1"/>
      <c r="W32" s="1"/>
      <c r="X32" s="1"/>
      <c r="Y32" s="1"/>
      <c r="Z32" s="1"/>
      <c r="AA32" s="1"/>
    </row>
    <row r="33" spans="1:27" ht="14.25" customHeight="1" x14ac:dyDescent="0.35">
      <c r="A33" s="1"/>
      <c r="B33" s="8"/>
      <c r="C33" s="1"/>
      <c r="D33" s="21"/>
      <c r="E33" s="15"/>
      <c r="F33" s="15"/>
      <c r="G33" s="15"/>
      <c r="H33" s="15"/>
      <c r="I33" s="16"/>
      <c r="J33" s="17"/>
      <c r="K33" s="17"/>
      <c r="L33" s="18"/>
      <c r="M33" s="19"/>
      <c r="N33" s="1"/>
      <c r="O33" s="1"/>
      <c r="P33" s="1"/>
      <c r="Q33" s="1"/>
      <c r="R33" s="1"/>
      <c r="S33" s="1"/>
      <c r="T33" s="1"/>
      <c r="U33" s="1"/>
      <c r="V33" s="1"/>
      <c r="W33" s="1"/>
      <c r="X33" s="1"/>
      <c r="Y33" s="1"/>
      <c r="Z33" s="1"/>
      <c r="AA33" s="1"/>
    </row>
    <row r="34" spans="1:27" ht="14.25" customHeight="1" x14ac:dyDescent="0.35">
      <c r="A34" s="1"/>
      <c r="B34" s="8"/>
      <c r="C34" s="1"/>
      <c r="D34" s="21"/>
      <c r="E34" s="15"/>
      <c r="F34" s="15"/>
      <c r="G34" s="15"/>
      <c r="H34" s="15"/>
      <c r="I34" s="16"/>
      <c r="J34" s="17"/>
      <c r="K34" s="17"/>
      <c r="L34" s="18"/>
      <c r="M34" s="19"/>
      <c r="N34" s="1"/>
      <c r="O34" s="1"/>
      <c r="P34" s="1"/>
      <c r="Q34" s="1"/>
      <c r="R34" s="1"/>
      <c r="S34" s="1"/>
      <c r="T34" s="1"/>
      <c r="U34" s="1"/>
      <c r="V34" s="1"/>
      <c r="W34" s="1"/>
      <c r="X34" s="1"/>
      <c r="Y34" s="1"/>
      <c r="Z34" s="1"/>
      <c r="AA34" s="1"/>
    </row>
    <row r="35" spans="1:27" ht="14.25" customHeight="1" x14ac:dyDescent="0.35">
      <c r="A35" s="1"/>
      <c r="B35" s="8"/>
      <c r="C35" s="1"/>
      <c r="D35" s="21"/>
      <c r="E35" s="15"/>
      <c r="F35" s="15"/>
      <c r="G35" s="16"/>
      <c r="H35" s="15"/>
      <c r="I35" s="16"/>
      <c r="J35" s="17"/>
      <c r="K35" s="17"/>
      <c r="L35" s="18"/>
      <c r="M35" s="19"/>
      <c r="N35" s="7"/>
      <c r="O35" s="1"/>
      <c r="P35" s="1"/>
      <c r="Q35" s="1"/>
      <c r="R35" s="1"/>
      <c r="S35" s="1"/>
      <c r="T35" s="1"/>
      <c r="U35" s="1"/>
      <c r="V35" s="1"/>
      <c r="W35" s="1"/>
      <c r="X35" s="1"/>
      <c r="Y35" s="1"/>
      <c r="Z35" s="1"/>
      <c r="AA35" s="1"/>
    </row>
    <row r="36" spans="1:27" ht="14.25" customHeight="1" x14ac:dyDescent="0.35">
      <c r="A36" s="1"/>
      <c r="B36" s="8"/>
      <c r="C36" s="1"/>
      <c r="D36" s="21"/>
      <c r="E36" s="15"/>
      <c r="F36" s="15"/>
      <c r="G36" s="16"/>
      <c r="H36" s="15"/>
      <c r="I36" s="16"/>
      <c r="J36" s="17"/>
      <c r="K36" s="17"/>
      <c r="L36" s="18"/>
      <c r="M36" s="19"/>
      <c r="N36" s="7"/>
      <c r="O36" s="1"/>
      <c r="P36" s="1"/>
      <c r="Q36" s="1"/>
      <c r="R36" s="1"/>
      <c r="S36" s="1"/>
      <c r="T36" s="1"/>
      <c r="U36" s="1"/>
      <c r="V36" s="1"/>
      <c r="W36" s="1"/>
      <c r="X36" s="1"/>
      <c r="Y36" s="1"/>
      <c r="Z36" s="1"/>
      <c r="AA36" s="1"/>
    </row>
    <row r="37" spans="1:27" ht="14.25" customHeight="1" x14ac:dyDescent="0.35">
      <c r="A37" s="1"/>
      <c r="B37" s="8"/>
      <c r="C37" s="1"/>
      <c r="D37" s="21"/>
      <c r="E37" s="15"/>
      <c r="F37" s="15"/>
      <c r="G37" s="16"/>
      <c r="H37" s="15"/>
      <c r="I37" s="16"/>
      <c r="J37" s="17"/>
      <c r="K37" s="17"/>
      <c r="L37" s="18"/>
      <c r="M37" s="19"/>
      <c r="N37" s="7"/>
      <c r="O37" s="1"/>
      <c r="P37" s="1"/>
      <c r="Q37" s="1"/>
      <c r="R37" s="1"/>
      <c r="S37" s="1"/>
      <c r="T37" s="1"/>
      <c r="U37" s="1"/>
      <c r="V37" s="1"/>
      <c r="W37" s="1"/>
      <c r="X37" s="1"/>
      <c r="Y37" s="1"/>
      <c r="Z37" s="1"/>
      <c r="AA37" s="1"/>
    </row>
    <row r="38" spans="1:27" ht="14.25" customHeight="1" x14ac:dyDescent="0.35">
      <c r="A38" s="1"/>
      <c r="B38" s="8"/>
      <c r="C38" s="1"/>
      <c r="D38" s="21"/>
      <c r="E38" s="15"/>
      <c r="F38" s="15"/>
      <c r="G38" s="15"/>
      <c r="H38" s="15"/>
      <c r="I38" s="16"/>
      <c r="J38" s="17"/>
      <c r="K38" s="17"/>
      <c r="L38" s="18"/>
      <c r="M38" s="19"/>
      <c r="N38" s="7"/>
      <c r="O38" s="1"/>
      <c r="P38" s="1"/>
      <c r="Q38" s="1"/>
      <c r="R38" s="1"/>
      <c r="S38" s="1"/>
      <c r="T38" s="1"/>
      <c r="U38" s="1"/>
      <c r="V38" s="1"/>
      <c r="W38" s="1"/>
      <c r="X38" s="1"/>
      <c r="Y38" s="1"/>
      <c r="Z38" s="1"/>
      <c r="AA38" s="1"/>
    </row>
    <row r="39" spans="1:27" ht="14.25" customHeight="1" x14ac:dyDescent="0.35">
      <c r="A39" s="1"/>
      <c r="B39" s="8"/>
      <c r="C39" s="1"/>
      <c r="D39" s="21"/>
      <c r="E39" s="15"/>
      <c r="F39" s="15"/>
      <c r="G39" s="15"/>
      <c r="H39" s="15"/>
      <c r="I39" s="16"/>
      <c r="J39" s="17"/>
      <c r="K39" s="17"/>
      <c r="L39" s="18"/>
      <c r="M39" s="19"/>
      <c r="N39" s="1"/>
      <c r="O39" s="1"/>
      <c r="P39" s="1"/>
      <c r="Q39" s="1"/>
      <c r="R39" s="1"/>
      <c r="S39" s="1"/>
      <c r="T39" s="1"/>
      <c r="U39" s="1"/>
      <c r="V39" s="1"/>
      <c r="W39" s="1"/>
      <c r="X39" s="1"/>
      <c r="Y39" s="1"/>
      <c r="Z39" s="1"/>
      <c r="AA39" s="1"/>
    </row>
    <row r="40" spans="1:27" ht="14.25" customHeight="1" x14ac:dyDescent="0.35">
      <c r="A40" s="1"/>
      <c r="B40" s="8"/>
      <c r="C40" s="1"/>
      <c r="D40" s="21"/>
      <c r="E40" s="15"/>
      <c r="F40" s="15"/>
      <c r="G40" s="16"/>
      <c r="H40" s="15"/>
      <c r="I40" s="16"/>
      <c r="J40" s="17"/>
      <c r="K40" s="17"/>
      <c r="L40" s="18"/>
      <c r="M40" s="19"/>
      <c r="N40" s="7"/>
      <c r="O40" s="1"/>
      <c r="P40" s="1"/>
      <c r="Q40" s="1"/>
      <c r="R40" s="1"/>
      <c r="S40" s="1"/>
      <c r="T40" s="1"/>
      <c r="U40" s="1"/>
      <c r="V40" s="1"/>
      <c r="W40" s="1"/>
      <c r="X40" s="1"/>
      <c r="Y40" s="1"/>
      <c r="Z40" s="1"/>
      <c r="AA40" s="1"/>
    </row>
    <row r="41" spans="1:27" ht="14.25" customHeight="1" x14ac:dyDescent="0.35">
      <c r="A41" s="1"/>
      <c r="B41" s="8"/>
      <c r="C41" s="1"/>
      <c r="D41" s="21"/>
      <c r="E41" s="15"/>
      <c r="F41" s="15"/>
      <c r="G41" s="16"/>
      <c r="H41" s="15"/>
      <c r="I41" s="16"/>
      <c r="J41" s="17"/>
      <c r="K41" s="17"/>
      <c r="L41" s="18"/>
      <c r="M41" s="19"/>
      <c r="N41" s="7"/>
      <c r="O41" s="1"/>
      <c r="P41" s="1"/>
      <c r="Q41" s="1"/>
      <c r="R41" s="1"/>
      <c r="S41" s="1"/>
      <c r="T41" s="1"/>
      <c r="U41" s="1"/>
      <c r="V41" s="1"/>
      <c r="W41" s="1"/>
      <c r="X41" s="1"/>
      <c r="Y41" s="1"/>
      <c r="Z41" s="1"/>
      <c r="AA41" s="1"/>
    </row>
    <row r="42" spans="1:27" ht="14.25" customHeight="1" x14ac:dyDescent="0.35">
      <c r="A42" s="1"/>
      <c r="B42" s="8"/>
      <c r="C42" s="1"/>
      <c r="D42" s="21"/>
      <c r="E42" s="15"/>
      <c r="F42" s="15"/>
      <c r="G42" s="15"/>
      <c r="H42" s="15"/>
      <c r="I42" s="16"/>
      <c r="J42" s="17"/>
      <c r="K42" s="17"/>
      <c r="L42" s="18"/>
      <c r="M42" s="19"/>
      <c r="N42" s="7"/>
      <c r="O42" s="1"/>
      <c r="P42" s="1"/>
      <c r="Q42" s="1"/>
      <c r="R42" s="1"/>
      <c r="S42" s="1"/>
      <c r="T42" s="1"/>
      <c r="U42" s="1"/>
      <c r="V42" s="1"/>
      <c r="W42" s="1"/>
      <c r="X42" s="1"/>
      <c r="Y42" s="1"/>
      <c r="Z42" s="1"/>
      <c r="AA42" s="1"/>
    </row>
    <row r="43" spans="1:27" ht="14.25" customHeight="1" x14ac:dyDescent="0.35">
      <c r="A43" s="1"/>
      <c r="B43" s="8"/>
      <c r="C43" s="1"/>
      <c r="D43" s="21"/>
      <c r="E43" s="15"/>
      <c r="F43" s="15"/>
      <c r="G43" s="16"/>
      <c r="H43" s="15"/>
      <c r="I43" s="16"/>
      <c r="J43" s="17"/>
      <c r="K43" s="17"/>
      <c r="L43" s="18"/>
      <c r="M43" s="19"/>
      <c r="N43" s="1"/>
      <c r="O43" s="1"/>
      <c r="P43" s="1"/>
      <c r="Q43" s="1"/>
      <c r="R43" s="1"/>
      <c r="S43" s="1"/>
      <c r="T43" s="1"/>
      <c r="U43" s="1"/>
      <c r="V43" s="1"/>
      <c r="W43" s="1"/>
      <c r="X43" s="1"/>
      <c r="Y43" s="1"/>
      <c r="Z43" s="1"/>
      <c r="AA43" s="1"/>
    </row>
    <row r="44" spans="1:27" ht="14.25" customHeight="1" x14ac:dyDescent="0.35">
      <c r="A44" s="1"/>
      <c r="B44" s="8"/>
      <c r="C44" s="1"/>
      <c r="D44" s="21"/>
      <c r="E44" s="15"/>
      <c r="F44" s="15"/>
      <c r="G44" s="15"/>
      <c r="H44" s="15"/>
      <c r="I44" s="16"/>
      <c r="J44" s="17"/>
      <c r="K44" s="17"/>
      <c r="L44" s="18"/>
      <c r="M44" s="19"/>
      <c r="N44" s="1"/>
      <c r="O44" s="1"/>
      <c r="P44" s="1"/>
      <c r="Q44" s="1"/>
      <c r="R44" s="1"/>
      <c r="S44" s="1"/>
      <c r="T44" s="1"/>
      <c r="U44" s="1"/>
      <c r="V44" s="1"/>
      <c r="W44" s="1"/>
      <c r="X44" s="1"/>
      <c r="Y44" s="1"/>
      <c r="Z44" s="1"/>
      <c r="AA44" s="1"/>
    </row>
    <row r="45" spans="1:27" ht="14.25" customHeight="1" x14ac:dyDescent="0.35">
      <c r="A45" s="1"/>
      <c r="B45" s="8"/>
      <c r="C45" s="1"/>
      <c r="D45" s="21"/>
      <c r="E45" s="15"/>
      <c r="F45" s="15"/>
      <c r="G45" s="16"/>
      <c r="H45" s="15"/>
      <c r="I45" s="16"/>
      <c r="J45" s="17"/>
      <c r="K45" s="17"/>
      <c r="L45" s="18"/>
      <c r="M45" s="19"/>
      <c r="N45" s="1"/>
      <c r="O45" s="1"/>
      <c r="P45" s="1"/>
      <c r="Q45" s="1"/>
      <c r="R45" s="1"/>
      <c r="S45" s="1"/>
      <c r="T45" s="1"/>
      <c r="U45" s="1"/>
      <c r="V45" s="1"/>
      <c r="W45" s="1"/>
      <c r="X45" s="1"/>
      <c r="Y45" s="1"/>
      <c r="Z45" s="1"/>
      <c r="AA45" s="1"/>
    </row>
    <row r="46" spans="1:27" ht="14.25" customHeight="1" x14ac:dyDescent="0.35">
      <c r="A46" s="1"/>
      <c r="B46" s="8"/>
      <c r="C46" s="1"/>
      <c r="D46" s="21"/>
      <c r="E46" s="15"/>
      <c r="F46" s="15"/>
      <c r="G46" s="15"/>
      <c r="H46" s="15"/>
      <c r="I46" s="16"/>
      <c r="J46" s="17"/>
      <c r="K46" s="17"/>
      <c r="L46" s="18"/>
      <c r="M46" s="19"/>
      <c r="N46" s="7"/>
      <c r="O46" s="1"/>
      <c r="P46" s="1"/>
      <c r="Q46" s="1"/>
      <c r="R46" s="1"/>
      <c r="S46" s="1"/>
      <c r="T46" s="1"/>
      <c r="U46" s="1"/>
      <c r="V46" s="1"/>
      <c r="W46" s="1"/>
      <c r="X46" s="1"/>
      <c r="Y46" s="1"/>
      <c r="Z46" s="1"/>
      <c r="AA46" s="1"/>
    </row>
    <row r="47" spans="1:27" ht="14.25" customHeight="1" x14ac:dyDescent="0.35">
      <c r="A47" s="1"/>
      <c r="B47" s="8"/>
      <c r="C47" s="1"/>
      <c r="D47" s="21"/>
      <c r="E47" s="15"/>
      <c r="F47" s="15"/>
      <c r="G47" s="16"/>
      <c r="H47" s="15"/>
      <c r="I47" s="16"/>
      <c r="J47" s="17"/>
      <c r="K47" s="17"/>
      <c r="L47" s="18"/>
      <c r="M47" s="19"/>
      <c r="N47" s="1"/>
      <c r="O47" s="1"/>
      <c r="P47" s="1"/>
      <c r="Q47" s="1"/>
      <c r="R47" s="1"/>
      <c r="S47" s="1"/>
      <c r="T47" s="1"/>
      <c r="U47" s="1"/>
      <c r="V47" s="1"/>
      <c r="W47" s="1"/>
      <c r="X47" s="1"/>
      <c r="Y47" s="1"/>
      <c r="Z47" s="1"/>
      <c r="AA47" s="1"/>
    </row>
    <row r="48" spans="1:27" ht="14.25" customHeight="1" x14ac:dyDescent="0.35">
      <c r="A48" s="1"/>
      <c r="B48" s="8"/>
      <c r="C48" s="1"/>
      <c r="D48" s="21"/>
      <c r="E48" s="15"/>
      <c r="F48" s="15"/>
      <c r="G48" s="15"/>
      <c r="H48" s="15"/>
      <c r="I48" s="16"/>
      <c r="J48" s="17"/>
      <c r="K48" s="17"/>
      <c r="L48" s="18"/>
      <c r="M48" s="19"/>
      <c r="N48" s="1"/>
      <c r="O48" s="1"/>
      <c r="P48" s="1"/>
      <c r="Q48" s="1"/>
      <c r="R48" s="1"/>
      <c r="S48" s="1"/>
      <c r="T48" s="1"/>
      <c r="U48" s="1"/>
      <c r="V48" s="1"/>
      <c r="W48" s="1"/>
      <c r="X48" s="1"/>
      <c r="Y48" s="1"/>
      <c r="Z48" s="1"/>
      <c r="AA48" s="1"/>
    </row>
    <row r="49" spans="1:27" ht="14.25" customHeight="1" x14ac:dyDescent="0.35">
      <c r="A49" s="1"/>
      <c r="B49" s="8"/>
      <c r="C49" s="1"/>
      <c r="D49" s="21"/>
      <c r="E49" s="15"/>
      <c r="F49" s="15"/>
      <c r="G49" s="15"/>
      <c r="H49" s="15"/>
      <c r="I49" s="16"/>
      <c r="J49" s="17"/>
      <c r="K49" s="17"/>
      <c r="L49" s="18"/>
      <c r="M49" s="19"/>
      <c r="N49" s="7"/>
      <c r="O49" s="1"/>
      <c r="P49" s="1"/>
      <c r="Q49" s="1"/>
      <c r="R49" s="1"/>
      <c r="S49" s="1"/>
      <c r="T49" s="1"/>
      <c r="U49" s="1"/>
      <c r="V49" s="1"/>
      <c r="W49" s="1"/>
      <c r="X49" s="1"/>
      <c r="Y49" s="1"/>
      <c r="Z49" s="1"/>
      <c r="AA49" s="1"/>
    </row>
    <row r="50" spans="1:27" ht="14.25" customHeight="1" x14ac:dyDescent="0.35">
      <c r="A50" s="1"/>
      <c r="B50" s="8"/>
      <c r="C50" s="1"/>
      <c r="D50" s="21"/>
      <c r="E50" s="15"/>
      <c r="F50" s="15"/>
      <c r="G50" s="15"/>
      <c r="H50" s="15"/>
      <c r="I50" s="16"/>
      <c r="J50" s="17"/>
      <c r="K50" s="17"/>
      <c r="L50" s="18"/>
      <c r="M50" s="19"/>
      <c r="N50" s="7"/>
      <c r="O50" s="1"/>
      <c r="P50" s="1"/>
      <c r="Q50" s="1"/>
      <c r="R50" s="1"/>
      <c r="S50" s="1"/>
      <c r="T50" s="1"/>
      <c r="U50" s="1"/>
      <c r="V50" s="1"/>
      <c r="W50" s="1"/>
      <c r="X50" s="1"/>
      <c r="Y50" s="1"/>
      <c r="Z50" s="1"/>
      <c r="AA50" s="1"/>
    </row>
    <row r="51" spans="1:27" ht="14.25" customHeight="1" x14ac:dyDescent="0.35">
      <c r="A51" s="1"/>
      <c r="B51" s="8"/>
      <c r="C51" s="1"/>
      <c r="D51" s="21"/>
      <c r="E51" s="15"/>
      <c r="F51" s="15"/>
      <c r="G51" s="16"/>
      <c r="H51" s="15"/>
      <c r="I51" s="16"/>
      <c r="J51" s="17"/>
      <c r="K51" s="17"/>
      <c r="L51" s="18"/>
      <c r="M51" s="19"/>
      <c r="N51" s="7"/>
      <c r="O51" s="1"/>
      <c r="P51" s="1"/>
      <c r="Q51" s="1"/>
      <c r="R51" s="1"/>
      <c r="S51" s="1"/>
      <c r="T51" s="1"/>
      <c r="U51" s="1"/>
      <c r="V51" s="1"/>
      <c r="W51" s="1"/>
      <c r="X51" s="1"/>
      <c r="Y51" s="1"/>
      <c r="Z51" s="1"/>
      <c r="AA51" s="1"/>
    </row>
    <row r="52" spans="1:27" ht="14.25" customHeight="1" x14ac:dyDescent="0.35">
      <c r="A52" s="1"/>
      <c r="B52" s="8"/>
      <c r="C52" s="1"/>
      <c r="D52" s="21"/>
      <c r="E52" s="15"/>
      <c r="F52" s="15"/>
      <c r="G52" s="15"/>
      <c r="H52" s="15"/>
      <c r="I52" s="16"/>
      <c r="J52" s="17"/>
      <c r="K52" s="17"/>
      <c r="L52" s="18"/>
      <c r="M52" s="19"/>
      <c r="N52" s="7"/>
      <c r="O52" s="1"/>
      <c r="P52" s="1"/>
      <c r="Q52" s="1"/>
      <c r="R52" s="1"/>
      <c r="S52" s="1"/>
      <c r="T52" s="1"/>
      <c r="U52" s="1"/>
      <c r="V52" s="1"/>
      <c r="W52" s="1"/>
      <c r="X52" s="1"/>
      <c r="Y52" s="1"/>
      <c r="Z52" s="1"/>
      <c r="AA52" s="1"/>
    </row>
    <row r="53" spans="1:27" ht="14.25" customHeight="1" x14ac:dyDescent="0.35">
      <c r="A53" s="1"/>
      <c r="B53" s="8"/>
      <c r="C53" s="1"/>
      <c r="D53" s="21"/>
      <c r="E53" s="15"/>
      <c r="F53" s="15"/>
      <c r="G53" s="15"/>
      <c r="H53" s="15"/>
      <c r="I53" s="16"/>
      <c r="J53" s="17"/>
      <c r="K53" s="17"/>
      <c r="L53" s="18"/>
      <c r="M53" s="19"/>
      <c r="N53" s="7"/>
      <c r="O53" s="1"/>
      <c r="P53" s="1"/>
      <c r="Q53" s="1"/>
      <c r="R53" s="1"/>
      <c r="S53" s="1"/>
      <c r="T53" s="1"/>
      <c r="U53" s="1"/>
      <c r="V53" s="1"/>
      <c r="W53" s="1"/>
      <c r="X53" s="1"/>
      <c r="Y53" s="1"/>
      <c r="Z53" s="1"/>
      <c r="AA53" s="1"/>
    </row>
    <row r="54" spans="1:27" ht="14.25" customHeight="1" x14ac:dyDescent="0.35">
      <c r="A54" s="1"/>
      <c r="B54" s="8"/>
      <c r="C54" s="1"/>
      <c r="D54" s="21"/>
      <c r="E54" s="15"/>
      <c r="F54" s="15"/>
      <c r="G54" s="15"/>
      <c r="H54" s="15"/>
      <c r="I54" s="16"/>
      <c r="J54" s="17"/>
      <c r="K54" s="17"/>
      <c r="L54" s="18"/>
      <c r="M54" s="19"/>
      <c r="N54" s="1"/>
      <c r="O54" s="1"/>
      <c r="P54" s="1"/>
      <c r="Q54" s="1"/>
      <c r="R54" s="1"/>
      <c r="S54" s="1"/>
      <c r="T54" s="1"/>
      <c r="U54" s="1"/>
      <c r="V54" s="1"/>
      <c r="W54" s="1"/>
      <c r="X54" s="1"/>
      <c r="Y54" s="1"/>
      <c r="Z54" s="1"/>
      <c r="AA54" s="1"/>
    </row>
    <row r="55" spans="1:27" ht="14.25" customHeight="1" x14ac:dyDescent="0.35">
      <c r="A55" s="1"/>
      <c r="B55" s="8"/>
      <c r="C55" s="1"/>
      <c r="D55" s="21"/>
      <c r="E55" s="15"/>
      <c r="F55" s="15"/>
      <c r="G55" s="16"/>
      <c r="H55" s="15"/>
      <c r="I55" s="16"/>
      <c r="J55" s="17"/>
      <c r="K55" s="17"/>
      <c r="L55" s="18"/>
      <c r="M55" s="19"/>
      <c r="N55" s="7"/>
      <c r="O55" s="1"/>
      <c r="P55" s="1"/>
      <c r="Q55" s="1"/>
      <c r="R55" s="1"/>
      <c r="S55" s="1"/>
      <c r="T55" s="1"/>
      <c r="U55" s="1"/>
      <c r="V55" s="1"/>
      <c r="W55" s="1"/>
      <c r="X55" s="1"/>
      <c r="Y55" s="1"/>
      <c r="Z55" s="1"/>
      <c r="AA55" s="1"/>
    </row>
    <row r="56" spans="1:27" ht="14.25" customHeight="1" x14ac:dyDescent="0.35">
      <c r="A56" s="1"/>
      <c r="B56" s="8"/>
      <c r="C56" s="1"/>
      <c r="D56" s="21"/>
      <c r="E56" s="15"/>
      <c r="F56" s="15"/>
      <c r="G56" s="15"/>
      <c r="H56" s="15"/>
      <c r="I56" s="16"/>
      <c r="J56" s="17"/>
      <c r="K56" s="17"/>
      <c r="L56" s="18"/>
      <c r="M56" s="19"/>
      <c r="N56" s="1"/>
      <c r="O56" s="1"/>
      <c r="P56" s="1"/>
      <c r="Q56" s="1"/>
      <c r="R56" s="1"/>
      <c r="S56" s="1"/>
      <c r="T56" s="1"/>
      <c r="U56" s="1"/>
      <c r="V56" s="1"/>
      <c r="W56" s="1"/>
      <c r="X56" s="1"/>
      <c r="Y56" s="1"/>
      <c r="Z56" s="1"/>
      <c r="AA56" s="1"/>
    </row>
    <row r="57" spans="1:27" ht="14.25" customHeight="1" x14ac:dyDescent="0.35">
      <c r="A57" s="1"/>
      <c r="B57" s="8"/>
      <c r="C57" s="1"/>
      <c r="D57" s="21"/>
      <c r="E57" s="15"/>
      <c r="F57" s="15"/>
      <c r="G57" s="15"/>
      <c r="H57" s="15"/>
      <c r="I57" s="16"/>
      <c r="J57" s="17"/>
      <c r="K57" s="17"/>
      <c r="L57" s="18"/>
      <c r="M57" s="19"/>
      <c r="N57" s="1"/>
      <c r="O57" s="1"/>
      <c r="P57" s="1"/>
      <c r="Q57" s="1"/>
      <c r="R57" s="1"/>
      <c r="S57" s="1"/>
      <c r="T57" s="1"/>
      <c r="U57" s="1"/>
      <c r="V57" s="1"/>
      <c r="W57" s="1"/>
      <c r="X57" s="1"/>
      <c r="Y57" s="1"/>
      <c r="Z57" s="1"/>
      <c r="AA57" s="1"/>
    </row>
    <row r="58" spans="1:27" ht="14.25" customHeight="1" x14ac:dyDescent="0.35">
      <c r="A58" s="1"/>
      <c r="B58" s="8"/>
      <c r="C58" s="1"/>
      <c r="D58" s="21"/>
      <c r="E58" s="15"/>
      <c r="F58" s="15"/>
      <c r="G58" s="15"/>
      <c r="H58" s="15"/>
      <c r="I58" s="16"/>
      <c r="J58" s="17"/>
      <c r="K58" s="17"/>
      <c r="L58" s="18"/>
      <c r="M58" s="19"/>
      <c r="N58" s="7"/>
      <c r="O58" s="1"/>
      <c r="P58" s="1"/>
      <c r="Q58" s="1"/>
      <c r="R58" s="1"/>
      <c r="S58" s="1"/>
      <c r="T58" s="1"/>
      <c r="U58" s="1"/>
      <c r="V58" s="1"/>
      <c r="W58" s="1"/>
      <c r="X58" s="1"/>
      <c r="Y58" s="1"/>
      <c r="Z58" s="1"/>
      <c r="AA58" s="1"/>
    </row>
    <row r="59" spans="1:27" ht="14.25" customHeight="1" x14ac:dyDescent="0.35">
      <c r="A59" s="1"/>
      <c r="B59" s="8"/>
      <c r="C59" s="1"/>
      <c r="D59" s="21"/>
      <c r="E59" s="15"/>
      <c r="F59" s="15"/>
      <c r="G59" s="15"/>
      <c r="H59" s="15"/>
      <c r="I59" s="16"/>
      <c r="J59" s="17"/>
      <c r="K59" s="17"/>
      <c r="L59" s="18"/>
      <c r="M59" s="19"/>
      <c r="N59" s="7"/>
      <c r="O59" s="1"/>
      <c r="P59" s="1"/>
      <c r="Q59" s="1"/>
      <c r="R59" s="1"/>
      <c r="S59" s="1"/>
      <c r="T59" s="1"/>
      <c r="U59" s="1"/>
      <c r="V59" s="1"/>
      <c r="W59" s="1"/>
      <c r="X59" s="1"/>
      <c r="Y59" s="1"/>
      <c r="Z59" s="1"/>
      <c r="AA59" s="1"/>
    </row>
    <row r="60" spans="1:27" ht="14.25" customHeight="1" x14ac:dyDescent="0.35">
      <c r="A60" s="1"/>
      <c r="B60" s="8"/>
      <c r="C60" s="1"/>
      <c r="D60" s="21"/>
      <c r="E60" s="15"/>
      <c r="F60" s="15"/>
      <c r="G60" s="15"/>
      <c r="H60" s="15"/>
      <c r="I60" s="16"/>
      <c r="J60" s="17"/>
      <c r="K60" s="17"/>
      <c r="L60" s="18"/>
      <c r="M60" s="19"/>
      <c r="N60" s="7"/>
      <c r="O60" s="1"/>
      <c r="P60" s="1"/>
      <c r="Q60" s="1"/>
      <c r="R60" s="1"/>
      <c r="S60" s="1"/>
      <c r="T60" s="1"/>
      <c r="U60" s="1"/>
      <c r="V60" s="1"/>
      <c r="W60" s="1"/>
      <c r="X60" s="1"/>
      <c r="Y60" s="1"/>
      <c r="Z60" s="1"/>
      <c r="AA60" s="1"/>
    </row>
    <row r="61" spans="1:27" ht="14.25" customHeight="1" x14ac:dyDescent="0.35">
      <c r="A61" s="1"/>
      <c r="B61" s="8"/>
      <c r="C61" s="1"/>
      <c r="D61" s="21"/>
      <c r="E61" s="15"/>
      <c r="F61" s="15"/>
      <c r="G61" s="15"/>
      <c r="H61" s="15"/>
      <c r="I61" s="16"/>
      <c r="J61" s="17"/>
      <c r="K61" s="17"/>
      <c r="L61" s="18"/>
      <c r="M61" s="19"/>
      <c r="N61" s="1"/>
      <c r="O61" s="1"/>
      <c r="P61" s="1"/>
      <c r="Q61" s="1"/>
      <c r="R61" s="1"/>
      <c r="S61" s="1"/>
      <c r="T61" s="1"/>
      <c r="U61" s="1"/>
      <c r="V61" s="1"/>
      <c r="W61" s="1"/>
      <c r="X61" s="1"/>
      <c r="Y61" s="1"/>
      <c r="Z61" s="1"/>
      <c r="AA61" s="1"/>
    </row>
    <row r="62" spans="1:27" ht="14.25" customHeight="1" x14ac:dyDescent="0.35">
      <c r="A62" s="1"/>
      <c r="B62" s="8"/>
      <c r="C62" s="1"/>
      <c r="D62" s="21"/>
      <c r="E62" s="15"/>
      <c r="F62" s="15"/>
      <c r="G62" s="15"/>
      <c r="H62" s="15"/>
      <c r="I62" s="16"/>
      <c r="J62" s="17"/>
      <c r="K62" s="17"/>
      <c r="L62" s="18"/>
      <c r="M62" s="19"/>
      <c r="N62" s="7"/>
      <c r="O62" s="1"/>
      <c r="P62" s="1"/>
      <c r="Q62" s="1"/>
      <c r="R62" s="1"/>
      <c r="S62" s="1"/>
      <c r="T62" s="1"/>
      <c r="U62" s="1"/>
      <c r="V62" s="1"/>
      <c r="W62" s="1"/>
      <c r="X62" s="1"/>
      <c r="Y62" s="1"/>
      <c r="Z62" s="1"/>
      <c r="AA62" s="1"/>
    </row>
    <row r="63" spans="1:27" ht="14.25" customHeight="1" x14ac:dyDescent="0.35">
      <c r="A63" s="1"/>
      <c r="B63" s="8"/>
      <c r="C63" s="1"/>
      <c r="D63" s="21"/>
      <c r="E63" s="15"/>
      <c r="F63" s="15"/>
      <c r="G63" s="15"/>
      <c r="H63" s="15"/>
      <c r="I63" s="16"/>
      <c r="J63" s="17"/>
      <c r="K63" s="17"/>
      <c r="L63" s="18"/>
      <c r="M63" s="19"/>
      <c r="N63" s="1"/>
      <c r="O63" s="1"/>
      <c r="P63" s="1"/>
      <c r="Q63" s="1"/>
      <c r="R63" s="1"/>
      <c r="S63" s="1"/>
      <c r="T63" s="1"/>
      <c r="U63" s="1"/>
      <c r="V63" s="1"/>
      <c r="W63" s="1"/>
      <c r="X63" s="1"/>
      <c r="Y63" s="1"/>
      <c r="Z63" s="1"/>
      <c r="AA63" s="1"/>
    </row>
    <row r="64" spans="1:27" ht="14.2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4.2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4.2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4.25" customHeight="1" x14ac:dyDescent="0.35">
      <c r="A67" s="1"/>
      <c r="B67" s="1"/>
      <c r="C67" s="1" t="s">
        <v>71</v>
      </c>
      <c r="D67" s="1"/>
      <c r="E67" s="1"/>
      <c r="F67" s="1"/>
      <c r="G67" s="1"/>
      <c r="H67" s="1"/>
      <c r="I67" s="1"/>
      <c r="J67" s="1"/>
      <c r="K67" s="1"/>
      <c r="L67" s="1"/>
      <c r="M67" s="1"/>
      <c r="N67" s="1"/>
      <c r="O67" s="1"/>
      <c r="P67" s="1"/>
      <c r="Q67" s="1"/>
      <c r="R67" s="1"/>
      <c r="S67" s="1"/>
      <c r="T67" s="1"/>
      <c r="U67" s="1"/>
      <c r="V67" s="1"/>
      <c r="W67" s="1"/>
      <c r="X67" s="1"/>
      <c r="Y67" s="1"/>
      <c r="Z67" s="1"/>
      <c r="AA67" s="1"/>
    </row>
    <row r="68" spans="1:27" ht="14.2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4.2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4.2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4.2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4.2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4.2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4.2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4.2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4.2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4.2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4.2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4.2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4.2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4.2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4.2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4.2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4.2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4.2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4.2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4.2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4.2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4.2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4.2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4.2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4.2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4.2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4.2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4.2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4.2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4.2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4.2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4.2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4.2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2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2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2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2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2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2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2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2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2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2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2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2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2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2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2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2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2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2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2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2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2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2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2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2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2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2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2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2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2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2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2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2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2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2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2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2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2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2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2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2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2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2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2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2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2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2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2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2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2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2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2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2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2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2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2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2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2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2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2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2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2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2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2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2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2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2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2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2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2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2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2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2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2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2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2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2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2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2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2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2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2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2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2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2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2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2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2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2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2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2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2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2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2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2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2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2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2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2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2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2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2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2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2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2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2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2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2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2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2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2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2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2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2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2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2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2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2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2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2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2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2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2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2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2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2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2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2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2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2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2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2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2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2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2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2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2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2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2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2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2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2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2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2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2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2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2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2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2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2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2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2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2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2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2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2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2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2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2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2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2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2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2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2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2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2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2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2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2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2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2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2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2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2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2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2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2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2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2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2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2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2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2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2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2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2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2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2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2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2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2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2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2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2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2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2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2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2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2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2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2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2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2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2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2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2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2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2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2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2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2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2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2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2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2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2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2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2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2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2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2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2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2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2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2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2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2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2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2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2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2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2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2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2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2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2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2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2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2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2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2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2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2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2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2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2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2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2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2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2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2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2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2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2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2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2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2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2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2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2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2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2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2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2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2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2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2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2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2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2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2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2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2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2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2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2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2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2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2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2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2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2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2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2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2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2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2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2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2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2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2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2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2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2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2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2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2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2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2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2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2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2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2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2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2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2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2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2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2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2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2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2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2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2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2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2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2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2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2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2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2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2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2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2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2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2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2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2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2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2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2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2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2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2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2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2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2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2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2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2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2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2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2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2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2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2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2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2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2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2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2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2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2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2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2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2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2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2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2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2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2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2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2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2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2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2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2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2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2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2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2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2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2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2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2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2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2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2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2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2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2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2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2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2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2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2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2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2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2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2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2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2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2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2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2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2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2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2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2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2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2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2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2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2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2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2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2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2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2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2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2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2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2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2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2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2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2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2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2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2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2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2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2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2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2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2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2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2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2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2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2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2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2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2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2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2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2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2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2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2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2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2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2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2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2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2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2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2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2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2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2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2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2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2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2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2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2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2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2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2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2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2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2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2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2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2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2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2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2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2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2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2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2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2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2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2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2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2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2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2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2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2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2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2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2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2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2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2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2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2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2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2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2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2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2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2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2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2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2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2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2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2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2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2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2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2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2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2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2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2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2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2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2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2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2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2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2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2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2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2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2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2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2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2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2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2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2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2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2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2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2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2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2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2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2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2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2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2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2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2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2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2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2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2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2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2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2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2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2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2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2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2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2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2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2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2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2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2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2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2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2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2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2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2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2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2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2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2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2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2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2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2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2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2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2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2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2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2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2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2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2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2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2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2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2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2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2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2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2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2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2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2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2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2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2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2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2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2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2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2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2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2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2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2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2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2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2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2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2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2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2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2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2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2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2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2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2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2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2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2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2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2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2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2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2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2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2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2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2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2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2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2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2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2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2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2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2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2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2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2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2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2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2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2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2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2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2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2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2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2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2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2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2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2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2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2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2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2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2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2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2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2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2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2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2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2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2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2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2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2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2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2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2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2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2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2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2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2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2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2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2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2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2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2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2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2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2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2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2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2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2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2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2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2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2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2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2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2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2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2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2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2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2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2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2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2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2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2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2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2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2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2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2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2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2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2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2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2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2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2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2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2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2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2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2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2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2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2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2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2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2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2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2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2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2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2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2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2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2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2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2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2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2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2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2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2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2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2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2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2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2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2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2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2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2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2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2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2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2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2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2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2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2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2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2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2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2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2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2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2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2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2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2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2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2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2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2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2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2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2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2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2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2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2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2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2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2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2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2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2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2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2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2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2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2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2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2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2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2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2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2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2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2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2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2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2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2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2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2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2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2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2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2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2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2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2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2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2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2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2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2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2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2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2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2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2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2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2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2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2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2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2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2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2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2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2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2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2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2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2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2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2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2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2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2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2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2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2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2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2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2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2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2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2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2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2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2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2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2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2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2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2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2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2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2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2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2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2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2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2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2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2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2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2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2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2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2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2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2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2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2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2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2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2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2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2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2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2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2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2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2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2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2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2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2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2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2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2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2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2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mergeCells count="2">
    <mergeCell ref="D6:G6"/>
    <mergeCell ref="H6:N6"/>
  </mergeCells>
  <conditionalFormatting sqref="J8:K63">
    <cfRule type="cellIs" dxfId="13" priority="1" operator="greaterThan">
      <formula>0</formula>
    </cfRule>
  </conditionalFormatting>
  <conditionalFormatting sqref="J8:L63">
    <cfRule type="cellIs" dxfId="12" priority="2" operator="less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60"/>
  <sheetViews>
    <sheetView showGridLines="0" workbookViewId="0">
      <selection activeCell="H10" sqref="H10"/>
    </sheetView>
  </sheetViews>
  <sheetFormatPr defaultColWidth="14.453125" defaultRowHeight="15" customHeight="1" x14ac:dyDescent="0.35"/>
  <cols>
    <col min="1" max="1" width="3.54296875" customWidth="1"/>
    <col min="2" max="2" width="34.453125" customWidth="1"/>
    <col min="3" max="3" width="17.7265625" customWidth="1"/>
    <col min="4" max="4" width="12.54296875" customWidth="1"/>
    <col min="5" max="5" width="10.453125" customWidth="1"/>
    <col min="6" max="6" width="10.81640625" customWidth="1"/>
    <col min="7" max="7" width="10.54296875" customWidth="1"/>
    <col min="8" max="8" width="9.54296875" customWidth="1"/>
    <col min="9" max="9" width="14" customWidth="1"/>
    <col min="10" max="10" width="15.81640625" customWidth="1"/>
    <col min="11" max="13" width="11.08984375" customWidth="1"/>
    <col min="14" max="14" width="17.453125" customWidth="1"/>
    <col min="15" max="15" width="15.81640625" customWidth="1"/>
    <col min="16" max="28" width="8.7265625" customWidth="1"/>
  </cols>
  <sheetData>
    <row r="1" spans="1:28" ht="14.25" customHeight="1" x14ac:dyDescent="0.35">
      <c r="A1" s="1"/>
      <c r="B1" s="1"/>
      <c r="C1" s="1"/>
      <c r="D1" s="1"/>
      <c r="E1" s="1"/>
      <c r="F1" s="1"/>
      <c r="G1" s="1"/>
      <c r="H1" s="1"/>
      <c r="I1" s="1"/>
      <c r="J1" s="1"/>
      <c r="K1" s="1"/>
      <c r="L1" s="1"/>
      <c r="M1" s="1"/>
      <c r="N1" s="1"/>
      <c r="O1" s="1"/>
      <c r="P1" s="1"/>
      <c r="Q1" s="1"/>
      <c r="R1" s="1"/>
      <c r="S1" s="1"/>
      <c r="T1" s="1"/>
      <c r="U1" s="1"/>
      <c r="V1" s="1"/>
      <c r="W1" s="1"/>
      <c r="X1" s="1"/>
      <c r="Y1" s="1"/>
      <c r="Z1" s="1"/>
      <c r="AA1" s="1"/>
      <c r="AB1" s="1"/>
    </row>
    <row r="2" spans="1:28" ht="14.25" customHeight="1" x14ac:dyDescent="0.35">
      <c r="A2" s="1"/>
      <c r="B2" s="2" t="s">
        <v>90</v>
      </c>
      <c r="C2" s="3"/>
      <c r="D2" s="3"/>
      <c r="E2" s="3"/>
      <c r="F2" s="3"/>
      <c r="G2" s="3"/>
      <c r="H2" s="3"/>
      <c r="I2" s="3"/>
      <c r="J2" s="3"/>
      <c r="K2" s="3"/>
      <c r="L2" s="3"/>
      <c r="M2" s="3"/>
      <c r="N2" s="3"/>
      <c r="O2" s="3"/>
      <c r="P2" s="3"/>
      <c r="Q2" s="3"/>
      <c r="R2" s="3"/>
      <c r="S2" s="3"/>
      <c r="T2" s="3"/>
      <c r="V2" s="1"/>
      <c r="W2" s="1"/>
      <c r="X2" s="1"/>
      <c r="Y2" s="1"/>
      <c r="Z2" s="1"/>
      <c r="AA2" s="1"/>
      <c r="AB2" s="1"/>
    </row>
    <row r="3" spans="1:28" ht="14.25" customHeight="1" x14ac:dyDescent="0.35">
      <c r="A3" s="1"/>
      <c r="B3" s="4" t="s">
        <v>1</v>
      </c>
      <c r="C3" s="3"/>
      <c r="D3" s="3"/>
      <c r="E3" s="3"/>
      <c r="F3" s="3"/>
      <c r="G3" s="3"/>
      <c r="H3" s="3"/>
      <c r="I3" s="3"/>
      <c r="J3" s="3"/>
      <c r="K3" s="3"/>
      <c r="L3" s="3"/>
      <c r="M3" s="3"/>
      <c r="N3" s="3"/>
      <c r="O3" s="3"/>
      <c r="P3" s="3"/>
      <c r="Q3" s="3"/>
      <c r="R3" s="3"/>
      <c r="S3" s="3"/>
      <c r="T3" s="3"/>
      <c r="V3" s="1"/>
      <c r="W3" s="1"/>
      <c r="X3" s="1"/>
      <c r="Y3" s="1"/>
      <c r="Z3" s="1"/>
      <c r="AA3" s="1"/>
      <c r="AB3" s="1"/>
    </row>
    <row r="4" spans="1:28" ht="14.25" customHeight="1" x14ac:dyDescent="0.35">
      <c r="A4" s="1"/>
      <c r="B4" s="5" t="s">
        <v>2</v>
      </c>
      <c r="C4" s="3"/>
      <c r="D4" s="3"/>
      <c r="E4" s="3"/>
      <c r="F4" s="3"/>
      <c r="G4" s="3"/>
      <c r="H4" s="3"/>
      <c r="I4" s="3"/>
      <c r="J4" s="3"/>
      <c r="K4" s="3"/>
      <c r="L4" s="3"/>
      <c r="M4" s="3"/>
      <c r="N4" s="3"/>
      <c r="O4" s="3"/>
      <c r="P4" s="3"/>
      <c r="Q4" s="3"/>
      <c r="R4" s="3"/>
      <c r="S4" s="3"/>
      <c r="T4" s="3"/>
      <c r="V4" s="1"/>
      <c r="W4" s="1"/>
      <c r="X4" s="1"/>
      <c r="Y4" s="1"/>
      <c r="Z4" s="1"/>
      <c r="AA4" s="1"/>
      <c r="AB4" s="1"/>
    </row>
    <row r="5" spans="1:28" ht="14.25" customHeight="1" x14ac:dyDescent="0.35">
      <c r="A5" s="1"/>
      <c r="B5" s="1"/>
      <c r="C5" s="6"/>
      <c r="D5" s="6"/>
      <c r="E5" s="7"/>
      <c r="F5" s="1"/>
      <c r="G5" s="1"/>
      <c r="H5" s="1"/>
      <c r="I5" s="1"/>
      <c r="J5" s="1"/>
      <c r="K5" s="1"/>
      <c r="L5" s="1"/>
      <c r="M5" s="1"/>
      <c r="N5" s="1"/>
      <c r="O5" s="1"/>
      <c r="P5" s="1"/>
      <c r="Q5" s="1"/>
      <c r="R5" s="1"/>
      <c r="S5" s="1"/>
      <c r="T5" s="1"/>
      <c r="V5" s="1"/>
      <c r="W5" s="1"/>
      <c r="X5" s="1"/>
      <c r="Y5" s="1"/>
      <c r="Z5" s="1"/>
      <c r="AA5" s="1"/>
      <c r="AB5" s="1"/>
    </row>
    <row r="6" spans="1:28" ht="14.25" customHeight="1" x14ac:dyDescent="0.35">
      <c r="A6" s="1"/>
      <c r="B6" s="8" t="s">
        <v>3</v>
      </c>
      <c r="C6" s="9">
        <f>SUM(H10:H24)</f>
        <v>111481.50935000001</v>
      </c>
      <c r="D6" s="6"/>
      <c r="E6" s="7"/>
      <c r="F6" s="1"/>
      <c r="G6" s="1"/>
      <c r="H6" s="1"/>
      <c r="I6" s="1"/>
      <c r="J6" s="1"/>
      <c r="K6" s="1"/>
      <c r="L6" s="1"/>
      <c r="M6" s="1"/>
      <c r="N6" s="1"/>
      <c r="O6" s="1"/>
      <c r="P6" s="1"/>
      <c r="Q6" s="1"/>
      <c r="R6" s="25">
        <v>44927</v>
      </c>
      <c r="S6" s="1"/>
      <c r="T6" s="1"/>
      <c r="V6" s="1"/>
      <c r="W6" s="1"/>
      <c r="X6" s="1"/>
      <c r="Y6" s="1"/>
      <c r="Z6" s="1"/>
      <c r="AA6" s="1"/>
      <c r="AB6" s="1"/>
    </row>
    <row r="7" spans="1:28" ht="14.25" customHeight="1" x14ac:dyDescent="0.35">
      <c r="A7" s="1"/>
      <c r="B7" s="1" t="s">
        <v>4</v>
      </c>
      <c r="C7" s="1">
        <f>COUNT(D10:D24)</f>
        <v>15</v>
      </c>
      <c r="D7" s="1"/>
      <c r="E7" s="1"/>
      <c r="F7" s="1"/>
      <c r="G7" s="1"/>
      <c r="H7" s="1"/>
      <c r="I7" s="1"/>
      <c r="J7" s="1"/>
      <c r="K7" s="1"/>
      <c r="L7" s="1"/>
      <c r="M7" s="1"/>
      <c r="N7" s="1"/>
      <c r="O7" s="1"/>
      <c r="P7" s="1"/>
      <c r="Q7" s="1"/>
      <c r="R7" s="1"/>
      <c r="S7" s="1"/>
      <c r="T7" s="1"/>
      <c r="U7" s="1"/>
      <c r="V7" s="1"/>
      <c r="W7" s="1"/>
      <c r="X7" s="1"/>
      <c r="Y7" s="1"/>
      <c r="Z7" s="1"/>
      <c r="AA7" s="1"/>
      <c r="AB7" s="1"/>
    </row>
    <row r="8" spans="1:28" ht="14.25" customHeight="1" x14ac:dyDescent="0.35">
      <c r="A8" s="1"/>
      <c r="B8" s="1"/>
      <c r="C8" s="1"/>
      <c r="D8" s="46" t="s">
        <v>5</v>
      </c>
      <c r="E8" s="47"/>
      <c r="F8" s="48"/>
      <c r="G8" s="46" t="s">
        <v>6</v>
      </c>
      <c r="H8" s="47"/>
      <c r="I8" s="47"/>
      <c r="J8" s="47"/>
      <c r="K8" s="47"/>
      <c r="L8" s="47"/>
      <c r="M8" s="47"/>
      <c r="N8" s="47"/>
      <c r="O8" s="47"/>
      <c r="P8" s="1"/>
      <c r="Q8" s="1"/>
      <c r="R8" s="1"/>
      <c r="S8" s="1"/>
      <c r="T8" s="1"/>
      <c r="U8" s="1"/>
      <c r="V8" s="1"/>
      <c r="W8" s="1"/>
      <c r="X8" s="1"/>
      <c r="Y8" s="1"/>
      <c r="Z8" s="1"/>
      <c r="AA8" s="1"/>
      <c r="AB8" s="1"/>
    </row>
    <row r="9" spans="1:28" ht="14.25" customHeight="1" x14ac:dyDescent="0.35">
      <c r="A9" s="1"/>
      <c r="B9" s="10" t="s">
        <v>7</v>
      </c>
      <c r="C9" s="10" t="s">
        <v>8</v>
      </c>
      <c r="D9" s="10" t="s">
        <v>9</v>
      </c>
      <c r="E9" s="10" t="s">
        <v>10</v>
      </c>
      <c r="F9" s="11" t="s">
        <v>11</v>
      </c>
      <c r="G9" s="10" t="s">
        <v>12</v>
      </c>
      <c r="H9" s="10" t="s">
        <v>13</v>
      </c>
      <c r="I9" s="10" t="s">
        <v>14</v>
      </c>
      <c r="J9" s="32" t="s">
        <v>91</v>
      </c>
      <c r="K9" s="10" t="s">
        <v>92</v>
      </c>
      <c r="L9" s="10" t="s">
        <v>75</v>
      </c>
      <c r="M9" s="10" t="s">
        <v>16</v>
      </c>
      <c r="N9" s="10" t="s">
        <v>17</v>
      </c>
      <c r="O9" s="10"/>
      <c r="P9" s="1"/>
      <c r="Q9" s="1"/>
      <c r="R9" s="1"/>
      <c r="S9" s="1"/>
      <c r="T9" s="1"/>
      <c r="U9" s="1"/>
      <c r="V9" s="1"/>
      <c r="W9" s="1"/>
      <c r="X9" s="1"/>
      <c r="Y9" s="1"/>
      <c r="Z9" s="1"/>
      <c r="AA9" s="1"/>
      <c r="AB9" s="1"/>
    </row>
    <row r="10" spans="1:28" ht="14.25" customHeight="1" x14ac:dyDescent="0.35">
      <c r="A10" s="1"/>
      <c r="B10" s="1" t="e" vm="1">
        <v>#VALUE!</v>
      </c>
      <c r="C10" s="1" t="s">
        <v>18</v>
      </c>
      <c r="D10" s="21">
        <v>20.748000000000001</v>
      </c>
      <c r="E10" s="15">
        <v>65.757180000000005</v>
      </c>
      <c r="F10" s="33">
        <v>1364.33</v>
      </c>
      <c r="G10" s="15" cm="1">
        <f t="array" ref="G10">_FV(B10,"Price")</f>
        <v>173.23</v>
      </c>
      <c r="H10" s="16">
        <f t="shared" ref="H10:H24" si="0">G10*D10</f>
        <v>3594.1760399999998</v>
      </c>
      <c r="I10" s="17">
        <f t="shared" ref="I10:I24" si="1">G10/E10-1</f>
        <v>1.6343891267843293</v>
      </c>
      <c r="J10" s="17">
        <f ca="1">IFERROR(__xludf.DUMMYFUNCTION("(G10-INDEX(GOOGLEFINANCE(C10,""price"",TODAY()-7),2,2))/(INDEX(GOOGLEFINANCE(C10,""price"",TODAY()-7),2,2))"),-0.0129069103369502)</f>
        <v>-1.2906910336950199E-2</v>
      </c>
      <c r="K10" s="7">
        <f ca="1">IFERROR(__xludf.DUMMYFUNCTION("IFERROR((G10-INDEX(GOOGLEFINANCE(C10,""price"",TODAY()-365),2,2))/(INDEX(GOOGLEFINANCE(C10,""price"",TODAY()-365),2,2)),""Not Available"")"),0.148667508473449)</f>
        <v>0.14866750847344901</v>
      </c>
      <c r="L10" s="7">
        <f ca="1">IFERROR(__xludf.DUMMYFUNCTION("IFERROR((G10-INDEX(GOOGLEFINANCE(C10,""price"",$R$6),2,2))/(INDEX(GOOGLEFINANCE(C10,""price"",$R$6),2,2)),""Not Available"")"),0.3819461101783)</f>
        <v>0.38194611017829999</v>
      </c>
      <c r="M10" s="18">
        <f t="shared" ref="M10:M24" si="2">H10-F10</f>
        <v>2229.8460399999999</v>
      </c>
      <c r="N10" s="19">
        <f ca="1">IFERROR(__xludf.DUMMYFUNCTION("IFERROR(GOOGLEFINANCE(C10,""pe""),""Not Available"")"),26.82)</f>
        <v>26.82</v>
      </c>
      <c r="O10" s="7"/>
      <c r="P10" s="1"/>
      <c r="Q10" s="1"/>
      <c r="S10" s="1"/>
      <c r="T10" s="1"/>
      <c r="U10" s="1"/>
      <c r="V10" s="1"/>
      <c r="W10" s="1"/>
      <c r="X10" s="1"/>
      <c r="Y10" s="1"/>
      <c r="Z10" s="1"/>
      <c r="AA10" s="1"/>
      <c r="AB10" s="1"/>
    </row>
    <row r="11" spans="1:28" ht="14.25" customHeight="1" x14ac:dyDescent="0.35">
      <c r="A11" s="1"/>
      <c r="B11" s="1" t="e" vm="54">
        <v>#VALUE!</v>
      </c>
      <c r="C11" s="1" t="s">
        <v>93</v>
      </c>
      <c r="D11" s="21">
        <v>31.594999999999999</v>
      </c>
      <c r="E11" s="15">
        <v>37.197339999999997</v>
      </c>
      <c r="F11" s="33">
        <v>1175.25</v>
      </c>
      <c r="G11" s="15" cm="1">
        <f t="array" ref="G11">_FV(B11,"Price")</f>
        <v>1695</v>
      </c>
      <c r="H11" s="16">
        <f t="shared" si="0"/>
        <v>53553.525000000001</v>
      </c>
      <c r="I11" s="17">
        <f t="shared" si="1"/>
        <v>44.567774469894893</v>
      </c>
      <c r="J11" s="17" t="str">
        <f ca="1">IFERROR(__xludf.DUMMYFUNCTION("(G11-INDEX(GOOGLEFINANCE(C11,""price"",TODAY()-7),2,2))/(INDEX(GOOGLEFINANCE(C11,""price"",TODAY()-7),2,2))"),"#N/A")</f>
        <v>#N/A</v>
      </c>
      <c r="K11" s="7" t="str">
        <f ca="1">IFERROR(__xludf.DUMMYFUNCTION("IFERROR((G11-INDEX(GOOGLEFINANCE(C11,""price"",TODAY()-365),2,2))/(INDEX(GOOGLEFINANCE(C11,""price"",TODAY()-365),2,2)),""Not Available"")"),"Not Available")</f>
        <v>Not Available</v>
      </c>
      <c r="L11" s="7" t="str">
        <f ca="1">IFERROR(__xludf.DUMMYFUNCTION("IFERROR((G11-INDEX(GOOGLEFINANCE(C11,""price"",$R$6),2,2))/(INDEX(GOOGLEFINANCE(C11,""price"",$R$6),2,2)),""Not Available"")"),"Not Available")</f>
        <v>Not Available</v>
      </c>
      <c r="M11" s="18">
        <f t="shared" si="2"/>
        <v>52378.275000000001</v>
      </c>
      <c r="N11" s="19" t="str">
        <f ca="1">IFERROR(__xludf.DUMMYFUNCTION("IFERROR(GOOGLEFINANCE(C11,""pe""),""Not Available"")"),"Not Available")</f>
        <v>Not Available</v>
      </c>
      <c r="O11" s="7"/>
      <c r="P11" s="1"/>
      <c r="Q11" s="1"/>
      <c r="R11" s="1"/>
      <c r="S11" s="1"/>
      <c r="T11" s="1"/>
      <c r="U11" s="1"/>
      <c r="V11" s="1"/>
      <c r="W11" s="1"/>
      <c r="X11" s="1"/>
      <c r="Y11" s="1"/>
      <c r="Z11" s="1"/>
      <c r="AA11" s="1"/>
      <c r="AB11" s="1"/>
    </row>
    <row r="12" spans="1:28" ht="14.25" customHeight="1" x14ac:dyDescent="0.35">
      <c r="A12" s="1"/>
      <c r="B12" s="1" t="e" vm="13">
        <v>#VALUE!</v>
      </c>
      <c r="C12" s="1" t="s">
        <v>30</v>
      </c>
      <c r="D12" s="21">
        <v>31.108000000000001</v>
      </c>
      <c r="E12" s="15">
        <v>20.667999999999999</v>
      </c>
      <c r="F12" s="34">
        <v>642.94000000000005</v>
      </c>
      <c r="G12" s="15" cm="1">
        <f t="array" ref="G12">_FV(B12,"Price")</f>
        <v>113.56</v>
      </c>
      <c r="H12" s="16">
        <f t="shared" si="0"/>
        <v>3532.6244799999999</v>
      </c>
      <c r="I12" s="17">
        <f t="shared" si="1"/>
        <v>4.4944842268240759</v>
      </c>
      <c r="J12" s="17">
        <f ca="1">IFERROR(__xludf.DUMMYFUNCTION("(G12-INDEX(GOOGLEFINANCE(C12,""price"",TODAY()-7),2,2))/(INDEX(GOOGLEFINANCE(C12,""price"",TODAY()-7),2,2))"),-0.0509114797175234)</f>
        <v>-5.0911479717523397E-2</v>
      </c>
      <c r="K12" s="7">
        <f ca="1">IFERROR(__xludf.DUMMYFUNCTION("IFERROR((G12-INDEX(GOOGLEFINANCE(C12,""price"",TODAY()-365),2,2))/(INDEX(GOOGLEFINANCE(C12,""price"",TODAY()-365),2,2)),""Not Available"")"),2.16051408258135)</f>
        <v>2.1605140825813498</v>
      </c>
      <c r="L12" s="7">
        <f ca="1">IFERROR(__xludf.DUMMYFUNCTION("IFERROR((G12-INDEX(GOOGLEFINANCE(C12,""price"",$R$6),2,2))/(INDEX(GOOGLEFINANCE(C12,""price"",$R$6),2,2)),""Not Available"")"),1.82591687041564)</f>
        <v>1.8259168704156401</v>
      </c>
      <c r="M12" s="18">
        <f t="shared" si="2"/>
        <v>2889.6844799999999</v>
      </c>
      <c r="N12" s="19">
        <f ca="1">IFERROR(__xludf.DUMMYFUNCTION("IFERROR(GOOGLEFINANCE(C12,""pe""),""Not Available"")"),0)</f>
        <v>0</v>
      </c>
      <c r="O12" s="7"/>
      <c r="P12" s="1"/>
      <c r="Q12" s="1"/>
      <c r="R12" s="1"/>
      <c r="S12" s="1"/>
      <c r="T12" s="1"/>
      <c r="U12" s="1"/>
      <c r="V12" s="1"/>
      <c r="W12" s="1"/>
      <c r="X12" s="1"/>
      <c r="Y12" s="1"/>
      <c r="Z12" s="1"/>
      <c r="AA12" s="1"/>
      <c r="AB12" s="1"/>
    </row>
    <row r="13" spans="1:28" ht="14.25" customHeight="1" x14ac:dyDescent="0.35">
      <c r="A13" s="1"/>
      <c r="B13" s="1" t="e" vm="14">
        <v>#VALUE!</v>
      </c>
      <c r="C13" s="1" t="s">
        <v>31</v>
      </c>
      <c r="D13" s="21">
        <v>12.44</v>
      </c>
      <c r="E13" s="15">
        <v>114.22105999999999</v>
      </c>
      <c r="F13" s="33">
        <v>1420.91</v>
      </c>
      <c r="G13" s="15" cm="1">
        <f t="array" ref="G13">_FV(B13,"Price")</f>
        <v>112.45</v>
      </c>
      <c r="H13" s="16">
        <f t="shared" si="0"/>
        <v>1398.8779999999999</v>
      </c>
      <c r="I13" s="17">
        <f t="shared" si="1"/>
        <v>-1.5505546875506093E-2</v>
      </c>
      <c r="J13" s="17">
        <f ca="1">IFERROR(__xludf.DUMMYFUNCTION("(G13-INDEX(GOOGLEFINANCE(C13,""price"",TODAY()-7),2,2))/(INDEX(GOOGLEFINANCE(C13,""price"",TODAY()-7),2,2))"),-0.00958747471193599)</f>
        <v>-9.5874747119359897E-3</v>
      </c>
      <c r="K13" s="7">
        <f ca="1">IFERROR(__xludf.DUMMYFUNCTION("IFERROR((G13-INDEX(GOOGLEFINANCE(C13,""price"",TODAY()-365),2,2))/(INDEX(GOOGLEFINANCE(C13,""price"",TODAY()-365),2,2)),""Not Available"")"),0.215982721382289)</f>
        <v>0.21598272138228899</v>
      </c>
      <c r="L13" s="7">
        <f ca="1">IFERROR(__xludf.DUMMYFUNCTION("IFERROR((G13-INDEX(GOOGLEFINANCE(C13,""price"",$R$6),2,2))/(INDEX(GOOGLEFINANCE(C13,""price"",$R$6),2,2)),""Not Available"")"),0.265595144430706)</f>
        <v>0.26559514443070598</v>
      </c>
      <c r="M13" s="18">
        <f t="shared" si="2"/>
        <v>-22.032000000000153</v>
      </c>
      <c r="N13" s="19">
        <f ca="1">IFERROR(__xludf.DUMMYFUNCTION("IFERROR(GOOGLEFINANCE(C13,""pe""),""Not Available"")"),69.28)</f>
        <v>69.28</v>
      </c>
      <c r="O13" s="1"/>
      <c r="P13" s="1"/>
      <c r="Q13" s="1"/>
      <c r="R13" s="1"/>
      <c r="S13" s="1"/>
      <c r="T13" s="1"/>
      <c r="U13" s="1"/>
      <c r="V13" s="1"/>
      <c r="W13" s="1"/>
      <c r="X13" s="1"/>
      <c r="Y13" s="1"/>
      <c r="Z13" s="1"/>
      <c r="AA13" s="1"/>
      <c r="AB13" s="1"/>
    </row>
    <row r="14" spans="1:28" ht="14.25" customHeight="1" x14ac:dyDescent="0.35">
      <c r="A14" s="1"/>
      <c r="B14" s="1" t="e" vm="22">
        <v>#VALUE!</v>
      </c>
      <c r="C14" s="1" t="s">
        <v>39</v>
      </c>
      <c r="D14" s="21">
        <v>14</v>
      </c>
      <c r="E14" s="15">
        <v>38.006430000000002</v>
      </c>
      <c r="F14" s="34">
        <v>532.09</v>
      </c>
      <c r="G14" s="15" cm="1">
        <f t="array" ref="G14">_FV(B14,"Price")</f>
        <v>71.34</v>
      </c>
      <c r="H14" s="16">
        <f t="shared" si="0"/>
        <v>998.76</v>
      </c>
      <c r="I14" s="17">
        <f t="shared" si="1"/>
        <v>0.87705080429811488</v>
      </c>
      <c r="J14" s="17">
        <f ca="1">IFERROR(__xludf.DUMMYFUNCTION("(G14-INDEX(GOOGLEFINANCE(C14,""price"",TODAY()-7),2,2))/(INDEX(GOOGLEFINANCE(C14,""price"",TODAY()-7),2,2))"),-0.00182098333099867)</f>
        <v>-1.8209833309986701E-3</v>
      </c>
      <c r="K14" s="7">
        <f ca="1">IFERROR(__xludf.DUMMYFUNCTION("IFERROR((G14-INDEX(GOOGLEFINANCE(C14,""price"",TODAY()-365),2,2))/(INDEX(GOOGLEFINANCE(C14,""price"",TODAY()-365),2,2)),""Not Available"")"),0.20229458410663)</f>
        <v>0.20229458410663001</v>
      </c>
      <c r="L14" s="7">
        <f ca="1">IFERROR(__xludf.DUMMYFUNCTION("IFERROR((G14-INDEX(GOOGLEFINANCE(C14,""price"",$R$6),2,2))/(INDEX(GOOGLEFINANCE(C14,""price"",$R$6),2,2)),""Not Available"")"),0.468672712283594)</f>
        <v>0.46867271228359397</v>
      </c>
      <c r="M14" s="18">
        <f t="shared" si="2"/>
        <v>466.66999999999996</v>
      </c>
      <c r="N14" s="19">
        <f ca="1">IFERROR(__xludf.DUMMYFUNCTION("IFERROR(GOOGLEFINANCE(C14,""pe""),""Not Available"")"),49.03)</f>
        <v>49.03</v>
      </c>
      <c r="O14" s="1"/>
      <c r="P14" s="1"/>
      <c r="Q14" s="1"/>
      <c r="R14" s="1"/>
      <c r="S14" s="1"/>
      <c r="T14" s="1"/>
      <c r="U14" s="1"/>
      <c r="V14" s="1"/>
      <c r="W14" s="1"/>
      <c r="X14" s="1"/>
      <c r="Y14" s="1"/>
      <c r="Z14" s="1"/>
      <c r="AA14" s="1"/>
      <c r="AB14" s="1"/>
    </row>
    <row r="15" spans="1:28" ht="14.25" customHeight="1" x14ac:dyDescent="0.35">
      <c r="A15" s="1"/>
      <c r="B15" s="1" t="e" vm="24">
        <v>#VALUE!</v>
      </c>
      <c r="C15" s="1" t="s">
        <v>41</v>
      </c>
      <c r="D15" s="21">
        <v>19</v>
      </c>
      <c r="E15" s="15">
        <v>51.366320000000002</v>
      </c>
      <c r="F15" s="34">
        <v>975.96</v>
      </c>
      <c r="G15" s="15" cm="1">
        <f t="array" ref="G15">_FV(B15,"Price")</f>
        <v>139.62</v>
      </c>
      <c r="H15" s="16">
        <f t="shared" si="0"/>
        <v>2652.78</v>
      </c>
      <c r="I15" s="17">
        <f t="shared" si="1"/>
        <v>1.7181234707878628</v>
      </c>
      <c r="J15" s="17">
        <f ca="1">IFERROR(__xludf.DUMMYFUNCTION("(G15-INDEX(GOOGLEFINANCE(C15,""price"",TODAY()-7),2,2))/(INDEX(GOOGLEFINANCE(C15,""price"",TODAY()-7),2,2))"),0.0395678092399404)</f>
        <v>3.9567809239940403E-2</v>
      </c>
      <c r="K15" s="7">
        <f ca="1">IFERROR(__xludf.DUMMYFUNCTION("IFERROR((G15-INDEX(GOOGLEFINANCE(C15,""price"",TODAY()-365),2,2))/(INDEX(GOOGLEFINANCE(C15,""price"",TODAY()-365),2,2)),""Not Available"")"),0.522037966397556)</f>
        <v>0.52203796639755595</v>
      </c>
      <c r="L15" s="7">
        <f ca="1">IFERROR(__xludf.DUMMYFUNCTION("IFERROR((G15-INDEX(GOOGLEFINANCE(C15,""price"",$R$6),2,2))/(INDEX(GOOGLEFINANCE(C15,""price"",$R$6),2,2)),""Not Available"")"),0.555295429208472)</f>
        <v>0.55529542920847197</v>
      </c>
      <c r="M15" s="18">
        <f t="shared" si="2"/>
        <v>1676.8200000000002</v>
      </c>
      <c r="N15" s="19">
        <f ca="1">IFERROR(__xludf.DUMMYFUNCTION("IFERROR(GOOGLEFINANCE(C15,""pe""),""Not Available"")"),25.66)</f>
        <v>25.66</v>
      </c>
      <c r="O15" s="1"/>
      <c r="P15" s="1"/>
      <c r="Q15" s="1"/>
      <c r="R15" s="1"/>
      <c r="S15" s="1"/>
      <c r="T15" s="1"/>
      <c r="U15" s="1"/>
      <c r="V15" s="1"/>
      <c r="W15" s="1"/>
      <c r="X15" s="1"/>
      <c r="Y15" s="1"/>
      <c r="Z15" s="1"/>
      <c r="AA15" s="1"/>
      <c r="AB15" s="1"/>
    </row>
    <row r="16" spans="1:28" ht="14.25" customHeight="1" x14ac:dyDescent="0.35">
      <c r="A16" s="1"/>
      <c r="B16" s="1" t="e" vm="28">
        <v>#VALUE!</v>
      </c>
      <c r="C16" s="1" t="s">
        <v>45</v>
      </c>
      <c r="D16" s="21">
        <v>29.56</v>
      </c>
      <c r="E16" s="15">
        <v>38.229030000000002</v>
      </c>
      <c r="F16" s="33">
        <v>1130.05</v>
      </c>
      <c r="G16" s="15" cm="1">
        <f t="array" ref="G16">_FV(B16,"Price")</f>
        <v>149.61000000000001</v>
      </c>
      <c r="H16" s="16">
        <f t="shared" si="0"/>
        <v>4422.4715999999999</v>
      </c>
      <c r="I16" s="17">
        <f t="shared" si="1"/>
        <v>2.9135180777540004</v>
      </c>
      <c r="J16" s="17">
        <f ca="1">IFERROR(__xludf.DUMMYFUNCTION("(G16-INDEX(GOOGLEFINANCE(C16,""price"",TODAY()-7),2,2))/(INDEX(GOOGLEFINANCE(C16,""price"",TODAY()-7),2,2))"),-0.00403714170367376)</f>
        <v>-4.0371417036737601E-3</v>
      </c>
      <c r="K16" s="7">
        <f ca="1">IFERROR(__xludf.DUMMYFUNCTION("IFERROR((G16-INDEX(GOOGLEFINANCE(C16,""price"",TODAY()-365),2,2))/(INDEX(GOOGLEFINANCE(C16,""price"",TODAY()-365),2,2)),""Not Available"")"),0.819545175169023)</f>
        <v>0.81954517516902303</v>
      </c>
      <c r="L16" s="7">
        <f ca="1">IFERROR(__xludf.DUMMYFUNCTION("IFERROR((G16-INDEX(GOOGLEFINANCE(C16,""price"",$R$6),2,2))/(INDEX(GOOGLEFINANCE(C16,""price"",$R$6),2,2)),""Not Available"")"),1.20333432569217)</f>
        <v>1.20333432569217</v>
      </c>
      <c r="M16" s="18">
        <f t="shared" si="2"/>
        <v>3292.4215999999997</v>
      </c>
      <c r="N16" s="19">
        <f ca="1">IFERROR(__xludf.DUMMYFUNCTION("IFERROR(GOOGLEFINANCE(C16,""pe""),""Not Available"")"),25.21)</f>
        <v>25.21</v>
      </c>
      <c r="O16" s="7"/>
      <c r="P16" s="1"/>
      <c r="Q16" s="1"/>
      <c r="R16" s="1"/>
      <c r="S16" s="1"/>
      <c r="T16" s="1"/>
      <c r="U16" s="1"/>
      <c r="V16" s="1"/>
      <c r="W16" s="1"/>
      <c r="X16" s="1"/>
      <c r="Y16" s="1"/>
      <c r="Z16" s="1"/>
      <c r="AA16" s="1"/>
      <c r="AB16" s="1"/>
    </row>
    <row r="17" spans="1:28" ht="14.25" customHeight="1" x14ac:dyDescent="0.35">
      <c r="A17" s="1"/>
      <c r="B17" s="1" t="e" vm="30">
        <v>#VALUE!</v>
      </c>
      <c r="C17" s="1" t="s">
        <v>47</v>
      </c>
      <c r="D17" s="21">
        <v>54</v>
      </c>
      <c r="E17" s="15">
        <v>16.355740000000001</v>
      </c>
      <c r="F17" s="34">
        <v>883.21</v>
      </c>
      <c r="G17" s="15" cm="1">
        <f t="array" ref="G17">_FV(B17,"Price")</f>
        <v>7.82</v>
      </c>
      <c r="H17" s="16">
        <f t="shared" si="0"/>
        <v>422.28000000000003</v>
      </c>
      <c r="I17" s="17">
        <f t="shared" si="1"/>
        <v>-0.52188039183797241</v>
      </c>
      <c r="J17" s="17">
        <f ca="1">IFERROR(__xludf.DUMMYFUNCTION("(G17-INDEX(GOOGLEFINANCE(C17,""price"",TODAY()-7),2,2))/(INDEX(GOOGLEFINANCE(C17,""price"",TODAY()-7),2,2))"),0.00248756218905489)</f>
        <v>2.4875621890548898E-3</v>
      </c>
      <c r="K17" s="7">
        <f ca="1">IFERROR(__xludf.DUMMYFUNCTION("IFERROR((G17-INDEX(GOOGLEFINANCE(C17,""price"",TODAY()-365),2,2))/(INDEX(GOOGLEFINANCE(C17,""price"",TODAY()-365),2,2)),""Not Available"")"),0.0995907230559345)</f>
        <v>9.9590723055934499E-2</v>
      </c>
      <c r="L17" s="7">
        <f ca="1">IFERROR(__xludf.DUMMYFUNCTION("IFERROR((G17-INDEX(GOOGLEFINANCE(C17,""price"",$R$6),2,2))/(INDEX(GOOGLEFINANCE(C17,""price"",$R$6),2,2)),""Not Available"")"),-0.0472813238770686)</f>
        <v>-4.7281323877068598E-2</v>
      </c>
      <c r="M17" s="18">
        <f t="shared" si="2"/>
        <v>-460.93</v>
      </c>
      <c r="N17" s="19">
        <f ca="1">IFERROR(__xludf.DUMMYFUNCTION("IFERROR(GOOGLEFINANCE(C17,""pe""),""Not Available"")"),22.51)</f>
        <v>22.51</v>
      </c>
      <c r="O17" s="1"/>
      <c r="P17" s="1"/>
      <c r="Q17" s="1"/>
      <c r="R17" s="1"/>
      <c r="S17" s="1"/>
      <c r="T17" s="1"/>
      <c r="U17" s="1"/>
      <c r="V17" s="1"/>
      <c r="W17" s="1"/>
      <c r="X17" s="1"/>
      <c r="Y17" s="1"/>
      <c r="Z17" s="1"/>
      <c r="AA17" s="1"/>
      <c r="AB17" s="1"/>
    </row>
    <row r="18" spans="1:28" ht="14.25" customHeight="1" x14ac:dyDescent="0.35">
      <c r="A18" s="1"/>
      <c r="B18" s="1" t="e" vm="34">
        <v>#VALUE!</v>
      </c>
      <c r="C18" s="1" t="s">
        <v>51</v>
      </c>
      <c r="D18" s="21">
        <v>11</v>
      </c>
      <c r="E18" s="15">
        <v>157.77455</v>
      </c>
      <c r="F18" s="33">
        <v>1735.52</v>
      </c>
      <c r="G18" s="15" cm="1">
        <f t="array" ref="G18">_FV(B18,"Price")</f>
        <v>499.75</v>
      </c>
      <c r="H18" s="16">
        <f t="shared" si="0"/>
        <v>5497.25</v>
      </c>
      <c r="I18" s="17">
        <f t="shared" si="1"/>
        <v>2.1674943772617321</v>
      </c>
      <c r="J18" s="17">
        <f ca="1">IFERROR(__xludf.DUMMYFUNCTION("(G18-INDEX(GOOGLEFINANCE(C18,""price"",TODAY()-7),2,2))/(INDEX(GOOGLEFINANCE(C18,""price"",TODAY()-7),2,2))"),-0.0263152612457094)</f>
        <v>-2.63152612457094E-2</v>
      </c>
      <c r="K18" s="7">
        <f ca="1">IFERROR(__xludf.DUMMYFUNCTION("IFERROR((G18-INDEX(GOOGLEFINANCE(C18,""price"",TODAY()-365),2,2))/(INDEX(GOOGLEFINANCE(C18,""price"",TODAY()-365),2,2)),""Not Available"")"),1.68148148148148)</f>
        <v>1.68148148148148</v>
      </c>
      <c r="L18" s="7">
        <f ca="1">IFERROR(__xludf.DUMMYFUNCTION("IFERROR((G18-INDEX(GOOGLEFINANCE(C18,""price"",$R$6),2,2))/(INDEX(GOOGLEFINANCE(C18,""price"",$R$6),2,2)),""Not Available"")"),2.88872855539522)</f>
        <v>2.88872855539522</v>
      </c>
      <c r="M18" s="18">
        <f t="shared" si="2"/>
        <v>3761.73</v>
      </c>
      <c r="N18" s="19">
        <f ca="1">IFERROR(__xludf.DUMMYFUNCTION("IFERROR(GOOGLEFINANCE(C18,""pe""),""Not Available"")"),31.66)</f>
        <v>31.66</v>
      </c>
      <c r="O18" s="1"/>
      <c r="P18" s="1"/>
      <c r="Q18" s="1"/>
      <c r="R18" s="1"/>
      <c r="S18" s="1"/>
      <c r="T18" s="1"/>
      <c r="U18" s="1"/>
      <c r="V18" s="1"/>
      <c r="W18" s="1"/>
      <c r="X18" s="1"/>
      <c r="Y18" s="1"/>
      <c r="Z18" s="1"/>
      <c r="AA18" s="1"/>
      <c r="AB18" s="1"/>
    </row>
    <row r="19" spans="1:28" ht="14.25" customHeight="1" x14ac:dyDescent="0.35">
      <c r="A19" s="1"/>
      <c r="B19" s="1" t="e" vm="39">
        <v>#VALUE!</v>
      </c>
      <c r="C19" s="1" t="s">
        <v>56</v>
      </c>
      <c r="D19" s="21">
        <v>2</v>
      </c>
      <c r="E19" s="15">
        <v>338.73500000000001</v>
      </c>
      <c r="F19" s="34">
        <v>677.47</v>
      </c>
      <c r="G19" s="15" cm="1">
        <f t="array" ref="G19">_FV(B19,"Price")</f>
        <v>611.08000000000004</v>
      </c>
      <c r="H19" s="16">
        <f t="shared" si="0"/>
        <v>1222.1600000000001</v>
      </c>
      <c r="I19" s="17">
        <f t="shared" si="1"/>
        <v>0.80400608145010111</v>
      </c>
      <c r="J19" s="17">
        <f ca="1">IFERROR(__xludf.DUMMYFUNCTION("(G19-INDEX(GOOGLEFINANCE(C19,""price"",TODAY()-7),2,2))/(INDEX(GOOGLEFINANCE(C19,""price"",TODAY()-7),2,2))"),-0.0218079664842571)</f>
        <v>-2.1807966484257101E-2</v>
      </c>
      <c r="K19" s="7">
        <f ca="1">IFERROR(__xludf.DUMMYFUNCTION("IFERROR((G19-INDEX(GOOGLEFINANCE(C19,""price"",TODAY()-365),2,2))/(INDEX(GOOGLEFINANCE(C19,""price"",TODAY()-365),2,2)),""Not Available"")"),1.05240025893495)</f>
        <v>1.0524002589349499</v>
      </c>
      <c r="L19" s="7">
        <f ca="1">IFERROR(__xludf.DUMMYFUNCTION("IFERROR((G19-INDEX(GOOGLEFINANCE(C19,""price"",$R$6),2,2))/(INDEX(GOOGLEFINANCE(C19,""price"",$R$6),2,2)),""Not Available"")"),1.04238006441769)</f>
        <v>1.0423800644176899</v>
      </c>
      <c r="M19" s="18">
        <f t="shared" si="2"/>
        <v>544.69000000000005</v>
      </c>
      <c r="N19" s="19">
        <f ca="1">IFERROR(__xludf.DUMMYFUNCTION("IFERROR(GOOGLEFINANCE(C19,""pe""),""Not Available"")"),50.05)</f>
        <v>50.05</v>
      </c>
      <c r="O19" s="1"/>
      <c r="P19" s="1"/>
      <c r="Q19" s="1"/>
      <c r="R19" s="1"/>
      <c r="S19" s="1"/>
      <c r="T19" s="1"/>
      <c r="U19" s="1"/>
      <c r="V19" s="1"/>
      <c r="W19" s="1"/>
      <c r="X19" s="1"/>
      <c r="Y19" s="1"/>
      <c r="Z19" s="1"/>
      <c r="AA19" s="1"/>
      <c r="AB19" s="1"/>
    </row>
    <row r="20" spans="1:28" ht="14.25" customHeight="1" x14ac:dyDescent="0.35">
      <c r="A20" s="1"/>
      <c r="B20" s="1" t="e" vm="42">
        <v>#VALUE!</v>
      </c>
      <c r="C20" s="1" t="s">
        <v>59</v>
      </c>
      <c r="D20" s="21">
        <v>26.53</v>
      </c>
      <c r="E20" s="15">
        <v>48.95552</v>
      </c>
      <c r="F20" s="33">
        <v>1298.79</v>
      </c>
      <c r="G20" s="15" cm="1">
        <f t="array" ref="G20">_FV(B20,"Price")</f>
        <v>127.495</v>
      </c>
      <c r="H20" s="16">
        <f t="shared" si="0"/>
        <v>3382.4423500000003</v>
      </c>
      <c r="I20" s="17">
        <f t="shared" si="1"/>
        <v>1.6043028447047445</v>
      </c>
      <c r="J20" s="17">
        <f ca="1">IFERROR(__xludf.DUMMYFUNCTION("(G20-INDEX(GOOGLEFINANCE(C20,""price"",TODAY()-7),2,2))/(INDEX(GOOGLEFINANCE(C20,""price"",TODAY()-7),2,2))"),0.00122742416272137)</f>
        <v>1.22742416272137E-3</v>
      </c>
      <c r="K20" s="7">
        <f ca="1">IFERROR(__xludf.DUMMYFUNCTION("IFERROR((G20-INDEX(GOOGLEFINANCE(C20,""price"",TODAY()-365),2,2))/(INDEX(GOOGLEFINANCE(C20,""price"",TODAY()-365),2,2)),""Not Available"")"),0.344636759684445)</f>
        <v>0.34463675968444502</v>
      </c>
      <c r="L20" s="7">
        <f ca="1">IFERROR(__xludf.DUMMYFUNCTION("IFERROR((G20-INDEX(GOOGLEFINANCE(C20,""price"",$R$6),2,2))/(INDEX(GOOGLEFINANCE(C20,""price"",$R$6),2,2)),""Not Available"")"),0.364070711896798)</f>
        <v>0.36407071189679802</v>
      </c>
      <c r="M20" s="18">
        <f t="shared" si="2"/>
        <v>2083.6523500000003</v>
      </c>
      <c r="N20" s="19">
        <f ca="1">IFERROR(__xludf.DUMMYFUNCTION("IFERROR(GOOGLEFINANCE(C20,""pe""),""Not Available"")"),31.62)</f>
        <v>31.62</v>
      </c>
      <c r="O20" s="7"/>
      <c r="P20" s="1"/>
      <c r="Q20" s="1"/>
      <c r="R20" s="1"/>
      <c r="S20" s="1"/>
      <c r="T20" s="1"/>
      <c r="U20" s="1"/>
      <c r="V20" s="1"/>
      <c r="W20" s="1"/>
      <c r="X20" s="1"/>
      <c r="Y20" s="1"/>
      <c r="Z20" s="1"/>
      <c r="AA20" s="1"/>
      <c r="AB20" s="1"/>
    </row>
    <row r="21" spans="1:28" ht="14.25" customHeight="1" x14ac:dyDescent="0.35">
      <c r="A21" s="1"/>
      <c r="B21" s="1" t="e" vm="45">
        <v>#VALUE!</v>
      </c>
      <c r="C21" s="1" t="s">
        <v>62</v>
      </c>
      <c r="D21" s="21">
        <v>11</v>
      </c>
      <c r="E21" s="15">
        <v>47.712730000000001</v>
      </c>
      <c r="F21" s="34">
        <v>524.84</v>
      </c>
      <c r="G21" s="15" cm="1">
        <f t="array" ref="G21">_FV(B21,"Price")</f>
        <v>60.03</v>
      </c>
      <c r="H21" s="16">
        <f t="shared" si="0"/>
        <v>660.33</v>
      </c>
      <c r="I21" s="17">
        <f t="shared" si="1"/>
        <v>0.25815479432847388</v>
      </c>
      <c r="J21" s="17">
        <f ca="1">IFERROR(__xludf.DUMMYFUNCTION("(G21-INDEX(GOOGLEFINANCE(C21,""price"",TODAY()-7),2,2))/(INDEX(GOOGLEFINANCE(C21,""price"",TODAY()-7),2,2))"),-0.000500166722240647)</f>
        <v>-5.0016672224064698E-4</v>
      </c>
      <c r="K21" s="7">
        <f ca="1">IFERROR(__xludf.DUMMYFUNCTION("IFERROR((G21-INDEX(GOOGLEFINANCE(C21,""price"",TODAY()-365),2,2))/(INDEX(GOOGLEFINANCE(C21,""price"",TODAY()-365),2,2)),""Not Available"")"),-0.174356149290731)</f>
        <v>-0.17435614929073101</v>
      </c>
      <c r="L21" s="7">
        <f ca="1">IFERROR(__xludf.DUMMYFUNCTION("IFERROR((G21-INDEX(GOOGLEFINANCE(C21,""price"",$R$6),2,2))/(INDEX(GOOGLEFINANCE(C21,""price"",$R$6),2,2)),""Not Available"")"),-0.196165191740412)</f>
        <v>-0.196165191740412</v>
      </c>
      <c r="M21" s="18">
        <f t="shared" si="2"/>
        <v>135.49</v>
      </c>
      <c r="N21" s="19">
        <f ca="1">IFERROR(__xludf.DUMMYFUNCTION("IFERROR(GOOGLEFINANCE(C21,""pe""),""Not Available"")"),15.63)</f>
        <v>15.63</v>
      </c>
      <c r="O21" s="1"/>
      <c r="P21" s="1"/>
      <c r="Q21" s="1"/>
      <c r="R21" s="1"/>
      <c r="S21" s="1"/>
      <c r="T21" s="1"/>
      <c r="U21" s="1"/>
      <c r="V21" s="1"/>
      <c r="W21" s="1"/>
      <c r="X21" s="1"/>
      <c r="Y21" s="1"/>
      <c r="Z21" s="1"/>
      <c r="AA21" s="1"/>
      <c r="AB21" s="1"/>
    </row>
    <row r="22" spans="1:28" ht="14.25" customHeight="1" x14ac:dyDescent="0.35">
      <c r="A22" s="1"/>
      <c r="B22" s="1" t="e" vm="46">
        <v>#VALUE!</v>
      </c>
      <c r="C22" s="1" t="s">
        <v>63</v>
      </c>
      <c r="D22" s="21">
        <v>9.1110000000000007</v>
      </c>
      <c r="E22" s="15">
        <v>122.21599999999999</v>
      </c>
      <c r="F22" s="33">
        <v>1113.51</v>
      </c>
      <c r="G22" s="15" cm="1">
        <f t="array" ref="G22">_FV(B22,"Price")</f>
        <v>173.08</v>
      </c>
      <c r="H22" s="16">
        <f t="shared" si="0"/>
        <v>1576.9318800000003</v>
      </c>
      <c r="I22" s="17">
        <f t="shared" si="1"/>
        <v>0.41618118740590448</v>
      </c>
      <c r="J22" s="17">
        <f ca="1">IFERROR(__xludf.DUMMYFUNCTION("(G22-INDEX(GOOGLEFINANCE(C22,""price"",TODAY()-7),2,2))/(INDEX(GOOGLEFINANCE(C22,""price"",TODAY()-7),2,2))"),0.0247358309317963)</f>
        <v>2.47358309317963E-2</v>
      </c>
      <c r="K22" s="7">
        <f ca="1">IFERROR(__xludf.DUMMYFUNCTION("IFERROR((G22-INDEX(GOOGLEFINANCE(C22,""price"",TODAY()-365),2,2))/(INDEX(GOOGLEFINANCE(C22,""price"",TODAY()-365),2,2)),""Not Available"")"),0.491566896792799)</f>
        <v>0.49156689679279902</v>
      </c>
      <c r="L22" s="7">
        <f ca="1">IFERROR(__xludf.DUMMYFUNCTION("IFERROR((G22-INDEX(GOOGLEFINANCE(C22,""price"",$R$6),2,2))/(INDEX(GOOGLEFINANCE(C22,""price"",$R$6),2,2)),""Not Available"")"),0.592164179104477)</f>
        <v>0.59216417910447705</v>
      </c>
      <c r="M22" s="18">
        <f t="shared" si="2"/>
        <v>463.42188000000033</v>
      </c>
      <c r="N22" s="19">
        <f ca="1">IFERROR(__xludf.DUMMYFUNCTION("IFERROR(GOOGLEFINANCE(C22,""pe""),""Not Available"")"),24.75)</f>
        <v>24.75</v>
      </c>
      <c r="O22" s="7"/>
      <c r="P22" s="1"/>
      <c r="Q22" s="1"/>
      <c r="R22" s="1"/>
      <c r="S22" s="1"/>
      <c r="T22" s="1"/>
      <c r="U22" s="1"/>
      <c r="V22" s="1"/>
      <c r="W22" s="1"/>
      <c r="X22" s="1"/>
      <c r="Y22" s="1"/>
      <c r="Z22" s="1"/>
      <c r="AA22" s="1"/>
      <c r="AB22" s="1"/>
    </row>
    <row r="23" spans="1:28" ht="14.25" customHeight="1" x14ac:dyDescent="0.35">
      <c r="A23" s="1"/>
      <c r="B23" s="1" t="e" vm="47">
        <v>#VALUE!</v>
      </c>
      <c r="C23" s="1" t="s">
        <v>64</v>
      </c>
      <c r="D23" s="21">
        <v>3</v>
      </c>
      <c r="E23" s="15">
        <v>236.77</v>
      </c>
      <c r="F23" s="34">
        <v>710.31</v>
      </c>
      <c r="G23" s="15" cm="1">
        <f t="array" ref="G23">_FV(B23,"Price")</f>
        <v>36.340000000000003</v>
      </c>
      <c r="H23" s="16">
        <f t="shared" si="0"/>
        <v>109.02000000000001</v>
      </c>
      <c r="I23" s="17">
        <f t="shared" si="1"/>
        <v>-0.84651771761625205</v>
      </c>
      <c r="J23" s="17">
        <f ca="1">IFERROR(__xludf.DUMMYFUNCTION("(G23-INDEX(GOOGLEFINANCE(C23,""price"",TODAY()-7),2,2))/(INDEX(GOOGLEFINANCE(C23,""price"",TODAY()-7),2,2))"),0.0936655658961272)</f>
        <v>9.3665565896127206E-2</v>
      </c>
      <c r="K23" s="7">
        <f ca="1">IFERROR(__xludf.DUMMYFUNCTION("IFERROR((G23-INDEX(GOOGLEFINANCE(C23,""price"",TODAY()-365),2,2))/(INDEX(GOOGLEFINANCE(C23,""price"",TODAY()-365),2,2)),""Not Available"")"),0.157978385251112)</f>
        <v>0.15797838525111199</v>
      </c>
      <c r="L23" s="7">
        <f ca="1">IFERROR(__xludf.DUMMYFUNCTION("IFERROR((G23-INDEX(GOOGLEFINANCE(C23,""price"",$R$6),2,2))/(INDEX(GOOGLEFINANCE(C23,""price"",$R$6),2,2)),""Not Available"")"),0.0534991324465009)</f>
        <v>5.3499132446500897E-2</v>
      </c>
      <c r="M23" s="18">
        <f t="shared" si="2"/>
        <v>-601.29</v>
      </c>
      <c r="N23" s="19" t="str">
        <f ca="1">IFERROR(__xludf.DUMMYFUNCTION("IFERROR(GOOGLEFINANCE(C23,""pe""),""Not Available"")"),"Not Available")</f>
        <v>Not Available</v>
      </c>
      <c r="O23" s="1"/>
      <c r="P23" s="1"/>
      <c r="Q23" s="1"/>
      <c r="R23" s="1"/>
      <c r="S23" s="1"/>
      <c r="T23" s="1"/>
      <c r="U23" s="1"/>
      <c r="V23" s="1"/>
      <c r="W23" s="1"/>
      <c r="X23" s="1"/>
      <c r="Y23" s="1"/>
      <c r="Z23" s="1"/>
      <c r="AA23" s="1"/>
      <c r="AB23" s="1"/>
    </row>
    <row r="24" spans="1:28" ht="14.25" customHeight="1" x14ac:dyDescent="0.35">
      <c r="A24" s="1"/>
      <c r="B24" s="1" t="e" vm="55">
        <v>#VALUE!</v>
      </c>
      <c r="C24" s="1" t="s">
        <v>94</v>
      </c>
      <c r="D24" s="21">
        <v>11</v>
      </c>
      <c r="E24" s="15">
        <v>46.921819999999997</v>
      </c>
      <c r="F24" s="34">
        <v>516.14</v>
      </c>
      <c r="G24" s="15" cm="1">
        <f t="array" ref="G24">_FV(B24,"Price")</f>
        <v>2587.08</v>
      </c>
      <c r="H24" s="16">
        <f t="shared" si="0"/>
        <v>28457.879999999997</v>
      </c>
      <c r="I24" s="17">
        <f t="shared" si="1"/>
        <v>54.135968724145826</v>
      </c>
      <c r="J24" s="17" t="str">
        <f ca="1">IFERROR(__xludf.DUMMYFUNCTION("(G24-INDEX(GOOGLEFINANCE(C24,""price"",TODAY()-7),2,2))/(INDEX(GOOGLEFINANCE(C24,""price"",TODAY()-7),2,2))"),"#N/A")</f>
        <v>#N/A</v>
      </c>
      <c r="K24" s="7" t="str">
        <f ca="1">IFERROR(__xludf.DUMMYFUNCTION("IFERROR((G24-INDEX(GOOGLEFINANCE(C24,""price"",TODAY()-365),2,2))/(INDEX(GOOGLEFINANCE(C24,""price"",TODAY()-365),2,2)),""Not Available"")"),"Not Available")</f>
        <v>Not Available</v>
      </c>
      <c r="L24" s="7" t="str">
        <f ca="1">IFERROR(__xludf.DUMMYFUNCTION("IFERROR((G24-INDEX(GOOGLEFINANCE(C24,""price"",$R$6),2,2))/(INDEX(GOOGLEFINANCE(C24,""price"",$R$6),2,2)),""Not Available"")"),"Not Available")</f>
        <v>Not Available</v>
      </c>
      <c r="M24" s="18">
        <f t="shared" si="2"/>
        <v>27941.739999999998</v>
      </c>
      <c r="N24" s="19" t="str">
        <f ca="1">IFERROR(__xludf.DUMMYFUNCTION("IFERROR(GOOGLEFINANCE(C24,""pe""),""Not Available"")"),"Not Available")</f>
        <v>Not Available</v>
      </c>
      <c r="O24" s="1"/>
      <c r="P24" s="1"/>
      <c r="Q24" s="1"/>
      <c r="R24" s="1"/>
      <c r="S24" s="1"/>
      <c r="T24" s="1"/>
      <c r="U24" s="1"/>
      <c r="V24" s="1"/>
      <c r="W24" s="1"/>
      <c r="X24" s="1"/>
      <c r="Y24" s="1"/>
      <c r="Z24" s="1"/>
      <c r="AA24" s="1"/>
      <c r="AB24" s="1"/>
    </row>
    <row r="25" spans="1:28" ht="14.2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4.25" customHeight="1" x14ac:dyDescent="0.35">
      <c r="A26" s="1"/>
      <c r="B26" s="8" t="s">
        <v>95</v>
      </c>
      <c r="C26" s="8"/>
      <c r="D26" s="8"/>
      <c r="E26" s="8"/>
      <c r="F26" s="35">
        <f>SUM(F10:F24)</f>
        <v>14701.32</v>
      </c>
      <c r="G26" s="8"/>
      <c r="H26" s="35">
        <f>SUM(H10:H24)</f>
        <v>111481.50935000001</v>
      </c>
      <c r="I26" s="8"/>
      <c r="J26" s="8"/>
      <c r="K26" s="8"/>
      <c r="L26" s="8"/>
      <c r="M26" s="36">
        <f>SUM(M10:M24)</f>
        <v>96780.189350000001</v>
      </c>
      <c r="N26" s="1"/>
      <c r="O26" s="1"/>
      <c r="P26" s="1"/>
      <c r="Q26" s="1"/>
      <c r="R26" s="1"/>
      <c r="S26" s="1"/>
      <c r="T26" s="1"/>
      <c r="U26" s="1"/>
      <c r="V26" s="1"/>
      <c r="W26" s="1"/>
      <c r="X26" s="1"/>
      <c r="Y26" s="1"/>
      <c r="Z26" s="1"/>
      <c r="AA26" s="1"/>
      <c r="AB26" s="1"/>
    </row>
    <row r="27" spans="1:28" ht="14.2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4.25" customHeight="1" x14ac:dyDescent="0.35">
      <c r="A28" s="1"/>
      <c r="B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4.2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4.2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4.2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2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2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2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2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2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2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2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2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2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2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2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2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2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2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2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2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2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2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2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2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2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2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2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2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2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2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2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2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2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2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2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2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2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2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2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2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2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2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2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2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2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2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2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2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2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2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2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2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2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2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2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2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2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2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2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2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2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2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2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2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2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2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2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2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2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2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2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2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2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2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2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2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2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2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2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2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2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2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2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2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2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2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2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2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2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2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2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2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2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2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2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2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2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2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2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2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2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2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2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2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2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2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2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2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2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2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2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2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2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2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2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2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2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2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2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2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2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2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2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2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2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2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2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2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2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2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2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2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2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2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2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2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2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2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2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2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2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2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2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2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2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2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2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2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2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2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2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2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2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2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2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2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2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2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2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2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2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2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2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2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2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2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2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2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2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2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2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2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2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2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2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2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2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2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2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2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2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2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2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2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2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2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2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2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2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2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2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2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2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2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2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2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2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2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2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2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2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2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2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2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2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2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2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2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2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2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2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2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2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2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2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2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2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2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2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2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2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2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2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2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2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2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2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2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2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2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2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2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2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2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2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2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2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2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2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2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2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2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2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2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2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2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2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2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2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2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2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2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2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2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2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2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2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2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2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2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2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2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2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2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2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2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2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2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2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2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2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2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2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2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2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2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2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2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2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2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2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2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2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2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2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2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2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2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2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2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2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2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2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2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2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2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2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2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2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2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2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2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2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2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2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2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2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2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2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2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2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2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2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2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2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2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2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2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2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2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2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2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2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2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2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2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2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2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2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2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2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2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2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2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2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2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2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2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2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2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2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2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2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2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2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2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2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2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2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2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2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2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2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2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2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2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2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2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2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2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2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2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2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2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2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2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2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2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2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2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2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2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2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2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2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2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2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2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2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2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2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2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2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2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2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2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2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2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2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2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2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2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2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2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2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2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2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2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2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2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2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2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2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2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2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2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2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2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2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2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2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2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2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2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2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2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2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2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2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2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2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2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2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2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2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2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2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2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2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2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2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2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2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2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2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2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2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2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2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2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2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2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2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2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2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2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2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2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2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2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2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2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2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2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2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2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2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2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2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2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2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2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2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2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2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2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2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2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2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2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2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2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2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2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2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2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2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2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2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2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2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2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2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2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2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2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2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2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2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2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2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2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2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2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2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2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2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2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2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2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2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2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2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2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2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2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2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2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2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2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2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2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2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2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2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2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2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2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2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2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2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2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2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2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2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2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2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2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2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2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2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2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2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2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2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2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2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2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2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2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2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2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2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2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2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2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2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2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2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2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2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2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2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2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2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2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2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2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2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2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2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2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2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2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2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2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2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2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2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2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2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2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2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2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2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2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2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2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2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2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2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2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2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2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2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2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2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2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2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2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2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2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2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2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2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2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2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2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2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2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2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2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2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2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2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2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2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2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2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2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2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2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2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2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2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2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2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2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2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2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2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2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2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2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2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2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2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2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2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2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2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2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2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2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2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2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2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2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2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2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2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2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2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2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2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2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2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2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2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2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2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2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2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2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2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2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2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2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2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2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2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2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2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2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2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2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2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2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2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2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2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2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2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2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2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2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2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2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2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2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2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2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2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2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2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2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2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2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2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2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2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2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2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2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2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2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2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2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2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2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2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2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2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2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2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2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2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2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2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2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2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2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2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2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2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2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2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2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2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2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2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2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2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2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2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2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2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2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2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2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2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2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2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2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2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2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2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2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2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2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2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2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2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2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2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2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2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2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2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2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2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2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2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2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2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2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2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2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2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2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2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2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2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2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2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2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2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2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2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2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2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2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2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2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2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2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2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2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2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2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2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2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2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2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2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2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2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2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2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2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2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2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2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2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2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2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2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2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2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2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2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2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2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2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2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2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2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2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2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2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2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2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2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2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2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2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2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2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2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2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2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2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2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2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2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2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2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2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2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2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2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2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2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2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2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2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2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2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2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2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2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2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2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2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2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2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2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2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2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2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2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2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2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2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2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2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2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2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2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2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2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2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2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2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2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2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2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2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2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2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2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2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2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2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2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2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2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2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2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2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2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2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2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2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2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2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2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2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2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2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2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2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2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2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2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2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2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2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2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2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2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2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2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2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2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2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2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2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2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2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2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2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2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2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2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2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2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2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2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2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2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2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2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2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2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2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2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2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2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2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2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2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2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sheetData>
  <mergeCells count="2">
    <mergeCell ref="D8:F8"/>
    <mergeCell ref="G8:O8"/>
  </mergeCells>
  <conditionalFormatting sqref="I10:L24">
    <cfRule type="cellIs" dxfId="11" priority="1" operator="greaterThan">
      <formula>0</formula>
    </cfRule>
  </conditionalFormatting>
  <conditionalFormatting sqref="I10:M24">
    <cfRule type="cellIs" dxfId="10" priority="2"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14"/>
  <sheetViews>
    <sheetView showGridLines="0" workbookViewId="0">
      <selection activeCell="G17" sqref="G17"/>
    </sheetView>
  </sheetViews>
  <sheetFormatPr defaultColWidth="14.453125" defaultRowHeight="15" customHeight="1" x14ac:dyDescent="0.35"/>
  <cols>
    <col min="1" max="1" width="3.54296875" customWidth="1"/>
    <col min="2" max="2" width="34.453125" customWidth="1"/>
    <col min="3" max="3" width="17.7265625" customWidth="1"/>
    <col min="4" max="4" width="12.54296875" customWidth="1"/>
    <col min="5" max="5" width="10.453125" customWidth="1"/>
    <col min="6" max="6" width="10.81640625" customWidth="1"/>
    <col min="7" max="7" width="10.54296875" customWidth="1"/>
    <col min="8" max="8" width="9.54296875" customWidth="1"/>
    <col min="9" max="9" width="14" customWidth="1"/>
    <col min="10" max="10" width="15.81640625" customWidth="1"/>
    <col min="11" max="13" width="11.08984375" customWidth="1"/>
    <col min="14" max="14" width="17.453125" customWidth="1"/>
    <col min="15" max="15" width="15.81640625" customWidth="1"/>
    <col min="16" max="28" width="8.7265625" customWidth="1"/>
  </cols>
  <sheetData>
    <row r="1" spans="1:28" ht="14.25" customHeight="1" x14ac:dyDescent="0.35">
      <c r="A1" s="1"/>
      <c r="B1" s="1"/>
      <c r="C1" s="1"/>
      <c r="D1" s="1"/>
      <c r="E1" s="1"/>
      <c r="F1" s="1"/>
      <c r="G1" s="1"/>
      <c r="H1" s="1"/>
      <c r="I1" s="1"/>
      <c r="J1" s="1"/>
      <c r="K1" s="1"/>
      <c r="L1" s="1"/>
      <c r="M1" s="1"/>
      <c r="N1" s="1"/>
      <c r="O1" s="1"/>
      <c r="P1" s="1"/>
      <c r="Q1" s="1"/>
      <c r="R1" s="1"/>
      <c r="S1" s="1"/>
      <c r="T1" s="1"/>
      <c r="U1" s="1"/>
      <c r="V1" s="1"/>
      <c r="W1" s="1"/>
      <c r="X1" s="1"/>
      <c r="Y1" s="1"/>
      <c r="Z1" s="1"/>
      <c r="AA1" s="1"/>
      <c r="AB1" s="1"/>
    </row>
    <row r="2" spans="1:28" ht="14.25" customHeight="1" x14ac:dyDescent="0.35">
      <c r="A2" s="1"/>
      <c r="B2" s="2" t="s">
        <v>96</v>
      </c>
      <c r="C2" s="3"/>
      <c r="D2" s="3"/>
      <c r="E2" s="3"/>
      <c r="F2" s="3"/>
      <c r="G2" s="3"/>
      <c r="H2" s="3"/>
      <c r="I2" s="3"/>
      <c r="J2" s="3"/>
      <c r="K2" s="3"/>
      <c r="L2" s="3"/>
      <c r="M2" s="3"/>
      <c r="N2" s="3"/>
      <c r="O2" s="3"/>
      <c r="P2" s="3"/>
      <c r="Q2" s="3"/>
      <c r="R2" s="3"/>
      <c r="S2" s="3"/>
      <c r="T2" s="3"/>
      <c r="V2" s="1"/>
      <c r="W2" s="1"/>
      <c r="X2" s="1"/>
      <c r="Y2" s="1"/>
      <c r="Z2" s="1"/>
      <c r="AA2" s="1"/>
      <c r="AB2" s="1"/>
    </row>
    <row r="3" spans="1:28" ht="14.25" customHeight="1" x14ac:dyDescent="0.35">
      <c r="A3" s="1"/>
      <c r="B3" s="4" t="s">
        <v>1</v>
      </c>
      <c r="C3" s="3"/>
      <c r="D3" s="3"/>
      <c r="E3" s="3"/>
      <c r="F3" s="3"/>
      <c r="G3" s="3"/>
      <c r="H3" s="3"/>
      <c r="I3" s="3"/>
      <c r="J3" s="3"/>
      <c r="K3" s="3"/>
      <c r="L3" s="3"/>
      <c r="M3" s="3"/>
      <c r="N3" s="3"/>
      <c r="O3" s="3"/>
      <c r="P3" s="3"/>
      <c r="Q3" s="3"/>
      <c r="R3" s="3"/>
      <c r="S3" s="3"/>
      <c r="T3" s="3"/>
      <c r="V3" s="1"/>
      <c r="W3" s="1"/>
      <c r="X3" s="1"/>
      <c r="Y3" s="1"/>
      <c r="Z3" s="1"/>
      <c r="AA3" s="1"/>
      <c r="AB3" s="1"/>
    </row>
    <row r="4" spans="1:28" ht="14.25" customHeight="1" x14ac:dyDescent="0.35">
      <c r="A4" s="1"/>
      <c r="B4" s="5" t="s">
        <v>2</v>
      </c>
      <c r="C4" s="3"/>
      <c r="D4" s="3"/>
      <c r="E4" s="3"/>
      <c r="F4" s="3"/>
      <c r="G4" s="3"/>
      <c r="H4" s="3"/>
      <c r="I4" s="3"/>
      <c r="J4" s="3"/>
      <c r="K4" s="3"/>
      <c r="L4" s="3"/>
      <c r="M4" s="3"/>
      <c r="N4" s="3"/>
      <c r="O4" s="3"/>
      <c r="P4" s="3"/>
      <c r="Q4" s="3"/>
      <c r="R4" s="3"/>
      <c r="S4" s="3"/>
      <c r="T4" s="3"/>
      <c r="V4" s="1"/>
      <c r="W4" s="1"/>
      <c r="X4" s="1"/>
      <c r="Y4" s="1"/>
      <c r="Z4" s="1"/>
      <c r="AA4" s="1"/>
      <c r="AB4" s="1"/>
    </row>
    <row r="5" spans="1:28" ht="14.25" customHeight="1" x14ac:dyDescent="0.35">
      <c r="A5" s="1"/>
      <c r="B5" s="1"/>
      <c r="C5" s="6"/>
      <c r="D5" s="6"/>
      <c r="E5" s="7"/>
      <c r="F5" s="1"/>
      <c r="G5" s="1"/>
      <c r="H5" s="1"/>
      <c r="I5" s="1"/>
      <c r="J5" s="1"/>
      <c r="K5" s="1"/>
      <c r="L5" s="1"/>
      <c r="M5" s="1"/>
      <c r="N5" s="1"/>
      <c r="O5" s="1"/>
      <c r="P5" s="1"/>
      <c r="Q5" s="1"/>
      <c r="R5" s="1"/>
      <c r="S5" s="1"/>
      <c r="T5" s="1"/>
      <c r="V5" s="1"/>
      <c r="W5" s="1"/>
      <c r="X5" s="1"/>
      <c r="Y5" s="1"/>
      <c r="Z5" s="1"/>
      <c r="AA5" s="1"/>
      <c r="AB5" s="1"/>
    </row>
    <row r="6" spans="1:28" ht="14.25" customHeight="1" x14ac:dyDescent="0.35">
      <c r="A6" s="1"/>
      <c r="B6" s="8" t="s">
        <v>3</v>
      </c>
      <c r="C6" s="9">
        <f>SUM(H10:H19)</f>
        <v>11471.505944999999</v>
      </c>
      <c r="D6" s="6"/>
      <c r="E6" s="7"/>
      <c r="F6" s="1"/>
      <c r="G6" s="1"/>
      <c r="H6" s="1"/>
      <c r="I6" s="1"/>
      <c r="J6" s="1"/>
      <c r="K6" s="1"/>
      <c r="L6" s="1"/>
      <c r="M6" s="1"/>
      <c r="N6" s="1"/>
      <c r="O6" s="1"/>
      <c r="P6" s="1"/>
      <c r="Q6" s="1"/>
      <c r="R6" s="25">
        <v>44927</v>
      </c>
      <c r="S6" s="1"/>
      <c r="T6" s="1"/>
      <c r="V6" s="1"/>
      <c r="W6" s="1"/>
      <c r="X6" s="1"/>
      <c r="Y6" s="1"/>
      <c r="Z6" s="1"/>
      <c r="AA6" s="1"/>
      <c r="AB6" s="1"/>
    </row>
    <row r="7" spans="1:28" ht="14.25" customHeight="1" x14ac:dyDescent="0.35">
      <c r="A7" s="1"/>
      <c r="B7" s="1" t="s">
        <v>4</v>
      </c>
      <c r="C7" s="1">
        <f>COUNT(D10:D24)</f>
        <v>10</v>
      </c>
      <c r="D7" s="1"/>
      <c r="E7" s="1"/>
      <c r="F7" s="1"/>
      <c r="G7" s="1"/>
      <c r="H7" s="1"/>
      <c r="I7" s="1"/>
      <c r="J7" s="1"/>
      <c r="K7" s="1"/>
      <c r="L7" s="1"/>
      <c r="M7" s="1"/>
      <c r="N7" s="1"/>
      <c r="O7" s="1"/>
      <c r="P7" s="1"/>
      <c r="Q7" s="1"/>
      <c r="R7" s="1"/>
      <c r="S7" s="1"/>
      <c r="T7" s="1"/>
      <c r="U7" s="1"/>
      <c r="V7" s="1"/>
      <c r="W7" s="1"/>
      <c r="X7" s="1"/>
      <c r="Y7" s="1"/>
      <c r="Z7" s="1"/>
      <c r="AA7" s="1"/>
      <c r="AB7" s="1"/>
    </row>
    <row r="8" spans="1:28" ht="14.25" customHeight="1" x14ac:dyDescent="0.35">
      <c r="A8" s="1"/>
      <c r="B8" s="1"/>
      <c r="C8" s="1"/>
      <c r="D8" s="46" t="s">
        <v>5</v>
      </c>
      <c r="E8" s="47"/>
      <c r="F8" s="48"/>
      <c r="G8" s="46" t="s">
        <v>6</v>
      </c>
      <c r="H8" s="47"/>
      <c r="I8" s="47"/>
      <c r="J8" s="47"/>
      <c r="K8" s="47"/>
      <c r="L8" s="47"/>
      <c r="M8" s="47"/>
      <c r="N8" s="47"/>
      <c r="O8" s="47"/>
      <c r="P8" s="1"/>
      <c r="Q8" s="1"/>
      <c r="R8" s="1"/>
      <c r="S8" s="1"/>
      <c r="T8" s="1"/>
      <c r="U8" s="1"/>
      <c r="V8" s="1"/>
      <c r="W8" s="1"/>
      <c r="X8" s="1"/>
      <c r="Y8" s="1"/>
      <c r="Z8" s="1"/>
      <c r="AA8" s="1"/>
      <c r="AB8" s="1"/>
    </row>
    <row r="9" spans="1:28" ht="14.25" customHeight="1" x14ac:dyDescent="0.35">
      <c r="A9" s="1"/>
      <c r="B9" s="10" t="s">
        <v>7</v>
      </c>
      <c r="C9" s="10" t="s">
        <v>8</v>
      </c>
      <c r="D9" s="10" t="s">
        <v>9</v>
      </c>
      <c r="E9" s="10" t="s">
        <v>10</v>
      </c>
      <c r="F9" s="11" t="s">
        <v>11</v>
      </c>
      <c r="G9" s="10" t="s">
        <v>12</v>
      </c>
      <c r="H9" s="10" t="s">
        <v>13</v>
      </c>
      <c r="I9" s="10" t="s">
        <v>14</v>
      </c>
      <c r="J9" s="10" t="s">
        <v>15</v>
      </c>
      <c r="K9" s="10" t="s">
        <v>92</v>
      </c>
      <c r="L9" s="10" t="s">
        <v>75</v>
      </c>
      <c r="M9" s="10" t="s">
        <v>16</v>
      </c>
      <c r="N9" s="10" t="s">
        <v>17</v>
      </c>
      <c r="O9" s="10"/>
      <c r="P9" s="1"/>
      <c r="Q9" s="1"/>
      <c r="R9" s="1"/>
      <c r="S9" s="1"/>
      <c r="T9" s="1"/>
      <c r="U9" s="1"/>
      <c r="V9" s="1"/>
      <c r="W9" s="1"/>
      <c r="X9" s="1"/>
      <c r="Y9" s="1"/>
      <c r="Z9" s="1"/>
      <c r="AA9" s="1"/>
      <c r="AB9" s="1"/>
    </row>
    <row r="10" spans="1:28" ht="14.25" customHeight="1" x14ac:dyDescent="0.35">
      <c r="A10" s="1"/>
      <c r="B10" s="1" t="e" vm="3">
        <v>#VALUE!</v>
      </c>
      <c r="C10" s="1" t="s">
        <v>20</v>
      </c>
      <c r="D10" s="21">
        <v>7.44</v>
      </c>
      <c r="E10" s="15">
        <v>66.708330000000004</v>
      </c>
      <c r="F10" s="34">
        <v>496.31</v>
      </c>
      <c r="G10" s="15" cm="1">
        <f t="array" ref="G10">_FV(B10,"Price")</f>
        <v>57.06</v>
      </c>
      <c r="H10" s="16">
        <f t="shared" ref="H10:H19" si="0">G10*D10</f>
        <v>424.52640000000002</v>
      </c>
      <c r="I10" s="17">
        <f t="shared" ref="I10:I19" si="1">G10/E10-1</f>
        <v>-0.14463456063133351</v>
      </c>
      <c r="J10" s="17">
        <f ca="1">IFERROR(__xludf.DUMMYFUNCTION("(G10-INDEX(GOOGLEFINANCE(C10,""price"",TODAY()-7),2,2))/(INDEX(GOOGLEFINANCE(C10,""price"",TODAY()-7),2,2))"),0.0332581736189403)</f>
        <v>3.3258173618940297E-2</v>
      </c>
      <c r="K10" s="7">
        <f ca="1">IFERROR(__xludf.DUMMYFUNCTION("IFERROR((G10-INDEX(GOOGLEFINANCE(C10,""price"",TODAY()-365),2,2))/(INDEX(GOOGLEFINANCE(C10,""price"",TODAY()-365),2,2)),""Not Available"")"),-0.287878787878787)</f>
        <v>-0.28787878787878701</v>
      </c>
      <c r="L10" s="7">
        <f ca="1">IFERROR(__xludf.DUMMYFUNCTION("IFERROR((G10-INDEX(GOOGLEFINANCE(C10,""price"",$R$6),2,2))/(INDEX(GOOGLEFINANCE(C10,""price"",$R$6),2,2)),""Not Available"")"),-0.386614612381483)</f>
        <v>-0.38661461238148298</v>
      </c>
      <c r="M10" s="18">
        <f t="shared" ref="M10:M19" si="2">H10-F10</f>
        <v>-71.783599999999979</v>
      </c>
      <c r="N10" s="19">
        <f ca="1">IFERROR(__xludf.DUMMYFUNCTION("IFERROR(GOOGLEFINANCE(C10,""pe""),""Not Available"")"),7.65)</f>
        <v>7.65</v>
      </c>
      <c r="O10" s="7"/>
      <c r="P10" s="1"/>
      <c r="Q10" s="1"/>
      <c r="R10" s="1"/>
      <c r="S10" s="1"/>
      <c r="T10" s="1"/>
      <c r="U10" s="1"/>
      <c r="V10" s="1"/>
      <c r="W10" s="1"/>
      <c r="X10" s="1"/>
      <c r="Y10" s="1"/>
      <c r="Z10" s="1"/>
      <c r="AA10" s="1"/>
      <c r="AB10" s="1"/>
    </row>
    <row r="11" spans="1:28" ht="14.25" customHeight="1" x14ac:dyDescent="0.35">
      <c r="A11" s="1"/>
      <c r="B11" s="1" t="e" vm="5">
        <v>#VALUE!</v>
      </c>
      <c r="C11" s="1" t="s">
        <v>22</v>
      </c>
      <c r="D11" s="21">
        <v>8.891</v>
      </c>
      <c r="E11" s="15">
        <v>70.406030000000001</v>
      </c>
      <c r="F11" s="34">
        <v>625.98</v>
      </c>
      <c r="G11" s="15" cm="1">
        <f t="array" ref="G11">_FV(B11,"Price")</f>
        <v>56.005000000000003</v>
      </c>
      <c r="H11" s="16">
        <f t="shared" si="0"/>
        <v>497.94045500000004</v>
      </c>
      <c r="I11" s="17">
        <f t="shared" si="1"/>
        <v>-0.20454256545923688</v>
      </c>
      <c r="J11" s="17">
        <f ca="1">IFERROR(__xludf.DUMMYFUNCTION("(G11-INDEX(GOOGLEFINANCE(C11,""price"",TODAY()-7),2,2))/(INDEX(GOOGLEFINANCE(C11,""price"",TODAY()-7),2,2))"),-0.0349638305201515)</f>
        <v>-3.49638305201515E-2</v>
      </c>
      <c r="K11" s="7">
        <f ca="1">IFERROR(__xludf.DUMMYFUNCTION("IFERROR((G11-INDEX(GOOGLEFINANCE(C11,""price"",TODAY()-365),2,2))/(INDEX(GOOGLEFINANCE(C11,""price"",TODAY()-365),2,2)),""Not Available"")"),-0.0772397891963109)</f>
        <v>-7.7239789196310901E-2</v>
      </c>
      <c r="L11" s="7">
        <f ca="1">IFERROR(__xludf.DUMMYFUNCTION("IFERROR((G11-INDEX(GOOGLEFINANCE(C11,""price"",$R$6),2,2))/(INDEX(GOOGLEFINANCE(C11,""price"",$R$6),2,2)),""Not Available"")"),-0.0874592833876221)</f>
        <v>-8.74592833876221E-2</v>
      </c>
      <c r="M11" s="18">
        <f t="shared" si="2"/>
        <v>-128.03954499999998</v>
      </c>
      <c r="N11" s="19">
        <f ca="1">IFERROR(__xludf.DUMMYFUNCTION("IFERROR(GOOGLEFINANCE(C11,""pe""),""Not Available"")"),19.23)</f>
        <v>19.23</v>
      </c>
      <c r="O11" s="1"/>
      <c r="P11" s="1"/>
      <c r="Q11" s="1"/>
      <c r="R11" s="1"/>
      <c r="S11" s="1"/>
      <c r="T11" s="1"/>
      <c r="U11" s="1"/>
      <c r="V11" s="1"/>
      <c r="W11" s="1"/>
      <c r="X11" s="1"/>
      <c r="Y11" s="1"/>
      <c r="Z11" s="1"/>
      <c r="AA11" s="1"/>
      <c r="AB11" s="1"/>
    </row>
    <row r="12" spans="1:28" ht="14.25" customHeight="1" x14ac:dyDescent="0.35">
      <c r="A12" s="1"/>
      <c r="B12" s="1" t="e" vm="8">
        <v>#VALUE!</v>
      </c>
      <c r="C12" s="1" t="s">
        <v>25</v>
      </c>
      <c r="D12" s="21">
        <v>8.14</v>
      </c>
      <c r="E12" s="15">
        <v>42.271500000000003</v>
      </c>
      <c r="F12" s="34">
        <v>344.09</v>
      </c>
      <c r="G12" s="15" cm="1">
        <f t="array" ref="G12">_FV(B12,"Price")</f>
        <v>168.37</v>
      </c>
      <c r="H12" s="16">
        <f t="shared" si="0"/>
        <v>1370.5318000000002</v>
      </c>
      <c r="I12" s="17">
        <f t="shared" si="1"/>
        <v>2.9830618738393477</v>
      </c>
      <c r="J12" s="17">
        <f ca="1">IFERROR(__xludf.DUMMYFUNCTION("(G12-INDEX(GOOGLEFINANCE(C12,""price"",TODAY()-7),2,2))/(INDEX(GOOGLEFINANCE(C12,""price"",TODAY()-7),2,2))"),-0.046423092221149)</f>
        <v>-4.6423092221149001E-2</v>
      </c>
      <c r="K12" s="7">
        <f ca="1">IFERROR(__xludf.DUMMYFUNCTION("IFERROR((G12-INDEX(GOOGLEFINANCE(C12,""price"",TODAY()-365),2,2))/(INDEX(GOOGLEFINANCE(C12,""price"",TODAY()-365),2,2)),""Not Available"")"),1.17665369649805)</f>
        <v>1.1766536964980501</v>
      </c>
      <c r="L12" s="7">
        <f ca="1">IFERROR(__xludf.DUMMYFUNCTION("IFERROR((G12-INDEX(GOOGLEFINANCE(C12,""price"",$R$6),2,2))/(INDEX(GOOGLEFINANCE(C12,""price"",$R$6),2,2)),""Not Available"")"),1.04883408619216)</f>
        <v>1.0488340861921599</v>
      </c>
      <c r="M12" s="18">
        <f t="shared" si="2"/>
        <v>1026.4418000000003</v>
      </c>
      <c r="N12" s="19">
        <f ca="1">IFERROR(__xludf.DUMMYFUNCTION("IFERROR(GOOGLEFINANCE(C12,""pe""),""Not Available"")"),33.53)</f>
        <v>33.53</v>
      </c>
      <c r="O12" s="1"/>
      <c r="P12" s="1"/>
      <c r="Q12" s="1"/>
      <c r="R12" s="1"/>
      <c r="S12" s="1"/>
      <c r="T12" s="1"/>
      <c r="U12" s="1"/>
      <c r="V12" s="1"/>
      <c r="W12" s="1"/>
      <c r="X12" s="1"/>
      <c r="Y12" s="1"/>
      <c r="Z12" s="1"/>
      <c r="AA12" s="1"/>
      <c r="AB12" s="1"/>
    </row>
    <row r="13" spans="1:28" ht="14.25" customHeight="1" x14ac:dyDescent="0.35">
      <c r="A13" s="1"/>
      <c r="B13" s="1" t="e" vm="17">
        <v>#VALUE!</v>
      </c>
      <c r="C13" s="1" t="s">
        <v>34</v>
      </c>
      <c r="D13" s="21">
        <v>6</v>
      </c>
      <c r="E13" s="15">
        <v>177.84</v>
      </c>
      <c r="F13" s="33">
        <v>1067.04</v>
      </c>
      <c r="G13" s="15" cm="1">
        <f t="array" ref="G13">_FV(B13,"Price")</f>
        <v>121</v>
      </c>
      <c r="H13" s="16">
        <f t="shared" si="0"/>
        <v>726</v>
      </c>
      <c r="I13" s="17">
        <f t="shared" si="1"/>
        <v>-0.31961313540260905</v>
      </c>
      <c r="J13" s="17">
        <f ca="1">IFERROR(__xludf.DUMMYFUNCTION("(G13-INDEX(GOOGLEFINANCE(C13,""price"",TODAY()-7),2,2))/(INDEX(GOOGLEFINANCE(C13,""price"",TODAY()-7),2,2))"),0.043720254900379)</f>
        <v>4.3720254900379001E-2</v>
      </c>
      <c r="K13" s="7">
        <f ca="1">IFERROR(__xludf.DUMMYFUNCTION("IFERROR((G13-INDEX(GOOGLEFINANCE(C13,""price"",TODAY()-365),2,2))/(INDEX(GOOGLEFINANCE(C13,""price"",TODAY()-365),2,2)),""Not Available"")"),-0.388313714366756)</f>
        <v>-0.38831371436675599</v>
      </c>
      <c r="L13" s="7">
        <f ca="1">IFERROR(__xludf.DUMMYFUNCTION("IFERROR((G13-INDEX(GOOGLEFINANCE(C13,""price"",$R$6),2,2))/(INDEX(GOOGLEFINANCE(C13,""price"",$R$6),2,2)),""Not Available"")"),-0.489202952903557)</f>
        <v>-0.48920295290355698</v>
      </c>
      <c r="M13" s="18">
        <f t="shared" si="2"/>
        <v>-341.03999999999996</v>
      </c>
      <c r="N13" s="19">
        <f ca="1">IFERROR(__xludf.DUMMYFUNCTION("IFERROR(GOOGLEFINANCE(C13,""pe""),""Not Available"")"),42.18)</f>
        <v>42.18</v>
      </c>
      <c r="O13" s="1"/>
      <c r="P13" s="1"/>
      <c r="Q13" s="1"/>
      <c r="R13" s="1"/>
      <c r="S13" s="1"/>
      <c r="T13" s="1"/>
      <c r="U13" s="1"/>
      <c r="V13" s="1"/>
      <c r="W13" s="1"/>
      <c r="X13" s="1"/>
      <c r="Y13" s="1"/>
      <c r="Z13" s="1"/>
      <c r="AA13" s="1"/>
      <c r="AB13" s="1"/>
    </row>
    <row r="14" spans="1:28" ht="14.25" customHeight="1" x14ac:dyDescent="0.35">
      <c r="A14" s="1"/>
      <c r="B14" s="1" t="e" vm="18">
        <v>#VALUE!</v>
      </c>
      <c r="C14" s="1" t="s">
        <v>35</v>
      </c>
      <c r="D14" s="21">
        <v>77.043999999999997</v>
      </c>
      <c r="E14" s="15">
        <v>18.862729999999999</v>
      </c>
      <c r="F14" s="33">
        <v>1453.26</v>
      </c>
      <c r="G14" s="15" cm="1">
        <f t="array" ref="G14">_FV(B14,"Price")</f>
        <v>28.465</v>
      </c>
      <c r="H14" s="16">
        <f t="shared" si="0"/>
        <v>2193.05746</v>
      </c>
      <c r="I14" s="17">
        <f t="shared" si="1"/>
        <v>0.50906045943508715</v>
      </c>
      <c r="J14" s="17">
        <f ca="1">IFERROR(__xludf.DUMMYFUNCTION("(G14-INDEX(GOOGLEFINANCE(C14,""price"",TODAY()-7),2,2))/(INDEX(GOOGLEFINANCE(C14,""price"",TODAY()-7),2,2))"),0.0159132007233273)</f>
        <v>1.59132007233273E-2</v>
      </c>
      <c r="K14" s="7">
        <f ca="1">IFERROR(__xludf.DUMMYFUNCTION("IFERROR((G14-INDEX(GOOGLEFINANCE(C14,""price"",TODAY()-365),2,2))/(INDEX(GOOGLEFINANCE(C14,""price"",TODAY()-365),2,2)),""Not Available"")"),0.105905511811023)</f>
        <v>0.10590551181102301</v>
      </c>
      <c r="L14" s="7">
        <f ca="1">IFERROR(__xludf.DUMMYFUNCTION("IFERROR((G14-INDEX(GOOGLEFINANCE(C14,""price"",$R$6),2,2))/(INDEX(GOOGLEFINANCE(C14,""price"",$R$6),2,2)),""Not Available"")"),0.159306644655385)</f>
        <v>0.15930664465538499</v>
      </c>
      <c r="M14" s="18">
        <f t="shared" si="2"/>
        <v>739.79746</v>
      </c>
      <c r="N14" s="19">
        <f ca="1">IFERROR(__xludf.DUMMYFUNCTION("IFERROR(GOOGLEFINANCE(C14,""pe""),""Not Available"")"),11.15)</f>
        <v>11.15</v>
      </c>
      <c r="O14" s="1"/>
      <c r="P14" s="1"/>
      <c r="Q14" s="1"/>
      <c r="R14" s="1"/>
      <c r="S14" s="1"/>
      <c r="T14" s="1"/>
      <c r="U14" s="1"/>
      <c r="V14" s="1"/>
      <c r="W14" s="1"/>
      <c r="X14" s="1"/>
      <c r="Y14" s="1"/>
      <c r="Z14" s="1"/>
      <c r="AA14" s="1"/>
      <c r="AB14" s="1"/>
    </row>
    <row r="15" spans="1:28" ht="14.25" customHeight="1" x14ac:dyDescent="0.35">
      <c r="A15" s="1"/>
      <c r="B15" s="1" t="e" vm="19">
        <v>#VALUE!</v>
      </c>
      <c r="C15" s="1" t="s">
        <v>36</v>
      </c>
      <c r="D15" s="21">
        <v>28.106999999999999</v>
      </c>
      <c r="E15" s="15">
        <v>33.695520000000002</v>
      </c>
      <c r="F15" s="34">
        <v>947.08</v>
      </c>
      <c r="G15" s="15" cm="1">
        <f t="array" ref="G15">_FV(B15,"Price")</f>
        <v>37.01</v>
      </c>
      <c r="H15" s="16">
        <f t="shared" si="0"/>
        <v>1040.2400699999998</v>
      </c>
      <c r="I15" s="17">
        <f t="shared" si="1"/>
        <v>9.8365598750219441E-2</v>
      </c>
      <c r="J15" s="17">
        <f ca="1">IFERROR(__xludf.DUMMYFUNCTION("(G15-INDEX(GOOGLEFINANCE(C15,""price"",TODAY()-7),2,2))/(INDEX(GOOGLEFINANCE(C15,""price"",TODAY()-7),2,2))"),0.0234806629834252)</f>
        <v>2.3480662983425198E-2</v>
      </c>
      <c r="K15" s="7">
        <f ca="1">IFERROR(__xludf.DUMMYFUNCTION("IFERROR((G15-INDEX(GOOGLEFINANCE(C15,""price"",TODAY()-365),2,2))/(INDEX(GOOGLEFINANCE(C15,""price"",TODAY()-365),2,2)),""Not Available"")"),-0.10485624546992)</f>
        <v>-0.10485624546992001</v>
      </c>
      <c r="L15" s="7">
        <f ca="1">IFERROR(__xludf.DUMMYFUNCTION("IFERROR((G15-INDEX(GOOGLEFINANCE(C15,""price"",$R$6),2,2))/(INDEX(GOOGLEFINANCE(C15,""price"",$R$6),2,2)),""Not Available"")"),-0.14156626506024)</f>
        <v>-0.14156626506024</v>
      </c>
      <c r="M15" s="18">
        <f t="shared" si="2"/>
        <v>93.160069999999791</v>
      </c>
      <c r="N15" s="19">
        <f ca="1">IFERROR(__xludf.DUMMYFUNCTION("IFERROR(GOOGLEFINANCE(C15,""pe""),""Not Available"")"),15.86)</f>
        <v>15.86</v>
      </c>
      <c r="O15" s="1"/>
      <c r="P15" s="1"/>
      <c r="Q15" s="1"/>
      <c r="R15" s="1"/>
      <c r="S15" s="1"/>
      <c r="T15" s="1"/>
      <c r="U15" s="1"/>
      <c r="V15" s="1"/>
      <c r="W15" s="1"/>
      <c r="X15" s="1"/>
      <c r="Y15" s="1"/>
      <c r="Z15" s="1"/>
      <c r="AA15" s="1"/>
      <c r="AB15" s="1"/>
    </row>
    <row r="16" spans="1:28" ht="14.25" customHeight="1" x14ac:dyDescent="0.35">
      <c r="A16" s="1"/>
      <c r="B16" s="1" t="e" vm="20">
        <v>#VALUE!</v>
      </c>
      <c r="C16" s="1" t="s">
        <v>37</v>
      </c>
      <c r="D16" s="21">
        <v>63.04</v>
      </c>
      <c r="E16" s="15">
        <v>18.152920000000002</v>
      </c>
      <c r="F16" s="33">
        <v>1144.3599999999999</v>
      </c>
      <c r="G16" s="15" cm="1">
        <f t="array" ref="G16">_FV(B16,"Price")</f>
        <v>40.36</v>
      </c>
      <c r="H16" s="16">
        <f t="shared" si="0"/>
        <v>2544.2943999999998</v>
      </c>
      <c r="I16" s="17">
        <f t="shared" si="1"/>
        <v>1.2233337666887749</v>
      </c>
      <c r="J16" s="17">
        <f ca="1">IFERROR(__xludf.DUMMYFUNCTION("(G16-INDEX(GOOGLEFINANCE(C16,""price"",TODAY()-7),2,2))/(INDEX(GOOGLEFINANCE(C16,""price"",TODAY()-7),2,2))"),0.0548016701461378)</f>
        <v>5.48016701461378E-2</v>
      </c>
      <c r="K16" s="7">
        <f ca="1">IFERROR(__xludf.DUMMYFUNCTION("IFERROR((G16-INDEX(GOOGLEFINANCE(C16,""price"",TODAY()-365),2,2))/(INDEX(GOOGLEFINANCE(C16,""price"",TODAY()-365),2,2)),""Not Available"")"),0.0747141717628291)</f>
        <v>7.4714171762829101E-2</v>
      </c>
      <c r="L16" s="7">
        <f ca="1">IFERROR(__xludf.DUMMYFUNCTION("IFERROR((G16-INDEX(GOOGLEFINANCE(C16,""price"",$R$6),2,2))/(INDEX(GOOGLEFINANCE(C16,""price"",$R$6),2,2)),""Not Available"")"),0.065928270042194)</f>
        <v>6.5928270042193995E-2</v>
      </c>
      <c r="M16" s="18">
        <f t="shared" si="2"/>
        <v>1399.9343999999999</v>
      </c>
      <c r="N16" s="19">
        <f ca="1">IFERROR(__xludf.DUMMYFUNCTION("IFERROR(GOOGLEFINANCE(C16,""pe""),""Not Available"")"),31.65)</f>
        <v>31.65</v>
      </c>
      <c r="O16" s="1"/>
      <c r="P16" s="1"/>
      <c r="Q16" s="1"/>
      <c r="R16" s="1"/>
      <c r="S16" s="1"/>
      <c r="T16" s="1"/>
      <c r="U16" s="1"/>
      <c r="V16" s="1"/>
      <c r="W16" s="1"/>
      <c r="X16" s="1"/>
      <c r="Y16" s="1"/>
      <c r="Z16" s="1"/>
      <c r="AA16" s="1"/>
      <c r="AB16" s="1"/>
    </row>
    <row r="17" spans="1:28" ht="14.25" customHeight="1" x14ac:dyDescent="0.35">
      <c r="A17" s="1"/>
      <c r="B17" s="1" t="e" vm="41">
        <v>#VALUE!</v>
      </c>
      <c r="C17" s="1" t="s">
        <v>58</v>
      </c>
      <c r="D17" s="21">
        <v>28.911000000000001</v>
      </c>
      <c r="E17" s="15">
        <v>31.160799999999998</v>
      </c>
      <c r="F17" s="34">
        <v>900.89</v>
      </c>
      <c r="G17" s="15" cm="1">
        <f t="array" ref="G17">_FV(B17,"Price")</f>
        <v>52.98</v>
      </c>
      <c r="H17" s="16">
        <f t="shared" si="0"/>
        <v>1531.70478</v>
      </c>
      <c r="I17" s="17">
        <f t="shared" si="1"/>
        <v>0.70021308823906958</v>
      </c>
      <c r="J17" s="17">
        <f ca="1">IFERROR(__xludf.DUMMYFUNCTION("(G17-INDEX(GOOGLEFINANCE(C17,""price"",TODAY()-7),2,2))/(INDEX(GOOGLEFINANCE(C17,""price"",TODAY()-7),2,2))"),0.0416012558869701)</f>
        <v>4.1601255886970098E-2</v>
      </c>
      <c r="K17" s="7">
        <f ca="1">IFERROR(__xludf.DUMMYFUNCTION("IFERROR((G17-INDEX(GOOGLEFINANCE(C17,""price"",TODAY()-365),2,2))/(INDEX(GOOGLEFINANCE(C17,""price"",TODAY()-365),2,2)),""Not Available"")"),-0.283380585932226)</f>
        <v>-0.28338058593222598</v>
      </c>
      <c r="L17" s="7">
        <f ca="1">IFERROR(__xludf.DUMMYFUNCTION("IFERROR((G17-INDEX(GOOGLEFINANCE(C17,""price"",$R$6),2,2))/(INDEX(GOOGLEFINANCE(C17,""price"",$R$6),2,2)),""Not Available"")"),-0.258866238480871)</f>
        <v>-0.25886623848087098</v>
      </c>
      <c r="M17" s="18">
        <f t="shared" si="2"/>
        <v>630.81478000000004</v>
      </c>
      <c r="N17" s="19" t="str">
        <f ca="1">IFERROR(__xludf.DUMMYFUNCTION("IFERROR(GOOGLEFINANCE(C17,""pe""),""Not Available"")"),"Not Available")</f>
        <v>Not Available</v>
      </c>
      <c r="O17" s="1"/>
      <c r="P17" s="1"/>
      <c r="Q17" s="1"/>
      <c r="R17" s="1"/>
      <c r="S17" s="1"/>
      <c r="T17" s="1"/>
      <c r="U17" s="1"/>
      <c r="V17" s="1"/>
      <c r="W17" s="1"/>
      <c r="X17" s="1"/>
      <c r="Y17" s="1"/>
      <c r="Z17" s="1"/>
      <c r="AA17" s="1"/>
      <c r="AB17" s="1"/>
    </row>
    <row r="18" spans="1:28" ht="14.25" customHeight="1" x14ac:dyDescent="0.35">
      <c r="A18" s="1"/>
      <c r="B18" s="1" t="e" vm="49">
        <v>#VALUE!</v>
      </c>
      <c r="C18" s="1" t="s">
        <v>66</v>
      </c>
      <c r="D18" s="21">
        <v>31.338000000000001</v>
      </c>
      <c r="E18" s="15">
        <v>29.484010000000001</v>
      </c>
      <c r="F18" s="34">
        <v>923.97</v>
      </c>
      <c r="G18" s="15" cm="1">
        <f t="array" ref="G18">_FV(B18,"Price")</f>
        <v>34.56</v>
      </c>
      <c r="H18" s="16">
        <f t="shared" si="0"/>
        <v>1083.0412800000001</v>
      </c>
      <c r="I18" s="17">
        <f t="shared" si="1"/>
        <v>0.1721607746029119</v>
      </c>
      <c r="J18" s="17">
        <f ca="1">IFERROR(__xludf.DUMMYFUNCTION("(G18-INDEX(GOOGLEFINANCE(C18,""price"",TODAY()-7),2,2))/(INDEX(GOOGLEFINANCE(C18,""price"",TODAY()-7),2,2))"),-0.00454545454545465)</f>
        <v>-4.5454545454546502E-3</v>
      </c>
      <c r="K18" s="7">
        <f ca="1">IFERROR(__xludf.DUMMYFUNCTION("IFERROR((G18-INDEX(GOOGLEFINANCE(C18,""price"",TODAY()-365),2,2))/(INDEX(GOOGLEFINANCE(C18,""price"",TODAY()-365),2,2)),""Not Available"")"),0.0741876149601472)</f>
        <v>7.4187614960147197E-2</v>
      </c>
      <c r="L18" s="7">
        <f ca="1">IFERROR(__xludf.DUMMYFUNCTION("IFERROR((G18-INDEX(GOOGLEFINANCE(C18,""price"",$R$6),2,2))/(INDEX(GOOGLEFINANCE(C18,""price"",$R$6),2,2)),""Not Available"")"),0.0557396806266948)</f>
        <v>5.57396806266948E-2</v>
      </c>
      <c r="M18" s="18">
        <f t="shared" si="2"/>
        <v>159.07128000000012</v>
      </c>
      <c r="N18" s="19">
        <f ca="1">IFERROR(__xludf.DUMMYFUNCTION("IFERROR(GOOGLEFINANCE(C18,""pe""),""Not Available"")"),30.48)</f>
        <v>30.48</v>
      </c>
      <c r="O18" s="1"/>
      <c r="P18" s="1"/>
      <c r="Q18" s="1"/>
      <c r="R18" s="1"/>
      <c r="S18" s="1"/>
      <c r="T18" s="1"/>
      <c r="U18" s="1"/>
      <c r="V18" s="1"/>
      <c r="W18" s="1"/>
      <c r="X18" s="1"/>
      <c r="Y18" s="1"/>
      <c r="Z18" s="1"/>
      <c r="AA18" s="1"/>
      <c r="AB18" s="1"/>
    </row>
    <row r="19" spans="1:28" ht="14.25" customHeight="1" x14ac:dyDescent="0.35">
      <c r="A19" s="1"/>
      <c r="B19" s="1" t="e" vm="56">
        <v>#VALUE!</v>
      </c>
      <c r="C19" s="1" t="s">
        <v>69</v>
      </c>
      <c r="D19" s="21">
        <v>3.1419999999999999</v>
      </c>
      <c r="E19" s="15">
        <v>21.56906</v>
      </c>
      <c r="F19" s="34">
        <v>67.77</v>
      </c>
      <c r="G19" s="15" cm="1">
        <f t="array" ref="G19">_FV(B19,"Price")</f>
        <v>19.149999999999999</v>
      </c>
      <c r="H19" s="16">
        <f t="shared" si="0"/>
        <v>60.169299999999993</v>
      </c>
      <c r="I19" s="17">
        <f t="shared" si="1"/>
        <v>-0.11215416898093855</v>
      </c>
      <c r="J19" s="17">
        <f ca="1">IFERROR(__xludf.DUMMYFUNCTION("(G19-INDEX(GOOGLEFINANCE(C19,""price"",TODAY()-7),2,2))/(INDEX(GOOGLEFINANCE(C19,""price"",TODAY()-7),2,2))"),-0.0192405063291138)</f>
        <v>-1.92405063291138E-2</v>
      </c>
      <c r="K19" s="7">
        <f ca="1">IFERROR(__xludf.DUMMYFUNCTION("IFERROR((G19-INDEX(GOOGLEFINANCE(C19,""price"",TODAY()-365),2,2))/(INDEX(GOOGLEFINANCE(C19,""price"",TODAY()-365),2,2)),""Not Available"")"),-0.119945479327578)</f>
        <v>-0.119945479327578</v>
      </c>
      <c r="L19" s="7">
        <f ca="1">IFERROR(__xludf.DUMMYFUNCTION("IFERROR((G19-INDEX(GOOGLEFINANCE(C19,""price"",$R$6),2,2))/(INDEX(GOOGLEFINANCE(C19,""price"",$R$6),2,2)),""Not Available"")"),-0.166523235800344)</f>
        <v>-0.166523235800344</v>
      </c>
      <c r="M19" s="18">
        <f t="shared" si="2"/>
        <v>-7.6007000000000033</v>
      </c>
      <c r="N19" s="19" t="str">
        <f ca="1">IFERROR(__xludf.DUMMYFUNCTION("IFERROR(GOOGLEFINANCE(C19,""pe""),""Not Available"")"),"Not Available")</f>
        <v>Not Available</v>
      </c>
      <c r="O19" s="1"/>
      <c r="P19" s="1"/>
      <c r="Q19" s="1"/>
      <c r="R19" s="1"/>
      <c r="S19" s="1"/>
      <c r="T19" s="1"/>
      <c r="U19" s="1"/>
      <c r="V19" s="1"/>
      <c r="W19" s="1"/>
      <c r="X19" s="1"/>
      <c r="Y19" s="1"/>
      <c r="Z19" s="1"/>
      <c r="AA19" s="1"/>
      <c r="AB19" s="1"/>
    </row>
    <row r="20" spans="1:28" ht="14.25" customHeight="1" x14ac:dyDescent="0.35">
      <c r="A20" s="1"/>
      <c r="B20" s="1"/>
      <c r="C20" s="1"/>
      <c r="D20" s="1"/>
      <c r="E20" s="1"/>
      <c r="F20" s="1"/>
      <c r="G20" s="1"/>
      <c r="H20" s="1"/>
      <c r="I20" s="1"/>
      <c r="J20" s="1"/>
      <c r="K20" s="7"/>
      <c r="L20" s="7"/>
      <c r="M20" s="1"/>
      <c r="N20" s="1"/>
      <c r="O20" s="1"/>
      <c r="P20" s="1"/>
      <c r="Q20" s="1"/>
      <c r="R20" s="1"/>
      <c r="S20" s="1"/>
      <c r="T20" s="1"/>
      <c r="U20" s="1"/>
      <c r="V20" s="1"/>
      <c r="W20" s="1"/>
      <c r="X20" s="1"/>
      <c r="Y20" s="1"/>
      <c r="Z20" s="1"/>
      <c r="AA20" s="1"/>
      <c r="AB20" s="1"/>
    </row>
    <row r="21" spans="1:28" ht="14.25" customHeight="1" x14ac:dyDescent="0.35">
      <c r="A21" s="1"/>
      <c r="B21" s="8" t="s">
        <v>95</v>
      </c>
      <c r="C21" s="8"/>
      <c r="D21" s="8"/>
      <c r="E21" s="8"/>
      <c r="F21" s="35">
        <f>SUM(F10:F19)</f>
        <v>7970.7500000000009</v>
      </c>
      <c r="G21" s="8"/>
      <c r="H21" s="35">
        <f>SUM(H10:H19)</f>
        <v>11471.505944999999</v>
      </c>
      <c r="I21" s="8"/>
      <c r="J21" s="8"/>
      <c r="K21" s="8"/>
      <c r="L21" s="7"/>
      <c r="M21" s="36">
        <f>SUM(M10:M19)</f>
        <v>3500.7559450000003</v>
      </c>
      <c r="N21" s="1"/>
      <c r="O21" s="1"/>
      <c r="P21" s="1"/>
      <c r="Q21" s="1"/>
      <c r="R21" s="1"/>
      <c r="S21" s="1"/>
      <c r="T21" s="1"/>
      <c r="U21" s="1"/>
      <c r="V21" s="1"/>
      <c r="W21" s="1"/>
      <c r="X21" s="1"/>
      <c r="Y21" s="1"/>
      <c r="Z21" s="1"/>
      <c r="AA21" s="1"/>
      <c r="AB21" s="1"/>
    </row>
    <row r="22" spans="1:28" ht="14.25" customHeight="1" x14ac:dyDescent="0.35">
      <c r="A22" s="1"/>
      <c r="B22" s="1"/>
      <c r="C22" s="1"/>
      <c r="D22" s="1"/>
      <c r="E22" s="1"/>
      <c r="F22" s="1"/>
      <c r="G22" s="1"/>
      <c r="H22" s="1"/>
      <c r="I22" s="1"/>
      <c r="J22" s="1"/>
      <c r="K22" s="7"/>
      <c r="L22" s="7"/>
      <c r="M22" s="1"/>
      <c r="N22" s="1"/>
      <c r="O22" s="1"/>
      <c r="P22" s="1"/>
      <c r="Q22" s="1"/>
      <c r="R22" s="1"/>
      <c r="S22" s="1"/>
      <c r="T22" s="1"/>
      <c r="U22" s="1"/>
      <c r="V22" s="1"/>
      <c r="W22" s="1"/>
      <c r="X22" s="1"/>
      <c r="Y22" s="1"/>
      <c r="Z22" s="1"/>
      <c r="AA22" s="1"/>
      <c r="AB22" s="1"/>
    </row>
    <row r="23" spans="1:28" ht="14.25" customHeight="1" x14ac:dyDescent="0.35">
      <c r="A23" s="1"/>
      <c r="B23" s="1"/>
      <c r="C23" s="1" t="s">
        <v>71</v>
      </c>
      <c r="D23" s="1"/>
      <c r="E23" s="1"/>
      <c r="F23" s="1"/>
      <c r="G23" s="1"/>
      <c r="H23" s="1"/>
      <c r="I23" s="1"/>
      <c r="J23" s="1"/>
      <c r="K23" s="7"/>
      <c r="L23" s="7"/>
      <c r="M23" s="1"/>
      <c r="N23" s="1"/>
      <c r="O23" s="1"/>
      <c r="P23" s="1"/>
      <c r="Q23" s="1"/>
      <c r="R23" s="1"/>
      <c r="S23" s="1"/>
      <c r="T23" s="1"/>
      <c r="U23" s="1"/>
      <c r="V23" s="1"/>
      <c r="W23" s="1"/>
      <c r="X23" s="1"/>
      <c r="Y23" s="1"/>
      <c r="Z23" s="1"/>
      <c r="AA23" s="1"/>
      <c r="AB23" s="1"/>
    </row>
    <row r="24" spans="1:28" ht="14.25" customHeight="1" x14ac:dyDescent="0.35">
      <c r="A24" s="1"/>
      <c r="B24" s="1"/>
      <c r="C24" s="1"/>
      <c r="D24" s="1"/>
      <c r="E24" s="1"/>
      <c r="F24" s="1"/>
      <c r="G24" s="1"/>
      <c r="H24" s="1"/>
      <c r="I24" s="1"/>
      <c r="J24" s="1"/>
      <c r="K24" s="7"/>
      <c r="L24" s="7"/>
      <c r="M24" s="1"/>
      <c r="N24" s="1"/>
      <c r="O24" s="1"/>
      <c r="P24" s="1"/>
      <c r="Q24" s="1"/>
      <c r="R24" s="1"/>
      <c r="S24" s="1"/>
      <c r="T24" s="1"/>
      <c r="U24" s="1"/>
      <c r="V24" s="1"/>
      <c r="W24" s="1"/>
      <c r="X24" s="1"/>
      <c r="Y24" s="1"/>
      <c r="Z24" s="1"/>
      <c r="AA24" s="1"/>
      <c r="AB24" s="1"/>
    </row>
    <row r="25" spans="1:28" ht="14.2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4.2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4.2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4.2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4.2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4.2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4.2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2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2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2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2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2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2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2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2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2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2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2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2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2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2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2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2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2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2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2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2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2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2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2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2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2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2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2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2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2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2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2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2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2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2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2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2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2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2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2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2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2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2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2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2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2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2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2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2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2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2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2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2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2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2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2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2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2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2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2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2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2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2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2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2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2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2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2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2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2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2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2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2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2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2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2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2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2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2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2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2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2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2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2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2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2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2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2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2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2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2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2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2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2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2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2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2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2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2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2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2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2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2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2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2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2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2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2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2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2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2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2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2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2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2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2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2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2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2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2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2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2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2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2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2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2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2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2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2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2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2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2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2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2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2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2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2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2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2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2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2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2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2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2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2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2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2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2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2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2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2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2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2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2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2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2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2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2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2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2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2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2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2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2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2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2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2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2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2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2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2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2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2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2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2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2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2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2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2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2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2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2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2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2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2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2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2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2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2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2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2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2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2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2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2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2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2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2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2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2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2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2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2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2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2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2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2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2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2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2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2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2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2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2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2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2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2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2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2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2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2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2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2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2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2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2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2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2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2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2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2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2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2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2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2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2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2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2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2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2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2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2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2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2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2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2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2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2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2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2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2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2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2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2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2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2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2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2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2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2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2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2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2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2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2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2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2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2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2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2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2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2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2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2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2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2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2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2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2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2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2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2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2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2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2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2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2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2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2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2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2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2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2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2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2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2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2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2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2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2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2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2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2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2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2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2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2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2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2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2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2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2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2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2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2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2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2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2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2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2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2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2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2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2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2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2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2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2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2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2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2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2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2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2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2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2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2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2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2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2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2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2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2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2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2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2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2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2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2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2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2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2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2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2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2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2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2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2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2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2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2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2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2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2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2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2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2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2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2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2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2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2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2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2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2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2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2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2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2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2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2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2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2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2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2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2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2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2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2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2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2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2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2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2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2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2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2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2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2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2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2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2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2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2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2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2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2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2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2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2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2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2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2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2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2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2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2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2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2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2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2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2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2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2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2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2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2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2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2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2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2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2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2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2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2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2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2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2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2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2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2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2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2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2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2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2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2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2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2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2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2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2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2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2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2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2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2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2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2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2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2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2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2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2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2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2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2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2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2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2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2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2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2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2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2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2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2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2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2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2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2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2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2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2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2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2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2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2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2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2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2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2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2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2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2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2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2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2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2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2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2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2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2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2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2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2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2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2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2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2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2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2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2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2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2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2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2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2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2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2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2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2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2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2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2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2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2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2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2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2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2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2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2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2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2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2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2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2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2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2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2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2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2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2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2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2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2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2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2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2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2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2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2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2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2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2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2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2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2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2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2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2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2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2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2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2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2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2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2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2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2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2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2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2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2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2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2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2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2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2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2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2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2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2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2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2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2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2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2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2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2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2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2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2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2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2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2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2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2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2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2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2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2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2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2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2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2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2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2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2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2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2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2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2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2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2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2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2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2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2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2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2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2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2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2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2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2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2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2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2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2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2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2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2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2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2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2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2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2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2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2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2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2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2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2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2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2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2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2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2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2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2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2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2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2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2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2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2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2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2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2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2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2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2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2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2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2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2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2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2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2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2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2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2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2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2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2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2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2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2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2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2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2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2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2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2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2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2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2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2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2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2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2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2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2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2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2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2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2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2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2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2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2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2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2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2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2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2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2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2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2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2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2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2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2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2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2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2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2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2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2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2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2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2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2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2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2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2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2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2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2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2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2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2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2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2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2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2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2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2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2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2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2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2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2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2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2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2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2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2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2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2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2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2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2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2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2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2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2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2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2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2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2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2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2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2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2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2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2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2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2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2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2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2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2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2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2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2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2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2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2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2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2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2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2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2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2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2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2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2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2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2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2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2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2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2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2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2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2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2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2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2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2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2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2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2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2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2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2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2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2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2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2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2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2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2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2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2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2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2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2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2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2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2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2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2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2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2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2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2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2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2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2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2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2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2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2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2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2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2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2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2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2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2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2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2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2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2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2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2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2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2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2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2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2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2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2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2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2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2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2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2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2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2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2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2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2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2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2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2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2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2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2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2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2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2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2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2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2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2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2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2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2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2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sheetData>
  <mergeCells count="2">
    <mergeCell ref="D8:F8"/>
    <mergeCell ref="G8:O8"/>
  </mergeCells>
  <conditionalFormatting sqref="I10:J19 K10:K20 L10:L24 K22:K24">
    <cfRule type="cellIs" dxfId="9" priority="1" operator="greaterThan">
      <formula>0</formula>
    </cfRule>
  </conditionalFormatting>
  <conditionalFormatting sqref="I10:M12 M10:M19 K10:K20 L10:L24 K22:K24">
    <cfRule type="cellIs" dxfId="8" priority="2" operator="lessThan">
      <formula>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870"/>
  <sheetViews>
    <sheetView showGridLines="0" workbookViewId="0">
      <selection activeCell="J26" sqref="J26"/>
    </sheetView>
  </sheetViews>
  <sheetFormatPr defaultColWidth="14.453125" defaultRowHeight="15" customHeight="1" x14ac:dyDescent="0.35"/>
  <cols>
    <col min="1" max="1" width="3.54296875" customWidth="1"/>
    <col min="2" max="2" width="34.453125" customWidth="1"/>
    <col min="3" max="3" width="17.7265625" customWidth="1"/>
    <col min="4" max="4" width="12.54296875" customWidth="1"/>
    <col min="5" max="5" width="10.453125" customWidth="1"/>
    <col min="6" max="6" width="10.81640625" customWidth="1"/>
    <col min="7" max="7" width="10.54296875" customWidth="1"/>
    <col min="8" max="8" width="9.54296875" customWidth="1"/>
    <col min="9" max="9" width="14" customWidth="1"/>
    <col min="10" max="10" width="15.81640625" customWidth="1"/>
    <col min="11" max="13" width="11.08984375" customWidth="1"/>
    <col min="14" max="14" width="17.453125" customWidth="1"/>
    <col min="15" max="15" width="15.81640625" customWidth="1"/>
    <col min="16" max="28" width="8.7265625" customWidth="1"/>
  </cols>
  <sheetData>
    <row r="1" spans="1:28" ht="14.25" customHeight="1" x14ac:dyDescent="0.35">
      <c r="A1" s="1"/>
      <c r="B1" s="1"/>
      <c r="C1" s="1"/>
      <c r="D1" s="1"/>
      <c r="E1" s="1"/>
      <c r="F1" s="1"/>
      <c r="G1" s="1"/>
      <c r="H1" s="1"/>
      <c r="I1" s="1"/>
      <c r="J1" s="1"/>
      <c r="K1" s="1"/>
      <c r="L1" s="1"/>
      <c r="M1" s="1"/>
      <c r="N1" s="1"/>
      <c r="O1" s="1"/>
      <c r="P1" s="1"/>
      <c r="Q1" s="1"/>
      <c r="R1" s="1"/>
      <c r="S1" s="1"/>
      <c r="T1" s="1"/>
      <c r="U1" s="1"/>
      <c r="V1" s="1"/>
      <c r="W1" s="1"/>
      <c r="X1" s="1"/>
      <c r="Y1" s="1"/>
      <c r="Z1" s="1"/>
      <c r="AA1" s="1"/>
      <c r="AB1" s="1"/>
    </row>
    <row r="2" spans="1:28" ht="14.25" customHeight="1" x14ac:dyDescent="0.35">
      <c r="A2" s="1"/>
      <c r="B2" s="2" t="s">
        <v>97</v>
      </c>
      <c r="C2" s="3"/>
      <c r="D2" s="3"/>
      <c r="E2" s="3"/>
      <c r="F2" s="3"/>
      <c r="G2" s="3"/>
      <c r="H2" s="3"/>
      <c r="I2" s="3"/>
      <c r="J2" s="3"/>
      <c r="K2" s="3"/>
      <c r="L2" s="3"/>
      <c r="M2" s="3"/>
      <c r="N2" s="3"/>
      <c r="O2" s="3"/>
      <c r="P2" s="3"/>
      <c r="Q2" s="3"/>
      <c r="R2" s="3"/>
      <c r="S2" s="3"/>
      <c r="T2" s="3"/>
      <c r="V2" s="1"/>
      <c r="W2" s="1"/>
      <c r="X2" s="1"/>
      <c r="Y2" s="1"/>
      <c r="Z2" s="1"/>
      <c r="AA2" s="1"/>
      <c r="AB2" s="1"/>
    </row>
    <row r="3" spans="1:28" ht="14.25" customHeight="1" x14ac:dyDescent="0.35">
      <c r="A3" s="1"/>
      <c r="B3" s="4" t="s">
        <v>1</v>
      </c>
      <c r="C3" s="3"/>
      <c r="D3" s="3"/>
      <c r="E3" s="3"/>
      <c r="F3" s="3"/>
      <c r="G3" s="3"/>
      <c r="H3" s="3"/>
      <c r="I3" s="3"/>
      <c r="J3" s="3"/>
      <c r="K3" s="3"/>
      <c r="L3" s="3"/>
      <c r="M3" s="3"/>
      <c r="N3" s="3"/>
      <c r="O3" s="3"/>
      <c r="P3" s="3"/>
      <c r="Q3" s="3"/>
      <c r="R3" s="3"/>
      <c r="S3" s="3"/>
      <c r="T3" s="3"/>
      <c r="V3" s="1"/>
      <c r="W3" s="1"/>
      <c r="X3" s="1"/>
      <c r="Y3" s="1"/>
      <c r="Z3" s="1"/>
      <c r="AA3" s="1"/>
      <c r="AB3" s="1"/>
    </row>
    <row r="4" spans="1:28" ht="14.25" customHeight="1" x14ac:dyDescent="0.35">
      <c r="A4" s="1"/>
      <c r="B4" s="5" t="s">
        <v>2</v>
      </c>
      <c r="C4" s="3"/>
      <c r="D4" s="3"/>
      <c r="E4" s="3"/>
      <c r="F4" s="3"/>
      <c r="G4" s="3"/>
      <c r="H4" s="3"/>
      <c r="I4" s="3"/>
      <c r="J4" s="3"/>
      <c r="K4" s="3"/>
      <c r="L4" s="3"/>
      <c r="M4" s="3"/>
      <c r="N4" s="3"/>
      <c r="O4" s="3"/>
      <c r="P4" s="3"/>
      <c r="Q4" s="3"/>
      <c r="R4" s="3"/>
      <c r="S4" s="3"/>
      <c r="T4" s="3"/>
      <c r="V4" s="1"/>
      <c r="W4" s="1"/>
      <c r="X4" s="1"/>
      <c r="Y4" s="1"/>
      <c r="Z4" s="1"/>
      <c r="AA4" s="1"/>
      <c r="AB4" s="1"/>
    </row>
    <row r="5" spans="1:28" ht="14.25" customHeight="1" x14ac:dyDescent="0.35">
      <c r="A5" s="1"/>
      <c r="B5" s="1"/>
      <c r="C5" s="6"/>
      <c r="D5" s="6"/>
      <c r="E5" s="7"/>
      <c r="F5" s="1"/>
      <c r="G5" s="1"/>
      <c r="H5" s="1"/>
      <c r="I5" s="1"/>
      <c r="J5" s="1"/>
      <c r="K5" s="1"/>
      <c r="L5" s="1"/>
      <c r="M5" s="1"/>
      <c r="N5" s="1"/>
      <c r="O5" s="1"/>
      <c r="P5" s="1"/>
      <c r="Q5" s="1"/>
      <c r="R5" s="1"/>
      <c r="S5" s="1"/>
      <c r="T5" s="1"/>
      <c r="V5" s="1"/>
      <c r="W5" s="1"/>
      <c r="X5" s="1"/>
      <c r="Y5" s="1"/>
      <c r="Z5" s="1"/>
      <c r="AA5" s="1"/>
      <c r="AB5" s="1"/>
    </row>
    <row r="6" spans="1:28" ht="14.25" customHeight="1" x14ac:dyDescent="0.35">
      <c r="A6" s="1"/>
      <c r="B6" s="8" t="s">
        <v>3</v>
      </c>
      <c r="C6" s="9">
        <f>SUM(H10:H21)</f>
        <v>16110.064159999998</v>
      </c>
      <c r="D6" s="6"/>
      <c r="E6" s="7"/>
      <c r="F6" s="1"/>
      <c r="G6" s="1"/>
      <c r="H6" s="1"/>
      <c r="I6" s="1"/>
      <c r="J6" s="1"/>
      <c r="K6" s="1"/>
      <c r="L6" s="1"/>
      <c r="M6" s="1"/>
      <c r="N6" s="1"/>
      <c r="O6" s="1"/>
      <c r="P6" s="1"/>
      <c r="Q6" s="1"/>
      <c r="R6" s="25">
        <v>44927</v>
      </c>
      <c r="T6" s="1"/>
      <c r="V6" s="1"/>
      <c r="W6" s="1"/>
      <c r="X6" s="1"/>
      <c r="Y6" s="1"/>
      <c r="Z6" s="1"/>
      <c r="AA6" s="1"/>
      <c r="AB6" s="1"/>
    </row>
    <row r="7" spans="1:28" ht="14.25" customHeight="1" x14ac:dyDescent="0.35">
      <c r="A7" s="1"/>
      <c r="B7" s="1" t="s">
        <v>4</v>
      </c>
      <c r="C7" s="1">
        <f>COUNT(D10:D25)</f>
        <v>12</v>
      </c>
      <c r="D7" s="1"/>
      <c r="E7" s="1"/>
      <c r="F7" s="1"/>
      <c r="G7" s="1"/>
      <c r="H7" s="1"/>
      <c r="I7" s="1"/>
      <c r="J7" s="1"/>
      <c r="K7" s="1"/>
      <c r="L7" s="1"/>
      <c r="M7" s="1"/>
      <c r="N7" s="1"/>
      <c r="O7" s="1"/>
      <c r="P7" s="1"/>
      <c r="Q7" s="1"/>
      <c r="R7" s="1"/>
      <c r="S7" s="1"/>
      <c r="T7" s="1"/>
      <c r="U7" s="1"/>
      <c r="V7" s="1"/>
      <c r="W7" s="1"/>
      <c r="X7" s="1"/>
      <c r="Y7" s="1"/>
      <c r="Z7" s="1"/>
      <c r="AA7" s="1"/>
      <c r="AB7" s="1"/>
    </row>
    <row r="8" spans="1:28" ht="14.25" customHeight="1" x14ac:dyDescent="0.35">
      <c r="A8" s="1"/>
      <c r="B8" s="1"/>
      <c r="C8" s="1"/>
      <c r="D8" s="46" t="s">
        <v>5</v>
      </c>
      <c r="E8" s="47"/>
      <c r="F8" s="48"/>
      <c r="G8" s="46" t="s">
        <v>6</v>
      </c>
      <c r="H8" s="47"/>
      <c r="I8" s="47"/>
      <c r="J8" s="47"/>
      <c r="K8" s="47"/>
      <c r="L8" s="47"/>
      <c r="M8" s="47"/>
      <c r="N8" s="47"/>
      <c r="O8" s="47"/>
      <c r="P8" s="1"/>
      <c r="Q8" s="1"/>
      <c r="R8" s="1"/>
      <c r="S8" s="1"/>
      <c r="T8" s="1"/>
      <c r="U8" s="1"/>
      <c r="V8" s="1"/>
      <c r="W8" s="1"/>
      <c r="X8" s="1"/>
      <c r="Y8" s="1"/>
      <c r="Z8" s="1"/>
      <c r="AA8" s="1"/>
      <c r="AB8" s="1"/>
    </row>
    <row r="9" spans="1:28" ht="14.25" customHeight="1" x14ac:dyDescent="0.35">
      <c r="A9" s="1"/>
      <c r="B9" s="10" t="s">
        <v>7</v>
      </c>
      <c r="C9" s="10" t="s">
        <v>8</v>
      </c>
      <c r="D9" s="10" t="s">
        <v>9</v>
      </c>
      <c r="E9" s="10" t="s">
        <v>10</v>
      </c>
      <c r="F9" s="11" t="s">
        <v>11</v>
      </c>
      <c r="G9" s="10" t="s">
        <v>12</v>
      </c>
      <c r="H9" s="10" t="s">
        <v>13</v>
      </c>
      <c r="I9" s="10" t="s">
        <v>14</v>
      </c>
      <c r="J9" s="10" t="s">
        <v>15</v>
      </c>
      <c r="K9" s="10" t="s">
        <v>92</v>
      </c>
      <c r="L9" s="10" t="s">
        <v>75</v>
      </c>
      <c r="M9" s="10" t="s">
        <v>16</v>
      </c>
      <c r="N9" s="10" t="s">
        <v>17</v>
      </c>
      <c r="O9" s="10"/>
      <c r="P9" s="1"/>
      <c r="Q9" s="1"/>
      <c r="R9" s="1"/>
      <c r="S9" s="1"/>
      <c r="T9" s="1"/>
      <c r="U9" s="1"/>
      <c r="V9" s="1"/>
      <c r="W9" s="1"/>
      <c r="X9" s="1"/>
      <c r="Y9" s="1"/>
      <c r="Z9" s="1"/>
      <c r="AA9" s="1"/>
      <c r="AB9" s="1"/>
    </row>
    <row r="10" spans="1:28" ht="14.25" customHeight="1" x14ac:dyDescent="0.35">
      <c r="A10" s="1"/>
      <c r="B10" s="1" t="e" vm="7">
        <v>#VALUE!</v>
      </c>
      <c r="C10" s="1" t="s">
        <v>24</v>
      </c>
      <c r="D10" s="21">
        <v>12.478</v>
      </c>
      <c r="E10" s="15">
        <v>48.264139999999998</v>
      </c>
      <c r="F10" s="34">
        <v>602.24</v>
      </c>
      <c r="G10" s="15" cm="1">
        <f t="array" ref="G10">_FV(B10,"Price")</f>
        <v>32.54</v>
      </c>
      <c r="H10" s="16">
        <f t="shared" ref="H10:H21" si="0">G10*D10</f>
        <v>406.03411999999997</v>
      </c>
      <c r="I10" s="17">
        <f t="shared" ref="I10:I21" si="1">G10/E10-1</f>
        <v>-0.32579343587185017</v>
      </c>
      <c r="J10" s="17">
        <f ca="1">IFERROR(__xludf.DUMMYFUNCTION("(G10-INDEX(GOOGLEFINANCE(C10,""price"",TODAY()-7),2,2))/(INDEX(GOOGLEFINANCE(C10,""price"",TODAY()-7),2,2))"),0.0489782679208564)</f>
        <v>4.8978267920856397E-2</v>
      </c>
      <c r="K10" s="7">
        <f ca="1">IFERROR(__xludf.DUMMYFUNCTION("IFERROR((G10-INDEX(GOOGLEFINANCE(C10,""price"",TODAY()-365),2,2))/(INDEX(GOOGLEFINANCE(C10,""price"",TODAY()-365),2,2)),""Not Available"")"),-0.207158617308163)</f>
        <v>-0.20715861730816301</v>
      </c>
      <c r="L10" s="7">
        <f ca="1">IFERROR(__xludf.DUMMYFUNCTION("IFERROR((G10-INDEX(GOOGLEFINANCE(C10,""price"",$R$6),2,2))/(INDEX(GOOGLEFINANCE(C10,""price"",$R$6),2,2)),""Not Available"")"),-0.0872142252328534)</f>
        <v>-8.7214225232853396E-2</v>
      </c>
      <c r="M10" s="18">
        <f t="shared" ref="M10:M21" si="2">H10-F10</f>
        <v>-196.20588000000004</v>
      </c>
      <c r="N10" s="19">
        <f ca="1">IFERROR(__xludf.DUMMYFUNCTION("IFERROR(GOOGLEFINANCE(C10,""pe""),""Not Available"")"),12.01)</f>
        <v>12.01</v>
      </c>
      <c r="O10" s="1"/>
      <c r="P10" s="1"/>
      <c r="Q10" s="1"/>
      <c r="R10" s="1"/>
      <c r="S10" s="1"/>
      <c r="T10" s="1"/>
      <c r="U10" s="1"/>
      <c r="V10" s="1"/>
      <c r="W10" s="1"/>
      <c r="X10" s="1"/>
      <c r="Y10" s="1"/>
      <c r="Z10" s="1"/>
      <c r="AA10" s="1"/>
      <c r="AB10" s="1"/>
    </row>
    <row r="11" spans="1:28" ht="14.25" customHeight="1" x14ac:dyDescent="0.35">
      <c r="A11" s="1"/>
      <c r="B11" s="1" t="e" vm="9">
        <v>#VALUE!</v>
      </c>
      <c r="C11" s="1" t="s">
        <v>26</v>
      </c>
      <c r="D11" s="21">
        <v>6</v>
      </c>
      <c r="E11" s="15">
        <v>138.19</v>
      </c>
      <c r="F11" s="34">
        <v>829.14</v>
      </c>
      <c r="G11" s="15" cm="1">
        <f t="array" ref="G11">_FV(B11,"Price")</f>
        <v>187.37</v>
      </c>
      <c r="H11" s="16">
        <f t="shared" si="0"/>
        <v>1124.22</v>
      </c>
      <c r="I11" s="17">
        <f t="shared" si="1"/>
        <v>0.35588682249077364</v>
      </c>
      <c r="J11" s="17">
        <f ca="1">IFERROR(__xludf.DUMMYFUNCTION("(G11-INDEX(GOOGLEFINANCE(C11,""price"",TODAY()-7),2,2))/(INDEX(GOOGLEFINANCE(C11,""price"",TODAY()-7),2,2))"),0.00566709844559591)</f>
        <v>5.6670984455959098E-3</v>
      </c>
      <c r="K11" s="7">
        <f ca="1">IFERROR(__xludf.DUMMYFUNCTION("IFERROR((G11-INDEX(GOOGLEFINANCE(C11,""price"",TODAY()-365),2,2))/(INDEX(GOOGLEFINANCE(C11,""price"",TODAY()-365),2,2)),""Not Available"")"),0.431545789797172)</f>
        <v>0.43154578979717201</v>
      </c>
      <c r="L11" s="7">
        <f ca="1">IFERROR(__xludf.DUMMYFUNCTION("IFERROR((G11-INDEX(GOOGLEFINANCE(C11,""price"",$R$6),2,2))/(INDEX(GOOGLEFINANCE(C11,""price"",$R$6),2,2)),""Not Available"")"),0.638209952523298)</f>
        <v>0.63820995252329804</v>
      </c>
      <c r="M11" s="18">
        <f t="shared" si="2"/>
        <v>295.08000000000004</v>
      </c>
      <c r="N11" s="19">
        <f ca="1">IFERROR(__xludf.DUMMYFUNCTION("IFERROR(GOOGLEFINANCE(C11,""pe""),""Not Available"")"),26.84)</f>
        <v>26.84</v>
      </c>
      <c r="O11" s="1"/>
      <c r="P11" s="1"/>
      <c r="Q11" s="1"/>
      <c r="R11" s="1"/>
      <c r="S11" s="1"/>
      <c r="T11" s="1"/>
      <c r="U11" s="1"/>
      <c r="V11" s="1"/>
      <c r="W11" s="1"/>
      <c r="X11" s="1"/>
      <c r="Y11" s="1"/>
      <c r="Z11" s="1"/>
      <c r="AA11" s="1"/>
      <c r="AB11" s="1"/>
    </row>
    <row r="12" spans="1:28" ht="14.25" customHeight="1" x14ac:dyDescent="0.35">
      <c r="A12" s="1"/>
      <c r="B12" s="1" t="e" vm="21">
        <v>#VALUE!</v>
      </c>
      <c r="C12" s="1" t="s">
        <v>38</v>
      </c>
      <c r="D12" s="21">
        <v>8.1950000000000003</v>
      </c>
      <c r="E12" s="15">
        <v>205.96095</v>
      </c>
      <c r="F12" s="33">
        <v>1687.85</v>
      </c>
      <c r="G12" s="15" cm="1">
        <f t="array" ref="G12">_FV(B12,"Price")</f>
        <v>254.31</v>
      </c>
      <c r="H12" s="16">
        <f t="shared" si="0"/>
        <v>2084.0704500000002</v>
      </c>
      <c r="I12" s="17">
        <f t="shared" si="1"/>
        <v>0.23474862589243251</v>
      </c>
      <c r="J12" s="17">
        <f ca="1">IFERROR(__xludf.DUMMYFUNCTION("(G12-INDEX(GOOGLEFINANCE(C12,""price"",TODAY()-7),2,2))/(INDEX(GOOGLEFINANCE(C12,""price"",TODAY()-7),2,2))"),0.0167767556834298)</f>
        <v>1.67767556834298E-2</v>
      </c>
      <c r="K12" s="7">
        <f ca="1">IFERROR(__xludf.DUMMYFUNCTION("IFERROR((G12-INDEX(GOOGLEFINANCE(C12,""price"",TODAY()-365),2,2))/(INDEX(GOOGLEFINANCE(C12,""price"",TODAY()-365),2,2)),""Not Available"")"),0.271138355539794)</f>
        <v>0.27113835553979398</v>
      </c>
      <c r="L12" s="7">
        <f ca="1">IFERROR(__xludf.DUMMYFUNCTION("IFERROR((G12-INDEX(GOOGLEFINANCE(C12,""price"",$R$6),2,2))/(INDEX(GOOGLEFINANCE(C12,""price"",$R$6),2,2)),""Not Available"")"),0.415411519151576)</f>
        <v>0.41541151915157598</v>
      </c>
      <c r="M12" s="18">
        <f t="shared" si="2"/>
        <v>396.22045000000026</v>
      </c>
      <c r="N12" s="19">
        <f ca="1">IFERROR(__xludf.DUMMYFUNCTION("IFERROR(GOOGLEFINANCE(C12,""pe""),""Not Available"")"),14.86)</f>
        <v>14.86</v>
      </c>
      <c r="O12" s="1"/>
      <c r="P12" s="1"/>
      <c r="Q12" s="1"/>
      <c r="R12" s="1"/>
      <c r="S12" s="1"/>
      <c r="T12" s="1"/>
      <c r="U12" s="1"/>
      <c r="V12" s="1"/>
      <c r="W12" s="1"/>
      <c r="X12" s="1"/>
      <c r="Y12" s="1"/>
      <c r="Z12" s="1"/>
      <c r="AA12" s="1"/>
      <c r="AB12" s="1"/>
    </row>
    <row r="13" spans="1:28" ht="14.25" customHeight="1" x14ac:dyDescent="0.35">
      <c r="A13" s="1"/>
      <c r="B13" s="1" t="e" vm="25">
        <v>#VALUE!</v>
      </c>
      <c r="C13" s="1" t="s">
        <v>42</v>
      </c>
      <c r="D13" s="21">
        <v>13</v>
      </c>
      <c r="E13" s="15">
        <v>33.56615</v>
      </c>
      <c r="F13" s="34">
        <v>436.36</v>
      </c>
      <c r="G13" s="15" cm="1">
        <f t="array" ref="G13">_FV(B13,"Price")</f>
        <v>48.85</v>
      </c>
      <c r="H13" s="16">
        <f t="shared" si="0"/>
        <v>635.05000000000007</v>
      </c>
      <c r="I13" s="17">
        <f t="shared" si="1"/>
        <v>0.45533521121725307</v>
      </c>
      <c r="J13" s="17">
        <f ca="1">IFERROR(__xludf.DUMMYFUNCTION("(G13-INDEX(GOOGLEFINANCE(C13,""price"",TODAY()-7),2,2))/(INDEX(GOOGLEFINANCE(C13,""price"",TODAY()-7),2,2))"),-0.00842189693202315)</f>
        <v>-8.4218969320231495E-3</v>
      </c>
      <c r="K13" s="7">
        <f ca="1">IFERROR(__xludf.DUMMYFUNCTION("IFERROR((G13-INDEX(GOOGLEFINANCE(C13,""price"",TODAY()-365),2,2))/(INDEX(GOOGLEFINANCE(C13,""price"",TODAY()-365),2,2)),""Not Available"")"),0.0988888888888889)</f>
        <v>9.8888888888888901E-2</v>
      </c>
      <c r="L13" s="7">
        <f ca="1">IFERROR(__xludf.DUMMYFUNCTION("IFERROR((G13-INDEX(GOOGLEFINANCE(C13,""price"",$R$6),2,2))/(INDEX(GOOGLEFINANCE(C13,""price"",$R$6),2,2)),""Not Available"")"),0.178503336510962)</f>
        <v>0.17850333651096201</v>
      </c>
      <c r="M13" s="18">
        <f t="shared" si="2"/>
        <v>198.69000000000005</v>
      </c>
      <c r="N13" s="19">
        <f ca="1">IFERROR(__xludf.DUMMYFUNCTION("IFERROR(GOOGLEFINANCE(C13,""pe""),""Not Available"")"),25.82)</f>
        <v>25.82</v>
      </c>
      <c r="O13" s="1"/>
      <c r="P13" s="1"/>
      <c r="Q13" s="1"/>
      <c r="R13" s="1"/>
      <c r="S13" s="1"/>
      <c r="T13" s="1"/>
      <c r="U13" s="1"/>
      <c r="V13" s="1"/>
      <c r="W13" s="1"/>
      <c r="X13" s="1"/>
      <c r="Y13" s="1"/>
      <c r="Z13" s="1"/>
      <c r="AA13" s="1"/>
      <c r="AB13" s="1"/>
    </row>
    <row r="14" spans="1:28" ht="14.25" customHeight="1" x14ac:dyDescent="0.35">
      <c r="A14" s="1"/>
      <c r="B14" s="1" t="e" vm="26">
        <v>#VALUE!</v>
      </c>
      <c r="C14" s="1" t="s">
        <v>43</v>
      </c>
      <c r="D14" s="21">
        <v>10.27</v>
      </c>
      <c r="E14" s="15">
        <v>157.70788999999999</v>
      </c>
      <c r="F14" s="33">
        <v>1619.66</v>
      </c>
      <c r="G14" s="15" cm="1">
        <f t="array" ref="G14">_FV(B14,"Price")</f>
        <v>290.16000000000003</v>
      </c>
      <c r="H14" s="16">
        <f t="shared" si="0"/>
        <v>2979.9432000000002</v>
      </c>
      <c r="I14" s="17">
        <f t="shared" si="1"/>
        <v>0.83985721957221071</v>
      </c>
      <c r="J14" s="17">
        <f ca="1">IFERROR(__xludf.DUMMYFUNCTION("(G14-INDEX(GOOGLEFINANCE(C14,""price"",TODAY()-7),2,2))/(INDEX(GOOGLEFINANCE(C14,""price"",TODAY()-7),2,2))"),-0.0212866444017137)</f>
        <v>-2.1286644401713701E-2</v>
      </c>
      <c r="K14" s="7">
        <f ca="1">IFERROR(__xludf.DUMMYFUNCTION("IFERROR((G14-INDEX(GOOGLEFINANCE(C14,""price"",TODAY()-365),2,2))/(INDEX(GOOGLEFINANCE(C14,""price"",TODAY()-365),2,2)),""Not Available"")"),0.387072097915471)</f>
        <v>0.38707209791547098</v>
      </c>
      <c r="L14" s="7">
        <f ca="1">IFERROR(__xludf.DUMMYFUNCTION("IFERROR((G14-INDEX(GOOGLEFINANCE(C14,""price"",$R$6),2,2))/(INDEX(GOOGLEFINANCE(C14,""price"",$R$6),2,2)),""Not Available"")"),0.270505802496168)</f>
        <v>0.27050580249616801</v>
      </c>
      <c r="M14" s="18">
        <f t="shared" si="2"/>
        <v>1360.2832000000001</v>
      </c>
      <c r="N14" s="19">
        <f ca="1">IFERROR(__xludf.DUMMYFUNCTION("IFERROR(GOOGLEFINANCE(C14,""pe""),""Not Available"")"),17)</f>
        <v>17</v>
      </c>
      <c r="O14" s="1"/>
      <c r="P14" s="1"/>
      <c r="Q14" s="1"/>
      <c r="R14" s="1"/>
      <c r="S14" s="1"/>
      <c r="T14" s="1"/>
      <c r="U14" s="1"/>
      <c r="V14" s="1"/>
      <c r="W14" s="1"/>
      <c r="X14" s="1"/>
      <c r="Y14" s="1"/>
      <c r="Z14" s="1"/>
      <c r="AA14" s="1"/>
      <c r="AB14" s="1"/>
    </row>
    <row r="15" spans="1:28" ht="14.25" customHeight="1" x14ac:dyDescent="0.35">
      <c r="A15" s="1"/>
      <c r="B15" s="1" t="e" vm="27">
        <v>#VALUE!</v>
      </c>
      <c r="C15" s="1" t="s">
        <v>44</v>
      </c>
      <c r="D15" s="21">
        <v>11.457000000000001</v>
      </c>
      <c r="E15" s="15">
        <v>93.156149999999997</v>
      </c>
      <c r="F15" s="33">
        <v>1067.29</v>
      </c>
      <c r="G15" s="15" cm="1">
        <f t="array" ref="G15">_FV(B15,"Price")</f>
        <v>149.18</v>
      </c>
      <c r="H15" s="16">
        <f t="shared" si="0"/>
        <v>1709.1552600000002</v>
      </c>
      <c r="I15" s="17">
        <f t="shared" si="1"/>
        <v>0.60139722390845929</v>
      </c>
      <c r="J15" s="17">
        <f ca="1">IFERROR(__xludf.DUMMYFUNCTION("(G15-INDEX(GOOGLEFINANCE(C15,""price"",TODAY()-7),2,2))/(INDEX(GOOGLEFINANCE(C15,""price"",TODAY()-7),2,2))"),-0.000339812423542088)</f>
        <v>-3.39812423542088E-4</v>
      </c>
      <c r="K15" s="7">
        <f ca="1">IFERROR(__xludf.DUMMYFUNCTION("IFERROR((G15-INDEX(GOOGLEFINANCE(C15,""price"",TODAY()-365),2,2))/(INDEX(GOOGLEFINANCE(C15,""price"",TODAY()-365),2,2)),""Not Available"")"),0.265181489764321)</f>
        <v>0.26518148976432099</v>
      </c>
      <c r="L15" s="7">
        <f ca="1">IFERROR(__xludf.DUMMYFUNCTION("IFERROR((G15-INDEX(GOOGLEFINANCE(C15,""price"",$R$6),2,2))/(INDEX(GOOGLEFINANCE(C15,""price"",$R$6),2,2)),""Not Available"")"),0.212713331684392)</f>
        <v>0.21271333168439199</v>
      </c>
      <c r="M15" s="18">
        <f t="shared" si="2"/>
        <v>641.86526000000026</v>
      </c>
      <c r="N15" s="19">
        <f ca="1">IFERROR(__xludf.DUMMYFUNCTION("IFERROR(GOOGLEFINANCE(C15,""pe""),""Not Available"")"),26.25)</f>
        <v>26.25</v>
      </c>
      <c r="O15" s="1"/>
      <c r="P15" s="1"/>
      <c r="Q15" s="1"/>
      <c r="R15" s="1"/>
      <c r="S15" s="1"/>
      <c r="T15" s="1"/>
      <c r="U15" s="1"/>
      <c r="V15" s="1"/>
      <c r="W15" s="1"/>
      <c r="X15" s="1"/>
      <c r="Y15" s="1"/>
      <c r="Z15" s="1"/>
      <c r="AA15" s="1"/>
      <c r="AB15" s="1"/>
    </row>
    <row r="16" spans="1:28" ht="14.25" customHeight="1" x14ac:dyDescent="0.35">
      <c r="A16" s="1"/>
      <c r="B16" s="1" t="e" vm="31">
        <v>#VALUE!</v>
      </c>
      <c r="C16" s="1" t="s">
        <v>48</v>
      </c>
      <c r="D16" s="21">
        <v>3.387</v>
      </c>
      <c r="E16" s="15">
        <v>367.83879999999999</v>
      </c>
      <c r="F16" s="33">
        <v>1245.8699999999999</v>
      </c>
      <c r="G16" s="15" cm="1">
        <f t="array" ref="G16">_FV(B16,"Price")</f>
        <v>434.91</v>
      </c>
      <c r="H16" s="16">
        <f t="shared" si="0"/>
        <v>1473.04017</v>
      </c>
      <c r="I16" s="17">
        <f t="shared" si="1"/>
        <v>0.18233856787266611</v>
      </c>
      <c r="J16" s="17">
        <f ca="1">IFERROR(__xludf.DUMMYFUNCTION("(G16-INDEX(GOOGLEFINANCE(C16,""price"",TODAY()-7),2,2))/(INDEX(GOOGLEFINANCE(C16,""price"",TODAY()-7),2,2))"),0.00615826272167436)</f>
        <v>6.1582627216743603E-3</v>
      </c>
      <c r="K16" s="7">
        <f ca="1">IFERROR(__xludf.DUMMYFUNCTION("IFERROR((G16-INDEX(GOOGLEFINANCE(C16,""price"",TODAY()-365),2,2))/(INDEX(GOOGLEFINANCE(C16,""price"",TODAY()-365),2,2)),""Not Available"")"),-0.089518781555737)</f>
        <v>-8.9518781555737004E-2</v>
      </c>
      <c r="L16" s="7">
        <f ca="1">IFERROR(__xludf.DUMMYFUNCTION("IFERROR((G16-INDEX(GOOGLEFINANCE(C16,""price"",$R$6),2,2))/(INDEX(GOOGLEFINANCE(C16,""price"",$R$6),2,2)),""Not Available"")"),-0.0899001109877912)</f>
        <v>-8.9900110987791201E-2</v>
      </c>
      <c r="M16" s="18">
        <f t="shared" si="2"/>
        <v>227.1701700000001</v>
      </c>
      <c r="N16" s="19">
        <f ca="1">IFERROR(__xludf.DUMMYFUNCTION("IFERROR(GOOGLEFINANCE(C16,""pe""),""Not Available"")"),15.78)</f>
        <v>15.78</v>
      </c>
      <c r="O16" s="1"/>
      <c r="P16" s="1"/>
      <c r="Q16" s="1"/>
      <c r="R16" s="1"/>
      <c r="S16" s="1"/>
      <c r="T16" s="1"/>
      <c r="U16" s="1"/>
      <c r="V16" s="1"/>
      <c r="W16" s="1"/>
      <c r="X16" s="1"/>
      <c r="Y16" s="1"/>
      <c r="Z16" s="1"/>
      <c r="AA16" s="1"/>
      <c r="AB16" s="1"/>
    </row>
    <row r="17" spans="1:28" ht="14.25" customHeight="1" x14ac:dyDescent="0.35">
      <c r="A17" s="1"/>
      <c r="B17" s="1" t="e" vm="35">
        <v>#VALUE!</v>
      </c>
      <c r="C17" s="1" t="s">
        <v>52</v>
      </c>
      <c r="D17" s="21">
        <v>12</v>
      </c>
      <c r="E17" s="15">
        <v>45</v>
      </c>
      <c r="F17" s="34">
        <v>540</v>
      </c>
      <c r="G17" s="15" cm="1">
        <f t="array" ref="G17">_FV(B17,"Price")</f>
        <v>127.92</v>
      </c>
      <c r="H17" s="16">
        <f t="shared" si="0"/>
        <v>1535.04</v>
      </c>
      <c r="I17" s="17">
        <f t="shared" si="1"/>
        <v>1.8426666666666667</v>
      </c>
      <c r="J17" s="17">
        <f ca="1">IFERROR(__xludf.DUMMYFUNCTION("(G17-INDEX(GOOGLEFINANCE(C17,""price"",TODAY()-7),2,2))/(INDEX(GOOGLEFINANCE(C17,""price"",TODAY()-7),2,2))"),-0.0134722331009634)</f>
        <v>-1.3472233100963399E-2</v>
      </c>
      <c r="K17" s="7">
        <f ca="1">IFERROR(__xludf.DUMMYFUNCTION("IFERROR((G17-INDEX(GOOGLEFINANCE(C17,""price"",TODAY()-365),2,2))/(INDEX(GOOGLEFINANCE(C17,""price"",TODAY()-365),2,2)),""Not Available"")"),1.22999291784702)</f>
        <v>1.2299929178470199</v>
      </c>
      <c r="L17" s="7">
        <f ca="1">IFERROR(__xludf.DUMMYFUNCTION("IFERROR((G17-INDEX(GOOGLEFINANCE(C17,""price"",$R$6),2,2))/(INDEX(GOOGLEFINANCE(C17,""price"",$R$6),2,2)),""Not Available"")"),1.67012931948272)</f>
        <v>1.67012931948272</v>
      </c>
      <c r="M17" s="18">
        <f t="shared" si="2"/>
        <v>995.04</v>
      </c>
      <c r="N17" s="19">
        <f ca="1">IFERROR(__xludf.DUMMYFUNCTION("IFERROR(GOOGLEFINANCE(C17,""pe""),""Not Available"")"),7.76)</f>
        <v>7.76</v>
      </c>
      <c r="O17" s="1"/>
      <c r="P17" s="1"/>
      <c r="Q17" s="1"/>
      <c r="R17" s="1"/>
      <c r="S17" s="1"/>
      <c r="T17" s="1"/>
      <c r="U17" s="1"/>
      <c r="V17" s="1"/>
      <c r="W17" s="1"/>
      <c r="X17" s="1"/>
      <c r="Y17" s="1"/>
      <c r="Z17" s="1"/>
      <c r="AA17" s="1"/>
      <c r="AB17" s="1"/>
    </row>
    <row r="18" spans="1:28" ht="14.25" customHeight="1" x14ac:dyDescent="0.35">
      <c r="A18" s="1"/>
      <c r="B18" s="1" t="e" vm="40">
        <v>#VALUE!</v>
      </c>
      <c r="C18" s="1" t="s">
        <v>57</v>
      </c>
      <c r="D18" s="21">
        <v>2.4209999999999998</v>
      </c>
      <c r="E18" s="15">
        <v>283.62247000000002</v>
      </c>
      <c r="F18" s="34">
        <v>686.65</v>
      </c>
      <c r="G18" s="15" cm="1">
        <f t="array" ref="G18">_FV(B18,"Price")</f>
        <v>458.82</v>
      </c>
      <c r="H18" s="16">
        <f t="shared" si="0"/>
        <v>1110.80322</v>
      </c>
      <c r="I18" s="17">
        <f t="shared" si="1"/>
        <v>0.6177138574387282</v>
      </c>
      <c r="J18" s="17">
        <f ca="1">IFERROR(__xludf.DUMMYFUNCTION("(G18-INDEX(GOOGLEFINANCE(C18,""price"",TODAY()-7),2,2))/(INDEX(GOOGLEFINANCE(C18,""price"",TODAY()-7),2,2))"),0.000695531211963122)</f>
        <v>6.9553121196312196E-4</v>
      </c>
      <c r="K18" s="7">
        <f ca="1">IFERROR(__xludf.DUMMYFUNCTION("IFERROR((G18-INDEX(GOOGLEFINANCE(C18,""price"",TODAY()-365),2,2))/(INDEX(GOOGLEFINANCE(C18,""price"",TODAY()-365),2,2)),""Not Available"")"),0.00581115917332976)</f>
        <v>5.81115917332976E-3</v>
      </c>
      <c r="L18" s="7">
        <f ca="1">IFERROR(__xludf.DUMMYFUNCTION("IFERROR((G18-INDEX(GOOGLEFINANCE(C18,""price"",$R$6),2,2))/(INDEX(GOOGLEFINANCE(C18,""price"",$R$6),2,2)),""Not Available"")"),-0.147928118001961)</f>
        <v>-0.14792811800196101</v>
      </c>
      <c r="M18" s="18">
        <f t="shared" si="2"/>
        <v>424.15322000000003</v>
      </c>
      <c r="N18" s="19">
        <f ca="1">IFERROR(__xludf.DUMMYFUNCTION("IFERROR(GOOGLEFINANCE(C18,""pe""),""Not Available"")"),34.03)</f>
        <v>34.03</v>
      </c>
      <c r="O18" s="1"/>
      <c r="P18" s="1"/>
      <c r="Q18" s="1"/>
      <c r="R18" s="1"/>
      <c r="S18" s="1"/>
      <c r="T18" s="1"/>
      <c r="U18" s="1"/>
      <c r="V18" s="1"/>
      <c r="W18" s="1"/>
      <c r="X18" s="1"/>
      <c r="Y18" s="1"/>
      <c r="Z18" s="1"/>
      <c r="AA18" s="1"/>
      <c r="AB18" s="1"/>
    </row>
    <row r="19" spans="1:28" ht="14.25" customHeight="1" x14ac:dyDescent="0.35">
      <c r="A19" s="1"/>
      <c r="B19" s="1" t="e" vm="43">
        <v>#VALUE!</v>
      </c>
      <c r="C19" s="1" t="s">
        <v>60</v>
      </c>
      <c r="D19" s="21">
        <v>10.032999999999999</v>
      </c>
      <c r="E19" s="15">
        <v>68.772049999999993</v>
      </c>
      <c r="F19" s="34">
        <v>689.99</v>
      </c>
      <c r="G19" s="15" cm="1">
        <f t="array" ref="G19">_FV(B19,"Price")</f>
        <v>114.78</v>
      </c>
      <c r="H19" s="16">
        <f t="shared" si="0"/>
        <v>1151.5877399999999</v>
      </c>
      <c r="I19" s="17">
        <f t="shared" si="1"/>
        <v>0.66899198148084893</v>
      </c>
      <c r="J19" s="17">
        <f ca="1">IFERROR(__xludf.DUMMYFUNCTION("(G19-INDEX(GOOGLEFINANCE(C19,""price"",TODAY()-7),2,2))/(INDEX(GOOGLEFINANCE(C19,""price"",TODAY()-7),2,2))"),0.00641196900881644)</f>
        <v>6.4119690088164398E-3</v>
      </c>
      <c r="K19" s="7">
        <f ca="1">IFERROR(__xludf.DUMMYFUNCTION("IFERROR((G19-INDEX(GOOGLEFINANCE(C19,""price"",TODAY()-365),2,2))/(INDEX(GOOGLEFINANCE(C19,""price"",TODAY()-365),2,2)),""Not Available"")"),0.58232987958555)</f>
        <v>0.58232987958555005</v>
      </c>
      <c r="L19" s="7">
        <f ca="1">IFERROR(__xludf.DUMMYFUNCTION("IFERROR((G19-INDEX(GOOGLEFINANCE(C19,""price"",$R$6),2,2))/(INDEX(GOOGLEFINANCE(C19,""price"",$R$6),2,2)),""Not Available"")"),0.722188357208168)</f>
        <v>0.72218835720816799</v>
      </c>
      <c r="M19" s="18">
        <f t="shared" si="2"/>
        <v>461.59773999999993</v>
      </c>
      <c r="N19" s="19">
        <f ca="1">IFERROR(__xludf.DUMMYFUNCTION("IFERROR(GOOGLEFINANCE(C19,""pe""),""Not Available"")"),12.91)</f>
        <v>12.91</v>
      </c>
      <c r="O19" s="1"/>
      <c r="P19" s="1"/>
      <c r="Q19" s="1"/>
      <c r="R19" s="1"/>
      <c r="S19" s="1"/>
      <c r="T19" s="1"/>
      <c r="U19" s="1"/>
      <c r="V19" s="1"/>
      <c r="W19" s="1"/>
      <c r="X19" s="1"/>
      <c r="Y19" s="1"/>
      <c r="Z19" s="1"/>
      <c r="AA19" s="1"/>
      <c r="AB19" s="1"/>
    </row>
    <row r="20" spans="1:28" ht="14.25" customHeight="1" x14ac:dyDescent="0.35">
      <c r="A20" s="1"/>
      <c r="B20" s="1" t="e" vm="48">
        <v>#VALUE!</v>
      </c>
      <c r="C20" s="1" t="s">
        <v>65</v>
      </c>
      <c r="D20" s="21">
        <v>13</v>
      </c>
      <c r="E20" s="15">
        <v>17.915379999999999</v>
      </c>
      <c r="F20" s="34">
        <v>232.9</v>
      </c>
      <c r="G20" s="15" cm="1">
        <f t="array" ref="G20">_FV(B20,"Price")</f>
        <v>21.37</v>
      </c>
      <c r="H20" s="16">
        <f t="shared" si="0"/>
        <v>277.81</v>
      </c>
      <c r="I20" s="17">
        <f t="shared" si="1"/>
        <v>0.19282984787372648</v>
      </c>
      <c r="J20" s="17">
        <f ca="1">IFERROR(__xludf.DUMMYFUNCTION("(G20-INDEX(GOOGLEFINANCE(C20,""price"",TODAY()-7),2,2))/(INDEX(GOOGLEFINANCE(C20,""price"",TODAY()-7),2,2))"),0.046191646191646)</f>
        <v>4.6191646191646001E-2</v>
      </c>
      <c r="K20" s="7">
        <f ca="1">IFERROR(__xludf.DUMMYFUNCTION("IFERROR((G20-INDEX(GOOGLEFINANCE(C20,""price"",TODAY()-365),2,2))/(INDEX(GOOGLEFINANCE(C20,""price"",TODAY()-365),2,2)),""Not Available"")"),0.0779746835443037)</f>
        <v>7.7974683544303702E-2</v>
      </c>
      <c r="L20" s="7">
        <f ca="1">IFERROR(__xludf.DUMMYFUNCTION("IFERROR((G20-INDEX(GOOGLEFINANCE(C20,""price"",$R$6),2,2))/(INDEX(GOOGLEFINANCE(C20,""price"",$R$6),2,2)),""Not Available"")"),0.237790697674418)</f>
        <v>0.23779069767441799</v>
      </c>
      <c r="M20" s="18">
        <f t="shared" si="2"/>
        <v>44.91</v>
      </c>
      <c r="N20" s="19">
        <f ca="1">IFERROR(__xludf.DUMMYFUNCTION("IFERROR(GOOGLEFINANCE(C20,""pe""),""Not Available"")"),637.8)</f>
        <v>637.79999999999995</v>
      </c>
      <c r="O20" s="1"/>
      <c r="P20" s="1"/>
      <c r="Q20" s="1"/>
      <c r="R20" s="1"/>
      <c r="S20" s="1"/>
      <c r="T20" s="1"/>
      <c r="U20" s="1"/>
      <c r="V20" s="1"/>
      <c r="W20" s="1"/>
      <c r="X20" s="1"/>
      <c r="Y20" s="1"/>
      <c r="Z20" s="1"/>
      <c r="AA20" s="1"/>
      <c r="AB20" s="1"/>
    </row>
    <row r="21" spans="1:28" ht="14.25" customHeight="1" x14ac:dyDescent="0.35">
      <c r="A21" s="1"/>
      <c r="B21" s="1" t="e" vm="53">
        <v>#VALUE!</v>
      </c>
      <c r="C21" s="1" t="s">
        <v>70</v>
      </c>
      <c r="D21" s="21">
        <v>13</v>
      </c>
      <c r="E21" s="15">
        <v>30.548459999999999</v>
      </c>
      <c r="F21" s="34">
        <v>397.13</v>
      </c>
      <c r="G21" s="15" cm="1">
        <f t="array" ref="G21">_FV(B21,"Price")</f>
        <v>124.87</v>
      </c>
      <c r="H21" s="16">
        <f t="shared" si="0"/>
        <v>1623.31</v>
      </c>
      <c r="I21" s="17">
        <f t="shared" si="1"/>
        <v>3.0876037613680039</v>
      </c>
      <c r="J21" s="17">
        <f ca="1">IFERROR(__xludf.DUMMYFUNCTION("(G21-INDEX(GOOGLEFINANCE(C21,""price"",TODAY()-7),2,2))/(INDEX(GOOGLEFINANCE(C21,""price"",TODAY()-7),2,2))"),-0.0114516394793211)</f>
        <v>-1.14516394793211E-2</v>
      </c>
      <c r="K21" s="7">
        <f ca="1">IFERROR(__xludf.DUMMYFUNCTION("IFERROR((G21-INDEX(GOOGLEFINANCE(C21,""price"",TODAY()-365),2,2))/(INDEX(GOOGLEFINANCE(C21,""price"",TODAY()-365),2,2)),""Not Available"")"),2.68180423442773)</f>
        <v>2.6818042344277302</v>
      </c>
      <c r="L21" s="7">
        <f ca="1">IFERROR(__xludf.DUMMYFUNCTION("IFERROR((G21-INDEX(GOOGLEFINANCE(C21,""price"",$R$6),2,2))/(INDEX(GOOGLEFINANCE(C21,""price"",$R$6),2,2)),""Not Available"")"),2.70911901081916)</f>
        <v>2.7091190108191601</v>
      </c>
      <c r="M21" s="18">
        <f t="shared" si="2"/>
        <v>1226.1799999999998</v>
      </c>
      <c r="N21" s="19">
        <f ca="1">IFERROR(__xludf.DUMMYFUNCTION("IFERROR(GOOGLEFINANCE(C21,""pe""),""Not Available"")"),73.66)</f>
        <v>73.66</v>
      </c>
      <c r="O21" s="1"/>
      <c r="P21" s="1"/>
      <c r="Q21" s="1"/>
      <c r="R21" s="1"/>
      <c r="S21" s="1"/>
      <c r="T21" s="1"/>
      <c r="U21" s="1"/>
      <c r="V21" s="1"/>
      <c r="W21" s="1"/>
      <c r="X21" s="1"/>
      <c r="Y21" s="1"/>
      <c r="Z21" s="1"/>
      <c r="AA21" s="1"/>
      <c r="AB21" s="1"/>
    </row>
    <row r="22" spans="1:28" ht="14.25" customHeight="1" x14ac:dyDescent="0.35">
      <c r="A22" s="1"/>
      <c r="K22" s="7"/>
      <c r="L22" s="7"/>
      <c r="O22" s="1"/>
      <c r="P22" s="1"/>
      <c r="Q22" s="1"/>
      <c r="R22" s="1"/>
      <c r="S22" s="1"/>
      <c r="T22" s="1"/>
      <c r="U22" s="1"/>
      <c r="V22" s="1"/>
      <c r="W22" s="1"/>
      <c r="X22" s="1"/>
      <c r="Y22" s="1"/>
      <c r="Z22" s="1"/>
      <c r="AA22" s="1"/>
      <c r="AB22" s="1"/>
    </row>
    <row r="23" spans="1:28" ht="14.25" customHeight="1" x14ac:dyDescent="0.35">
      <c r="A23" s="1"/>
      <c r="B23" s="8" t="s">
        <v>95</v>
      </c>
      <c r="C23" s="8"/>
      <c r="D23" s="8"/>
      <c r="E23" s="8"/>
      <c r="F23" s="35">
        <f>SUM(F10:F21)</f>
        <v>10035.079999999998</v>
      </c>
      <c r="G23" s="35"/>
      <c r="H23" s="35">
        <f>SUM(H10:H21)</f>
        <v>16110.064159999998</v>
      </c>
      <c r="I23" s="35"/>
      <c r="J23" s="35"/>
      <c r="K23" s="35"/>
      <c r="L23" s="35"/>
      <c r="M23" s="35">
        <f>SUM(M10:M21)</f>
        <v>6074.9841600000018</v>
      </c>
      <c r="N23" s="1"/>
      <c r="O23" s="1"/>
      <c r="P23" s="1"/>
      <c r="Q23" s="1"/>
      <c r="R23" s="1"/>
      <c r="S23" s="1"/>
      <c r="T23" s="1"/>
      <c r="U23" s="1"/>
      <c r="V23" s="1"/>
      <c r="W23" s="1"/>
      <c r="X23" s="1"/>
      <c r="Y23" s="1"/>
      <c r="Z23" s="1"/>
      <c r="AA23" s="1"/>
      <c r="AB23" s="1"/>
    </row>
    <row r="24" spans="1:28" ht="14.25" customHeight="1" x14ac:dyDescent="0.35">
      <c r="A24" s="1"/>
      <c r="B24" s="1"/>
      <c r="C24" s="1"/>
      <c r="D24" s="1"/>
      <c r="E24" s="1"/>
      <c r="F24" s="1"/>
      <c r="G24" s="1"/>
      <c r="H24" s="1"/>
      <c r="I24" s="1"/>
      <c r="J24" s="1"/>
      <c r="K24" s="7"/>
      <c r="L24" s="7"/>
      <c r="M24" s="1"/>
      <c r="N24" s="1"/>
      <c r="O24" s="1"/>
      <c r="P24" s="1"/>
      <c r="Q24" s="1"/>
      <c r="R24" s="1"/>
      <c r="S24" s="1"/>
      <c r="T24" s="1"/>
      <c r="U24" s="1"/>
      <c r="V24" s="1"/>
      <c r="W24" s="1"/>
      <c r="X24" s="1"/>
      <c r="Y24" s="1"/>
      <c r="Z24" s="1"/>
      <c r="AA24" s="1"/>
      <c r="AB24" s="1"/>
    </row>
    <row r="25" spans="1:28" ht="14.2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4.2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4.2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4.2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4.2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4.2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4.2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2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2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2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2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2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2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2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2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2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2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2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2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2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2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2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2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2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2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2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2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2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2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2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2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2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2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2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2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2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2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2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2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2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2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2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2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2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2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2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2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2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2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2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2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2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2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2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2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2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2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2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2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2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2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2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2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2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2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2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2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2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2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2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2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2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2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2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2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2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2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2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2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2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2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2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2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2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2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2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2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2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2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2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2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2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2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2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2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2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2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2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2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2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2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2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2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2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2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2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2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2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2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2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2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2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2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2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2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2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2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2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2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2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2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2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2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2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2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2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2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2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2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2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2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2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2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2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2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2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2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2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2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2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2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2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2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2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2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2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2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2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2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2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2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2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2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2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2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2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2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2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2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2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2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2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2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2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2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2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2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2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2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2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2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2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2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2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2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2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2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2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2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2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2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2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2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2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2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2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2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2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2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2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2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2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2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2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2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2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2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2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2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2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2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2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2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2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2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2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2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2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2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2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2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2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2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2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2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2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2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2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2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2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2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2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2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2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2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2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2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2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2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2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2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2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2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2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2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2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2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2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2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2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2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2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2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2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2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2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2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2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2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2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2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2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2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2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2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2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2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2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2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2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2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2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2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2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2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2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2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2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2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2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2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2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2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2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2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2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2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2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2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2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2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2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2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2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2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2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2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2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2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2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2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2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2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2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2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2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2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2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2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2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2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2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2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2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2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2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2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2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2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2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2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2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2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2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2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2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2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2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2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2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2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2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2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2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2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2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2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2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2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2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2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2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2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2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2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2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2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2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2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2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2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2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2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2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2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2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2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2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2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2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2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2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2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2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2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2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2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2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2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2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2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2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2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2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2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2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2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2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2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2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2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2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2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2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2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2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2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2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2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2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2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2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2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2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2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2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2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2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2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2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2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2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2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2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2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2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2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2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2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2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2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2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2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2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2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2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2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2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2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2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2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2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2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2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2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2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2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2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2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2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2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2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2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2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2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2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2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2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2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2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2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2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2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2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2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2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2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2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2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2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2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2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2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2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2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2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2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2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2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2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2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2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2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2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2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2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2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2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2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2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2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2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2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2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2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2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2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2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2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2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2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2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2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2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2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2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2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2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2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2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2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2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2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2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2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2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2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2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2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2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2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2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2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2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2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2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2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2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2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2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2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2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2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2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2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2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2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2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2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2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2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2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2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2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2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2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2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2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2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2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2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2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2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2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2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2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2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2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2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2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2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2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2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2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2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2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2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2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2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2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2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2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2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2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2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2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2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2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2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2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2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2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2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2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2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2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2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2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2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2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2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2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2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2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2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2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2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2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2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2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2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2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2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2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2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2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2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2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2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2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2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2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2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2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2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2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2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2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2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2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2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2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2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2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2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2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2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2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2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2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2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2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2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2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2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2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2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2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2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2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2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2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2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2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2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2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2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2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2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2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2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2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2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2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2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2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2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2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2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2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2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2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2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2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2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2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2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2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2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2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2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2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2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2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2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2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2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2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2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2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2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2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2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2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2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2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2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2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2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2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2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2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2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2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2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2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2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2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2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2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2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2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2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2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2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2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2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2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2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2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2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2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2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2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2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2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2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2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2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2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2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2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2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2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2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2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2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2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2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2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2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2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2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2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2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2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2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2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2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2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2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2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2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2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2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2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2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2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2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2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2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2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2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2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2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2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2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2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2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2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2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2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2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2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2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2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2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2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2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2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2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2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2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2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2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2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2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2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2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2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2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2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2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2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2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2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2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2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2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2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2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2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2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2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2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2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2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2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2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2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2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2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2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2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2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2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2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2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2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2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2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2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2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2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2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2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2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2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2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2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2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2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2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2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2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2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2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2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2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2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2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2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2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2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2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2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2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2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2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2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2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2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2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2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2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2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2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2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2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2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2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2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2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2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2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2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2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2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2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2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2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2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2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2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2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2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2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2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2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2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2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2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2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2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2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2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sheetData>
  <mergeCells count="2">
    <mergeCell ref="D8:F8"/>
    <mergeCell ref="G8:O8"/>
  </mergeCells>
  <conditionalFormatting sqref="I10:L22 K24:L24">
    <cfRule type="cellIs" dxfId="7" priority="1" operator="greaterThan">
      <formula>0</formula>
    </cfRule>
  </conditionalFormatting>
  <conditionalFormatting sqref="K10:M22 K24:L24">
    <cfRule type="cellIs" dxfId="6" priority="2" operator="lessThan">
      <formula>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819"/>
  <sheetViews>
    <sheetView showGridLines="0" workbookViewId="0">
      <selection activeCell="H22" sqref="H22"/>
    </sheetView>
  </sheetViews>
  <sheetFormatPr defaultColWidth="14.453125" defaultRowHeight="15" customHeight="1" x14ac:dyDescent="0.35"/>
  <cols>
    <col min="1" max="1" width="3.54296875" customWidth="1"/>
    <col min="2" max="2" width="34.453125" customWidth="1"/>
    <col min="3" max="3" width="17.7265625" customWidth="1"/>
    <col min="4" max="4" width="12.54296875" customWidth="1"/>
    <col min="5" max="5" width="10.453125" customWidth="1"/>
    <col min="6" max="6" width="10.81640625" customWidth="1"/>
    <col min="7" max="7" width="10.54296875" customWidth="1"/>
    <col min="8" max="8" width="9.54296875" customWidth="1"/>
    <col min="9" max="9" width="14" customWidth="1"/>
    <col min="10" max="10" width="15.81640625" customWidth="1"/>
    <col min="11" max="13" width="11.08984375" customWidth="1"/>
    <col min="14" max="14" width="17.453125" customWidth="1"/>
    <col min="15" max="15" width="15.81640625" customWidth="1"/>
    <col min="16" max="28" width="8.7265625" customWidth="1"/>
  </cols>
  <sheetData>
    <row r="1" spans="1:28" ht="14.25" customHeight="1" x14ac:dyDescent="0.35">
      <c r="A1" s="1"/>
      <c r="B1" s="1"/>
      <c r="C1" s="1"/>
      <c r="D1" s="1"/>
      <c r="E1" s="1"/>
      <c r="F1" s="1"/>
      <c r="G1" s="1"/>
      <c r="H1" s="1"/>
      <c r="I1" s="1"/>
      <c r="J1" s="1"/>
      <c r="K1" s="1"/>
      <c r="L1" s="1"/>
      <c r="M1" s="1"/>
      <c r="N1" s="1"/>
      <c r="O1" s="1"/>
      <c r="P1" s="1"/>
      <c r="Q1" s="1"/>
      <c r="R1" s="1"/>
      <c r="S1" s="1"/>
      <c r="T1" s="1"/>
      <c r="U1" s="1"/>
      <c r="V1" s="1"/>
      <c r="W1" s="1"/>
      <c r="X1" s="1"/>
      <c r="Y1" s="1"/>
      <c r="Z1" s="1"/>
      <c r="AA1" s="1"/>
      <c r="AB1" s="1"/>
    </row>
    <row r="2" spans="1:28" ht="14.25" customHeight="1" x14ac:dyDescent="0.35">
      <c r="A2" s="1"/>
      <c r="B2" s="2" t="s">
        <v>98</v>
      </c>
      <c r="C2" s="3"/>
      <c r="D2" s="3"/>
      <c r="E2" s="3"/>
      <c r="F2" s="3"/>
      <c r="G2" s="3"/>
      <c r="H2" s="3"/>
      <c r="I2" s="3"/>
      <c r="J2" s="3"/>
      <c r="K2" s="3"/>
      <c r="L2" s="3"/>
      <c r="M2" s="3"/>
      <c r="N2" s="3"/>
      <c r="O2" s="3"/>
      <c r="P2" s="3"/>
      <c r="Q2" s="3"/>
      <c r="R2" s="3"/>
      <c r="S2" s="3"/>
      <c r="T2" s="3"/>
      <c r="V2" s="1"/>
      <c r="W2" s="1"/>
      <c r="X2" s="1"/>
      <c r="Y2" s="1"/>
      <c r="Z2" s="1"/>
      <c r="AA2" s="1"/>
      <c r="AB2" s="1"/>
    </row>
    <row r="3" spans="1:28" ht="14.25" customHeight="1" x14ac:dyDescent="0.35">
      <c r="A3" s="1"/>
      <c r="B3" s="4" t="s">
        <v>1</v>
      </c>
      <c r="C3" s="3"/>
      <c r="D3" s="3"/>
      <c r="E3" s="3"/>
      <c r="F3" s="3"/>
      <c r="G3" s="3"/>
      <c r="H3" s="3"/>
      <c r="I3" s="3"/>
      <c r="J3" s="3"/>
      <c r="K3" s="3"/>
      <c r="L3" s="3"/>
      <c r="M3" s="3"/>
      <c r="N3" s="3"/>
      <c r="O3" s="3"/>
      <c r="P3" s="3"/>
      <c r="Q3" s="3"/>
      <c r="R3" s="3"/>
      <c r="S3" s="3"/>
      <c r="T3" s="3"/>
      <c r="V3" s="1"/>
      <c r="W3" s="1"/>
      <c r="X3" s="1"/>
      <c r="Y3" s="1"/>
      <c r="Z3" s="1"/>
      <c r="AA3" s="1"/>
      <c r="AB3" s="1"/>
    </row>
    <row r="4" spans="1:28" ht="14.25" customHeight="1" x14ac:dyDescent="0.35">
      <c r="A4" s="1"/>
      <c r="B4" s="5" t="s">
        <v>2</v>
      </c>
      <c r="C4" s="3"/>
      <c r="D4" s="3"/>
      <c r="E4" s="3"/>
      <c r="F4" s="3"/>
      <c r="G4" s="3"/>
      <c r="H4" s="3"/>
      <c r="I4" s="3"/>
      <c r="J4" s="3"/>
      <c r="K4" s="3"/>
      <c r="L4" s="3"/>
      <c r="M4" s="3"/>
      <c r="N4" s="3"/>
      <c r="O4" s="3"/>
      <c r="P4" s="3"/>
      <c r="Q4" s="3"/>
      <c r="R4" s="3"/>
      <c r="S4" s="3"/>
      <c r="T4" s="3"/>
      <c r="V4" s="1"/>
      <c r="W4" s="1"/>
      <c r="X4" s="1"/>
      <c r="Y4" s="1"/>
      <c r="Z4" s="1"/>
      <c r="AA4" s="1"/>
      <c r="AB4" s="1"/>
    </row>
    <row r="5" spans="1:28" ht="14.25" customHeight="1" x14ac:dyDescent="0.35">
      <c r="A5" s="1"/>
      <c r="B5" s="1"/>
      <c r="C5" s="6"/>
      <c r="D5" s="6"/>
      <c r="E5" s="7"/>
      <c r="F5" s="1"/>
      <c r="G5" s="1"/>
      <c r="H5" s="1"/>
      <c r="I5" s="1"/>
      <c r="J5" s="1"/>
      <c r="K5" s="1"/>
      <c r="L5" s="1"/>
      <c r="M5" s="1"/>
      <c r="N5" s="1"/>
      <c r="O5" s="1"/>
      <c r="P5" s="1"/>
      <c r="Q5" s="1"/>
      <c r="R5" s="1"/>
      <c r="S5" s="1"/>
      <c r="T5" s="1"/>
      <c r="V5" s="1"/>
      <c r="W5" s="1"/>
      <c r="X5" s="1"/>
      <c r="Y5" s="1"/>
      <c r="Z5" s="1"/>
      <c r="AA5" s="1"/>
      <c r="AB5" s="1"/>
    </row>
    <row r="6" spans="1:28" ht="14.25" customHeight="1" x14ac:dyDescent="0.35">
      <c r="A6" s="1"/>
      <c r="B6" s="8" t="s">
        <v>3</v>
      </c>
      <c r="C6" s="9">
        <f>SUM(H10:H15)</f>
        <v>9816.6678499999998</v>
      </c>
      <c r="D6" s="6"/>
      <c r="E6" s="7"/>
      <c r="F6" s="1"/>
      <c r="G6" s="1"/>
      <c r="H6" s="1"/>
      <c r="I6" s="1"/>
      <c r="J6" s="1"/>
      <c r="K6" s="1"/>
      <c r="L6" s="1"/>
      <c r="M6" s="1"/>
      <c r="N6" s="1"/>
      <c r="O6" s="1"/>
      <c r="P6" s="1"/>
      <c r="Q6" s="1"/>
      <c r="R6" s="25">
        <v>44927</v>
      </c>
      <c r="T6" s="1"/>
      <c r="V6" s="1"/>
      <c r="W6" s="1"/>
      <c r="X6" s="1"/>
      <c r="Y6" s="1"/>
      <c r="Z6" s="1"/>
      <c r="AA6" s="1"/>
      <c r="AB6" s="1"/>
    </row>
    <row r="7" spans="1:28" ht="14.25" customHeight="1" x14ac:dyDescent="0.35">
      <c r="A7" s="1"/>
      <c r="B7" s="1" t="s">
        <v>4</v>
      </c>
      <c r="C7" s="1">
        <f>COUNT(D10:D24)</f>
        <v>6</v>
      </c>
      <c r="D7" s="1"/>
      <c r="E7" s="1"/>
      <c r="F7" s="1"/>
      <c r="G7" s="1"/>
      <c r="H7" s="1"/>
      <c r="I7" s="1"/>
      <c r="J7" s="1"/>
      <c r="K7" s="1"/>
      <c r="L7" s="1"/>
      <c r="M7" s="1"/>
      <c r="N7" s="1"/>
      <c r="O7" s="1"/>
      <c r="P7" s="1"/>
      <c r="Q7" s="1"/>
      <c r="R7" s="1"/>
      <c r="S7" s="1"/>
      <c r="T7" s="1"/>
      <c r="U7" s="1"/>
      <c r="V7" s="1"/>
      <c r="W7" s="1"/>
      <c r="X7" s="1"/>
      <c r="Y7" s="1"/>
      <c r="Z7" s="1"/>
      <c r="AA7" s="1"/>
      <c r="AB7" s="1"/>
    </row>
    <row r="8" spans="1:28" ht="14.25" customHeight="1" x14ac:dyDescent="0.35">
      <c r="A8" s="1"/>
      <c r="B8" s="1"/>
      <c r="C8" s="1"/>
      <c r="D8" s="46" t="s">
        <v>5</v>
      </c>
      <c r="E8" s="47"/>
      <c r="F8" s="48"/>
      <c r="G8" s="46" t="s">
        <v>6</v>
      </c>
      <c r="H8" s="47"/>
      <c r="I8" s="47"/>
      <c r="J8" s="47"/>
      <c r="K8" s="47"/>
      <c r="L8" s="47"/>
      <c r="M8" s="47"/>
      <c r="N8" s="47"/>
      <c r="O8" s="47"/>
      <c r="P8" s="1"/>
      <c r="Q8" s="1"/>
      <c r="R8" s="1"/>
      <c r="S8" s="1"/>
      <c r="T8" s="1"/>
      <c r="U8" s="1"/>
      <c r="V8" s="1"/>
      <c r="W8" s="1"/>
      <c r="X8" s="1"/>
      <c r="Y8" s="1"/>
      <c r="Z8" s="1"/>
      <c r="AA8" s="1"/>
      <c r="AB8" s="1"/>
    </row>
    <row r="9" spans="1:28" ht="14.25" customHeight="1" x14ac:dyDescent="0.35">
      <c r="A9" s="1"/>
      <c r="B9" s="10" t="s">
        <v>7</v>
      </c>
      <c r="C9" s="10" t="s">
        <v>8</v>
      </c>
      <c r="D9" s="10" t="s">
        <v>9</v>
      </c>
      <c r="E9" s="10" t="s">
        <v>10</v>
      </c>
      <c r="F9" s="11" t="s">
        <v>11</v>
      </c>
      <c r="G9" s="10" t="s">
        <v>12</v>
      </c>
      <c r="H9" s="10" t="s">
        <v>13</v>
      </c>
      <c r="I9" s="10" t="s">
        <v>14</v>
      </c>
      <c r="J9" s="10" t="s">
        <v>15</v>
      </c>
      <c r="K9" s="10" t="s">
        <v>92</v>
      </c>
      <c r="L9" s="10" t="s">
        <v>75</v>
      </c>
      <c r="M9" s="10" t="s">
        <v>16</v>
      </c>
      <c r="N9" s="10" t="s">
        <v>17</v>
      </c>
      <c r="O9" s="10"/>
      <c r="P9" s="1"/>
      <c r="Q9" s="1"/>
      <c r="R9" s="1"/>
      <c r="S9" s="1"/>
      <c r="T9" s="1"/>
      <c r="U9" s="1"/>
      <c r="V9" s="1"/>
      <c r="W9" s="1"/>
      <c r="X9" s="1"/>
      <c r="Y9" s="1"/>
      <c r="Z9" s="1"/>
      <c r="AA9" s="1"/>
      <c r="AB9" s="1"/>
    </row>
    <row r="10" spans="1:28" ht="14.25" customHeight="1" x14ac:dyDescent="0.35">
      <c r="A10" s="1"/>
      <c r="B10" s="1" t="e" vm="4">
        <v>#VALUE!</v>
      </c>
      <c r="C10" s="1" t="s">
        <v>21</v>
      </c>
      <c r="D10" s="21">
        <v>5.0069999999999997</v>
      </c>
      <c r="E10" s="15">
        <v>45.69003</v>
      </c>
      <c r="F10" s="34">
        <v>228.77</v>
      </c>
      <c r="G10" s="15" cm="1">
        <f t="array" ref="G10">_FV(B10,"Price")</f>
        <v>67.27</v>
      </c>
      <c r="H10" s="16">
        <f t="shared" ref="H10:H15" si="0">G10*D10</f>
        <v>336.82088999999996</v>
      </c>
      <c r="I10" s="17">
        <f t="shared" ref="I10:I15" si="1">G10/E10-1</f>
        <v>0.47231244978390241</v>
      </c>
      <c r="J10" s="17">
        <f ca="1">IFERROR(__xludf.DUMMYFUNCTION("(G10-INDEX(GOOGLEFINANCE(C10,""price"",TODAY()-7),2,2))/(INDEX(GOOGLEFINANCE(C10,""price"",TODAY()-7),2,2))"),-0.0846483016849424)</f>
        <v>-8.4648301684942404E-2</v>
      </c>
      <c r="K10" s="7">
        <f ca="1">IFERROR(__xludf.DUMMYFUNCTION("IFERROR((G10-INDEX(GOOGLEFINANCE(C10,""price"",TODAY()-365),2,2))/(INDEX(GOOGLEFINANCE(C10,""price"",TODAY()-365),2,2)),""Not Available"")"),0.171086398631308)</f>
        <v>0.17108639863130801</v>
      </c>
      <c r="L10" s="7">
        <f ca="1">IFERROR(__xludf.DUMMYFUNCTION("IFERROR((G10-INDEX(GOOGLEFINANCE(C10,""price"",$R$6),2,2))/(INDEX(GOOGLEFINANCE(C10,""price"",$R$6),2,2)),""Not Available"")"),0.347971642378889)</f>
        <v>0.347971642378889</v>
      </c>
      <c r="M10" s="18">
        <f t="shared" ref="M10:M15" si="2">H10-F10</f>
        <v>108.05088999999995</v>
      </c>
      <c r="N10" s="19">
        <f ca="1">IFERROR(__xludf.DUMMYFUNCTION("IFERROR(GOOGLEFINANCE(C10,""pe""),""Not Available"")"),10.57)</f>
        <v>10.57</v>
      </c>
      <c r="O10" s="1"/>
      <c r="P10" s="1"/>
      <c r="Q10" s="1"/>
      <c r="R10" s="1"/>
      <c r="S10" s="1"/>
      <c r="T10" s="1"/>
      <c r="U10" s="1"/>
      <c r="V10" s="1"/>
      <c r="W10" s="1"/>
      <c r="X10" s="1"/>
      <c r="Y10" s="1"/>
      <c r="Z10" s="1"/>
      <c r="AA10" s="1"/>
      <c r="AB10" s="1"/>
    </row>
    <row r="11" spans="1:28" ht="14.25" customHeight="1" x14ac:dyDescent="0.35">
      <c r="A11" s="1"/>
      <c r="B11" s="1" t="e" vm="6">
        <v>#VALUE!</v>
      </c>
      <c r="C11" s="1" t="s">
        <v>23</v>
      </c>
      <c r="D11" s="21">
        <v>6</v>
      </c>
      <c r="E11" s="15">
        <v>166.55167</v>
      </c>
      <c r="F11" s="34">
        <v>999.31</v>
      </c>
      <c r="G11" s="15" cm="1">
        <f t="array" ref="G11">_FV(B11,"Price")</f>
        <v>404.8</v>
      </c>
      <c r="H11" s="16">
        <f t="shared" si="0"/>
        <v>2428.8000000000002</v>
      </c>
      <c r="I11" s="17">
        <f t="shared" si="1"/>
        <v>1.4304769805070103</v>
      </c>
      <c r="J11" s="17">
        <f ca="1">IFERROR(__xludf.DUMMYFUNCTION("(G11-INDEX(GOOGLEFINANCE(C11,""price"",TODAY()-7),2,2))/(INDEX(GOOGLEFINANCE(C11,""price"",TODAY()-7),2,2))"),0.000669327449862511)</f>
        <v>6.6932744986251101E-4</v>
      </c>
      <c r="K11" s="7">
        <f ca="1">IFERROR(__xludf.DUMMYFUNCTION("IFERROR((G11-INDEX(GOOGLEFINANCE(C11,""price"",TODAY()-365),2,2))/(INDEX(GOOGLEFINANCE(C11,""price"",TODAY()-365),2,2)),""Not Available"")"),0.332739038563127)</f>
        <v>0.33273903856312698</v>
      </c>
      <c r="L11" s="7">
        <f ca="1">IFERROR(__xludf.DUMMYFUNCTION("IFERROR((G11-INDEX(GOOGLEFINANCE(C11,""price"",$R$6),2,2))/(INDEX(GOOGLEFINANCE(C11,""price"",$R$6),2,2)),""Not Available"")"),0.302507179503726)</f>
        <v>0.30250717950372602</v>
      </c>
      <c r="M11" s="18">
        <f t="shared" si="2"/>
        <v>1429.4900000000002</v>
      </c>
      <c r="N11" s="19">
        <f ca="1">IFERROR(__xludf.DUMMYFUNCTION("IFERROR(GOOGLEFINANCE(C11,""pe""),""Not Available"")"),0.01)</f>
        <v>0.01</v>
      </c>
      <c r="O11" s="1"/>
      <c r="P11" s="1"/>
      <c r="Q11" s="1"/>
      <c r="R11" s="1"/>
      <c r="S11" s="1"/>
      <c r="T11" s="1"/>
      <c r="U11" s="1"/>
      <c r="V11" s="1"/>
      <c r="W11" s="1"/>
      <c r="X11" s="1"/>
      <c r="Y11" s="1"/>
      <c r="Z11" s="1"/>
      <c r="AA11" s="1"/>
      <c r="AB11" s="1"/>
    </row>
    <row r="12" spans="1:28" ht="14.25" customHeight="1" x14ac:dyDescent="0.35">
      <c r="A12" s="1"/>
      <c r="B12" s="1" t="e" vm="10">
        <v>#VALUE!</v>
      </c>
      <c r="C12" s="1" t="s">
        <v>27</v>
      </c>
      <c r="D12" s="21">
        <v>3.3410000000000002</v>
      </c>
      <c r="E12" s="15">
        <v>313.55880999999999</v>
      </c>
      <c r="F12" s="33">
        <v>1047.5999999999999</v>
      </c>
      <c r="G12" s="15" cm="1">
        <f t="array" ref="G12">_FV(B12,"Price")</f>
        <v>736.88</v>
      </c>
      <c r="H12" s="16">
        <f t="shared" si="0"/>
        <v>2461.91608</v>
      </c>
      <c r="I12" s="17">
        <f t="shared" si="1"/>
        <v>1.3500535673036902</v>
      </c>
      <c r="J12" s="17">
        <f ca="1">IFERROR(__xludf.DUMMYFUNCTION("(G12-INDEX(GOOGLEFINANCE(C12,""price"",TODAY()-7),2,2))/(INDEX(GOOGLEFINANCE(C12,""price"",TODAY()-7),2,2))"),-0.0598145367370056)</f>
        <v>-5.9814536737005597E-2</v>
      </c>
      <c r="K12" s="7">
        <f ca="1">IFERROR(__xludf.DUMMYFUNCTION("IFERROR((G12-INDEX(GOOGLEFINANCE(C12,""price"",TODAY()-365),2,2))/(INDEX(GOOGLEFINANCE(C12,""price"",TODAY()-365),2,2)),""Not Available"")"),0.512224576271186)</f>
        <v>0.51222457627118601</v>
      </c>
      <c r="L12" s="7">
        <f ca="1">IFERROR(__xludf.DUMMYFUNCTION("IFERROR((G12-INDEX(GOOGLEFINANCE(C12,""price"",$R$6),2,2))/(INDEX(GOOGLEFINANCE(C12,""price"",$R$6),2,2)),""Not Available"")"),0.574677903282739)</f>
        <v>0.57467790328273904</v>
      </c>
      <c r="M12" s="18">
        <f t="shared" si="2"/>
        <v>1414.3160800000001</v>
      </c>
      <c r="N12" s="19">
        <f ca="1">IFERROR(__xludf.DUMMYFUNCTION("IFERROR(GOOGLEFINANCE(C12,""pe""),""Not Available"")"),48.69)</f>
        <v>48.69</v>
      </c>
      <c r="O12" s="1"/>
      <c r="P12" s="1"/>
      <c r="Q12" s="1"/>
      <c r="R12" s="1"/>
      <c r="S12" s="1"/>
      <c r="T12" s="1"/>
      <c r="U12" s="1"/>
      <c r="V12" s="1"/>
      <c r="W12" s="1"/>
      <c r="X12" s="1"/>
      <c r="Y12" s="1"/>
      <c r="Z12" s="1"/>
      <c r="AA12" s="1"/>
      <c r="AB12" s="1"/>
    </row>
    <row r="13" spans="1:28" ht="14.25" customHeight="1" x14ac:dyDescent="0.35">
      <c r="A13" s="1"/>
      <c r="B13" s="1" t="e" vm="11">
        <v>#VALUE!</v>
      </c>
      <c r="C13" s="1" t="s">
        <v>28</v>
      </c>
      <c r="D13" s="21">
        <v>27</v>
      </c>
      <c r="E13" s="15">
        <v>43.82</v>
      </c>
      <c r="F13" s="33">
        <v>1183.1400000000001</v>
      </c>
      <c r="G13" s="15" cm="1">
        <f t="array" ref="G13">_FV(B13,"Price")</f>
        <v>46.84</v>
      </c>
      <c r="H13" s="16">
        <f t="shared" si="0"/>
        <v>1264.68</v>
      </c>
      <c r="I13" s="17">
        <f t="shared" si="1"/>
        <v>6.8918302145139387E-2</v>
      </c>
      <c r="J13" s="17">
        <f ca="1">IFERROR(__xludf.DUMMYFUNCTION("(G13-INDEX(GOOGLEFINANCE(C13,""price"",TODAY()-7),2,2))/(INDEX(GOOGLEFINANCE(C13,""price"",TODAY()-7),2,2))"),0.018983198778093)</f>
        <v>1.8983198778092999E-2</v>
      </c>
      <c r="K13" s="7">
        <f ca="1">IFERROR(__xludf.DUMMYFUNCTION("IFERROR((G13-INDEX(GOOGLEFINANCE(C13,""price"",TODAY()-365),2,2))/(INDEX(GOOGLEFINANCE(C13,""price"",TODAY()-365),2,2)),""Not Available"")"),0.13930226884606)</f>
        <v>0.13930226884606001</v>
      </c>
      <c r="L13" s="7">
        <f ca="1">IFERROR(__xludf.DUMMYFUNCTION("IFERROR((G13-INDEX(GOOGLEFINANCE(C13,""price"",$R$6),2,2))/(INDEX(GOOGLEFINANCE(C13,""price"",$R$6),2,2)),""Not Available"")"),-0.191621949108533)</f>
        <v>-0.191621949108533</v>
      </c>
      <c r="M13" s="18">
        <f t="shared" si="2"/>
        <v>81.539999999999964</v>
      </c>
      <c r="N13" s="19">
        <f ca="1">IFERROR(__xludf.DUMMYFUNCTION("IFERROR(GOOGLEFINANCE(C13,""pe""),""Not Available"")"),26.17)</f>
        <v>26.17</v>
      </c>
      <c r="O13" s="1"/>
      <c r="P13" s="1"/>
      <c r="Q13" s="1"/>
      <c r="R13" s="1"/>
      <c r="S13" s="1"/>
      <c r="T13" s="1"/>
      <c r="U13" s="1"/>
      <c r="V13" s="1"/>
      <c r="W13" s="1"/>
      <c r="X13" s="1"/>
      <c r="Y13" s="1"/>
      <c r="Z13" s="1"/>
      <c r="AA13" s="1"/>
      <c r="AB13" s="1"/>
    </row>
    <row r="14" spans="1:28" ht="14.25" customHeight="1" x14ac:dyDescent="0.35">
      <c r="A14" s="1"/>
      <c r="B14" s="1" t="e" vm="12">
        <v>#VALUE!</v>
      </c>
      <c r="C14" s="1" t="s">
        <v>29</v>
      </c>
      <c r="D14" s="21">
        <v>15.926</v>
      </c>
      <c r="E14" s="15">
        <v>91.268990000000002</v>
      </c>
      <c r="F14" s="33">
        <v>1453.55</v>
      </c>
      <c r="G14" s="15" cm="1">
        <f t="array" ref="G14">_FV(B14,"Price")</f>
        <v>75.209999999999994</v>
      </c>
      <c r="H14" s="16">
        <f t="shared" si="0"/>
        <v>1197.7944599999998</v>
      </c>
      <c r="I14" s="17">
        <f t="shared" si="1"/>
        <v>-0.17595231414306223</v>
      </c>
      <c r="J14" s="17">
        <f ca="1">IFERROR(__xludf.DUMMYFUNCTION("(G14-INDEX(GOOGLEFINANCE(C14,""price"",TODAY()-7),2,2))/(INDEX(GOOGLEFINANCE(C14,""price"",TODAY()-7),2,2))"),0.0326160508864527)</f>
        <v>3.2616050886452697E-2</v>
      </c>
      <c r="K14" s="7">
        <f ca="1">IFERROR(__xludf.DUMMYFUNCTION("IFERROR((G14-INDEX(GOOGLEFINANCE(C14,""price"",TODAY()-365),2,2))/(INDEX(GOOGLEFINANCE(C14,""price"",TODAY()-365),2,2)),""Not Available"")"),0.000262191924488673)</f>
        <v>2.62191924488673E-4</v>
      </c>
      <c r="L14" s="7">
        <f ca="1">IFERROR(__xludf.DUMMYFUNCTION("IFERROR((G14-INDEX(GOOGLEFINANCE(C14,""price"",$R$6),2,2))/(INDEX(GOOGLEFINANCE(C14,""price"",$R$6),2,2)),""Not Available"")"),-0.178775158755785)</f>
        <v>-0.17877515875578501</v>
      </c>
      <c r="M14" s="18">
        <f t="shared" si="2"/>
        <v>-255.75554000000011</v>
      </c>
      <c r="N14" s="19">
        <f ca="1">IFERROR(__xludf.DUMMYFUNCTION("IFERROR(GOOGLEFINANCE(C14,""pe""),""Not Available"")"),11.76)</f>
        <v>11.76</v>
      </c>
      <c r="O14" s="1"/>
      <c r="P14" s="1"/>
      <c r="Q14" s="1"/>
      <c r="R14" s="1"/>
      <c r="S14" s="1"/>
      <c r="T14" s="1"/>
      <c r="U14" s="1"/>
      <c r="V14" s="1"/>
      <c r="W14" s="1"/>
      <c r="X14" s="1"/>
      <c r="Y14" s="1"/>
      <c r="Z14" s="1"/>
      <c r="AA14" s="1"/>
      <c r="AB14" s="1"/>
    </row>
    <row r="15" spans="1:28" ht="14.25" customHeight="1" x14ac:dyDescent="0.35">
      <c r="A15" s="1"/>
      <c r="B15" s="1" t="e" vm="44">
        <v>#VALUE!</v>
      </c>
      <c r="C15" s="1" t="s">
        <v>61</v>
      </c>
      <c r="D15" s="21">
        <v>16.065999999999999</v>
      </c>
      <c r="E15" s="15">
        <v>48.040579999999999</v>
      </c>
      <c r="F15" s="34">
        <v>771.82</v>
      </c>
      <c r="G15" s="15" cm="1">
        <f t="array" ref="G15">_FV(B15,"Price")</f>
        <v>132.37</v>
      </c>
      <c r="H15" s="16">
        <f t="shared" si="0"/>
        <v>2126.6564199999998</v>
      </c>
      <c r="I15" s="17">
        <f t="shared" si="1"/>
        <v>1.7553788900966643</v>
      </c>
      <c r="J15" s="17">
        <f ca="1">IFERROR(__xludf.DUMMYFUNCTION("(G15-INDEX(GOOGLEFINANCE(C15,""price"",TODAY()-7),2,2))/(INDEX(GOOGLEFINANCE(C15,""price"",TODAY()-7),2,2))"),-0.0526736413833188)</f>
        <v>-5.2673641383318801E-2</v>
      </c>
      <c r="K15" s="7">
        <f ca="1">IFERROR(__xludf.DUMMYFUNCTION("IFERROR((G15-INDEX(GOOGLEFINANCE(C15,""price"",TODAY()-365),2,2))/(INDEX(GOOGLEFINANCE(C15,""price"",TODAY()-365),2,2)),""Not Available"")"),0.794028618602091)</f>
        <v>0.79402861860209095</v>
      </c>
      <c r="L15" s="7">
        <f ca="1">IFERROR(__xludf.DUMMYFUNCTION("IFERROR((G15-INDEX(GOOGLEFINANCE(C15,""price"",$R$6),2,2))/(INDEX(GOOGLEFINANCE(C15,""price"",$R$6),2,2)),""Not Available"")"),0.827214125560538)</f>
        <v>0.82721412556053797</v>
      </c>
      <c r="M15" s="18">
        <f t="shared" si="2"/>
        <v>1354.8364199999996</v>
      </c>
      <c r="N15" s="19">
        <f ca="1">IFERROR(__xludf.DUMMYFUNCTION("IFERROR(GOOGLEFINANCE(C15,""pe""),""Not Available"")"),15.37)</f>
        <v>15.37</v>
      </c>
      <c r="O15" s="1"/>
      <c r="P15" s="1"/>
      <c r="Q15" s="1"/>
      <c r="R15" s="1"/>
      <c r="S15" s="1"/>
      <c r="T15" s="1"/>
      <c r="U15" s="1"/>
      <c r="V15" s="1"/>
      <c r="W15" s="1"/>
      <c r="X15" s="1"/>
      <c r="Y15" s="1"/>
      <c r="Z15" s="1"/>
      <c r="AA15" s="1"/>
      <c r="AB15" s="1"/>
    </row>
    <row r="16" spans="1:28" ht="14.25" customHeight="1" x14ac:dyDescent="0.35">
      <c r="A16" s="1"/>
      <c r="B16" s="1"/>
      <c r="C16" s="1"/>
      <c r="D16" s="1"/>
      <c r="E16" s="1"/>
      <c r="F16" s="1"/>
      <c r="G16" s="1"/>
      <c r="H16" s="1"/>
      <c r="I16" s="1"/>
      <c r="J16" s="1"/>
      <c r="K16" s="7"/>
      <c r="L16" s="7"/>
      <c r="M16" s="1"/>
      <c r="N16" s="1"/>
      <c r="O16" s="1"/>
      <c r="P16" s="1"/>
      <c r="Q16" s="1"/>
      <c r="R16" s="1"/>
      <c r="S16" s="1"/>
      <c r="T16" s="1"/>
      <c r="U16" s="1"/>
      <c r="V16" s="1"/>
      <c r="W16" s="1"/>
      <c r="X16" s="1"/>
      <c r="Y16" s="1"/>
      <c r="Z16" s="1"/>
      <c r="AA16" s="1"/>
      <c r="AB16" s="1"/>
    </row>
    <row r="17" spans="1:28" ht="14.25" customHeight="1" x14ac:dyDescent="0.35">
      <c r="A17" s="1"/>
      <c r="B17" s="8" t="s">
        <v>95</v>
      </c>
      <c r="C17" s="8"/>
      <c r="D17" s="8"/>
      <c r="E17" s="8"/>
      <c r="F17" s="35">
        <f>SUM(F10:F15)</f>
        <v>5684.19</v>
      </c>
      <c r="G17" s="35"/>
      <c r="H17" s="35">
        <f>SUM(H10:H15)</f>
        <v>9816.6678499999998</v>
      </c>
      <c r="I17" s="35"/>
      <c r="J17" s="35"/>
      <c r="K17" s="35"/>
      <c r="L17" s="7"/>
      <c r="M17" s="35">
        <f>SUM(M10:M15)</f>
        <v>4132.4778499999993</v>
      </c>
      <c r="N17" s="1"/>
      <c r="O17" s="1"/>
      <c r="P17" s="1"/>
      <c r="Q17" s="1"/>
      <c r="R17" s="1"/>
      <c r="S17" s="1"/>
      <c r="T17" s="1"/>
      <c r="U17" s="1"/>
      <c r="V17" s="1"/>
      <c r="W17" s="1"/>
      <c r="X17" s="1"/>
      <c r="Y17" s="1"/>
      <c r="Z17" s="1"/>
      <c r="AA17" s="1"/>
      <c r="AB17" s="1"/>
    </row>
    <row r="18" spans="1:28" ht="14.25" customHeight="1" x14ac:dyDescent="0.35">
      <c r="A18" s="1"/>
      <c r="B18" s="1"/>
      <c r="C18" s="1"/>
      <c r="D18" s="1"/>
      <c r="E18" s="1"/>
      <c r="F18" s="1"/>
      <c r="G18" s="1"/>
      <c r="H18" s="1"/>
      <c r="I18" s="1"/>
      <c r="J18" s="1"/>
      <c r="K18" s="7"/>
      <c r="L18" s="7"/>
      <c r="M18" s="1"/>
      <c r="N18" s="1"/>
      <c r="O18" s="1"/>
      <c r="P18" s="1"/>
      <c r="Q18" s="1"/>
      <c r="R18" s="1"/>
      <c r="S18" s="1"/>
      <c r="T18" s="1"/>
      <c r="U18" s="1"/>
      <c r="V18" s="1"/>
      <c r="W18" s="1"/>
      <c r="X18" s="1"/>
      <c r="Y18" s="1"/>
      <c r="Z18" s="1"/>
      <c r="AA18" s="1"/>
      <c r="AB18" s="1"/>
    </row>
    <row r="19" spans="1:28" ht="14.25" customHeight="1" x14ac:dyDescent="0.35">
      <c r="A19" s="1"/>
      <c r="B19" s="1"/>
      <c r="C19" s="1"/>
      <c r="D19" s="1"/>
      <c r="E19" s="1"/>
      <c r="F19" s="1"/>
      <c r="G19" s="1"/>
      <c r="H19" s="1"/>
      <c r="I19" s="1"/>
      <c r="J19" s="1"/>
      <c r="K19" s="7"/>
      <c r="L19" s="7"/>
      <c r="M19" s="1"/>
      <c r="N19" s="1"/>
      <c r="O19" s="1"/>
      <c r="P19" s="1"/>
      <c r="Q19" s="1"/>
      <c r="R19" s="1"/>
      <c r="S19" s="1"/>
      <c r="T19" s="1"/>
      <c r="U19" s="1"/>
      <c r="V19" s="1"/>
      <c r="W19" s="1"/>
      <c r="X19" s="1"/>
      <c r="Y19" s="1"/>
      <c r="Z19" s="1"/>
      <c r="AA19" s="1"/>
      <c r="AB19" s="1"/>
    </row>
    <row r="20" spans="1:28" ht="14.25" customHeight="1" x14ac:dyDescent="0.35">
      <c r="A20" s="1"/>
      <c r="B20" s="1"/>
      <c r="C20" s="1"/>
      <c r="D20" s="1"/>
      <c r="E20" s="1"/>
      <c r="F20" s="1"/>
      <c r="G20" s="1"/>
      <c r="H20" s="1"/>
      <c r="I20" s="1"/>
      <c r="J20" s="1"/>
      <c r="K20" s="7"/>
      <c r="L20" s="7"/>
      <c r="M20" s="1"/>
      <c r="N20" s="1"/>
      <c r="O20" s="1"/>
      <c r="P20" s="1"/>
      <c r="Q20" s="1"/>
      <c r="R20" s="1"/>
      <c r="S20" s="1"/>
      <c r="T20" s="1"/>
      <c r="U20" s="1"/>
      <c r="V20" s="1"/>
      <c r="W20" s="1"/>
      <c r="X20" s="1"/>
      <c r="Y20" s="1"/>
      <c r="Z20" s="1"/>
      <c r="AA20" s="1"/>
      <c r="AB20" s="1"/>
    </row>
    <row r="21" spans="1:28" ht="14.25" customHeight="1" x14ac:dyDescent="0.35">
      <c r="A21" s="1"/>
      <c r="B21" s="1"/>
      <c r="C21" s="1"/>
      <c r="D21" s="1"/>
      <c r="E21" s="1"/>
      <c r="F21" s="1"/>
      <c r="G21" s="1"/>
      <c r="H21" s="1"/>
      <c r="I21" s="1"/>
      <c r="J21" s="1"/>
      <c r="K21" s="7"/>
      <c r="L21" s="7"/>
      <c r="M21" s="1"/>
      <c r="N21" s="1"/>
      <c r="O21" s="1"/>
      <c r="P21" s="1"/>
      <c r="Q21" s="1"/>
      <c r="R21" s="1"/>
      <c r="S21" s="1"/>
      <c r="T21" s="1"/>
      <c r="U21" s="1"/>
      <c r="V21" s="1"/>
      <c r="W21" s="1"/>
      <c r="X21" s="1"/>
      <c r="Y21" s="1"/>
      <c r="Z21" s="1"/>
      <c r="AA21" s="1"/>
      <c r="AB21" s="1"/>
    </row>
    <row r="22" spans="1:28" ht="14.25" customHeight="1" x14ac:dyDescent="0.35">
      <c r="A22" s="1"/>
      <c r="B22" s="1"/>
      <c r="C22" s="1"/>
      <c r="D22" s="1"/>
      <c r="E22" s="1"/>
      <c r="F22" s="1"/>
      <c r="G22" s="1"/>
      <c r="H22" s="1"/>
      <c r="I22" s="1"/>
      <c r="J22" s="1"/>
      <c r="K22" s="7"/>
      <c r="L22" s="7"/>
      <c r="M22" s="1"/>
      <c r="N22" s="1"/>
      <c r="O22" s="1"/>
      <c r="P22" s="1"/>
      <c r="Q22" s="1"/>
      <c r="R22" s="1"/>
      <c r="S22" s="1"/>
      <c r="T22" s="1"/>
      <c r="U22" s="1"/>
      <c r="V22" s="1"/>
      <c r="W22" s="1"/>
      <c r="X22" s="1"/>
      <c r="Y22" s="1"/>
      <c r="Z22" s="1"/>
      <c r="AA22" s="1"/>
      <c r="AB22" s="1"/>
    </row>
    <row r="23" spans="1:28" ht="14.25" customHeight="1" x14ac:dyDescent="0.35">
      <c r="A23" s="1"/>
      <c r="B23" s="1"/>
      <c r="C23" s="1"/>
      <c r="D23" s="1"/>
      <c r="E23" s="1"/>
      <c r="F23" s="1"/>
      <c r="G23" s="1"/>
      <c r="H23" s="1"/>
      <c r="I23" s="1"/>
      <c r="J23" s="1"/>
      <c r="K23" s="7"/>
      <c r="L23" s="7"/>
      <c r="M23" s="1"/>
      <c r="N23" s="1"/>
      <c r="O23" s="1"/>
      <c r="P23" s="1"/>
      <c r="Q23" s="1"/>
      <c r="R23" s="1"/>
      <c r="S23" s="1"/>
      <c r="T23" s="1"/>
      <c r="U23" s="1"/>
      <c r="V23" s="1"/>
      <c r="W23" s="1"/>
      <c r="X23" s="1"/>
      <c r="Y23" s="1"/>
      <c r="Z23" s="1"/>
      <c r="AA23" s="1"/>
      <c r="AB23" s="1"/>
    </row>
    <row r="24" spans="1:28" ht="14.25" customHeight="1" x14ac:dyDescent="0.35">
      <c r="A24" s="1"/>
      <c r="B24" s="1"/>
      <c r="C24" s="1"/>
      <c r="D24" s="1"/>
      <c r="E24" s="1"/>
      <c r="F24" s="1"/>
      <c r="G24" s="1"/>
      <c r="H24" s="1"/>
      <c r="I24" s="1"/>
      <c r="J24" s="1"/>
      <c r="K24" s="7"/>
      <c r="L24" s="7"/>
      <c r="M24" s="1"/>
      <c r="N24" s="1"/>
      <c r="O24" s="1"/>
      <c r="P24" s="1"/>
      <c r="Q24" s="1"/>
      <c r="R24" s="1"/>
      <c r="S24" s="1"/>
      <c r="T24" s="1"/>
      <c r="U24" s="1"/>
      <c r="V24" s="1"/>
      <c r="W24" s="1"/>
      <c r="X24" s="1"/>
      <c r="Y24" s="1"/>
      <c r="Z24" s="1"/>
      <c r="AA24" s="1"/>
      <c r="AB24" s="1"/>
    </row>
    <row r="25" spans="1:28" ht="14.2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4.2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4.2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4.2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4.2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4.2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4.2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2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2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2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2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2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2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2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2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2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2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2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2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2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2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2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2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2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2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2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2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2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2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2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2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2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2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2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2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2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2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2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2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2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2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2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2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2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2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2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2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2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2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2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2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2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2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2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2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2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2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2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2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2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2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2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2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2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2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2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2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2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2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2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2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2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2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2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2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2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2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2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2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2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2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2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2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2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2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2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2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2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2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2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2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2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2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2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2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2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2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2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2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2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2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2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2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2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2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2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2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2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2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2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2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2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2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2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2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2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2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2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2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2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2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2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2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2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2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2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2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2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2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2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2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2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2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2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2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2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2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2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2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2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2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2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2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2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2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2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2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2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2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2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2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2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2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2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2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2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2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2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2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2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2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2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2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2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2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2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2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2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2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2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2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2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2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2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2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2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2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2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2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2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2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2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2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2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2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2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2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2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2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2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2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2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2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2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2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2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2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2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2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2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2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2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2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2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2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2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2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2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2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2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2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2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2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2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2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2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2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2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2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2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2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2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2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2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2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2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2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2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2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2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2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2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2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2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2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2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2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2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2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2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2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2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2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2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2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2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2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2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2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2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2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2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2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2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2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2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2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2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2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2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2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2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2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2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2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2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2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2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2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2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2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2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2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2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2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2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2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2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2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2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2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2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2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2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2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2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2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2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2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2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2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2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2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2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2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2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2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2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2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2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2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2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2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2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2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2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2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2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2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2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2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2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2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2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2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2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2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2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2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2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2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2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2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2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2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2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2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2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2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2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2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2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2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2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2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2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2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2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2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2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2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2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2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2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2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2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2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2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2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2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2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2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2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2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2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2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2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2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2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2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2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2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2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2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2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2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2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2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2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2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2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2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2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2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2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2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2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2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2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2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2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2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2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2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2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2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2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2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2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2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2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2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2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2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2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2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2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2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2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2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2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2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2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2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2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2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2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2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2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2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2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2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2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2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2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2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2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2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2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2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2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2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2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2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2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2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2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2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2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2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2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2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2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2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2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2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2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2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2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2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2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2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2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2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2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2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2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2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2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2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2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2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2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2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2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2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2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2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2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2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2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2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2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2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2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2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2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2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2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2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2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2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2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2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2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2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2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2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2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2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2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2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2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2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2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2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2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2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2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2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2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2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2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2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2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2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2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2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2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2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2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2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2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2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2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2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2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2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2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2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2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2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2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2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2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2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2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2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2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2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2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2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2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2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2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2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2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2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2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2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2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2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2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2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2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2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2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2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2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2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2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2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2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2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2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2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2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2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2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2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2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2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2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2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2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2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2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2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2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2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2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2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2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2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2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2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2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2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2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2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2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2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2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2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2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2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2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2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2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2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2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2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2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2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2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2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2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2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2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2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2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2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2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2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2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2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2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2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2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2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2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2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2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2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2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2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2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2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2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2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2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2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2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2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2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2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2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2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2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2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2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2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2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2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2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2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2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2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2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2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2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2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2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2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2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2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2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2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2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2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2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2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2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2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2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2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2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2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2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2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2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2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2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2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2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2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2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2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2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2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2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2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2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2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2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2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2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2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2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2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2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2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2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2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2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2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2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2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2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2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2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2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2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2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2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2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2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2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2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2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2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2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2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2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2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2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2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2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2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2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2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2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2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2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2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2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2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2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2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2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2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2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2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2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2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2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2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2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2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2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2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2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2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2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2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2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2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2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2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2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2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2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2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2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2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2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2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2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2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2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2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2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2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2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2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2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2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2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2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2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2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2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2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2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2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2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2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2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2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2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2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2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2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2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2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2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2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2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2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2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2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2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2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2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2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2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2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2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2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2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2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2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2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2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2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2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2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2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2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2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2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2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2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2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2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sheetData>
  <mergeCells count="2">
    <mergeCell ref="D8:F8"/>
    <mergeCell ref="G8:O8"/>
  </mergeCells>
  <conditionalFormatting sqref="I10:J15 K10:K16 L10:L24 K18:K24">
    <cfRule type="cellIs" dxfId="5" priority="1" operator="greaterThan">
      <formula>0</formula>
    </cfRule>
  </conditionalFormatting>
  <conditionalFormatting sqref="M10:M15 K10:K16 L10:L21 K18:K21">
    <cfRule type="cellIs" dxfId="4" priority="2" operator="lessThan">
      <formula>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772"/>
  <sheetViews>
    <sheetView showGridLines="0" workbookViewId="0">
      <selection activeCell="J21" sqref="J21"/>
    </sheetView>
  </sheetViews>
  <sheetFormatPr defaultColWidth="14.453125" defaultRowHeight="15" customHeight="1" x14ac:dyDescent="0.35"/>
  <cols>
    <col min="1" max="1" width="3.54296875" customWidth="1"/>
    <col min="2" max="2" width="34.453125" customWidth="1"/>
    <col min="3" max="3" width="17.7265625" customWidth="1"/>
    <col min="4" max="4" width="12.54296875" customWidth="1"/>
    <col min="5" max="5" width="10.453125" customWidth="1"/>
    <col min="6" max="6" width="10.81640625" customWidth="1"/>
    <col min="7" max="7" width="10.54296875" customWidth="1"/>
    <col min="8" max="8" width="9.54296875" customWidth="1"/>
    <col min="9" max="9" width="14" customWidth="1"/>
    <col min="10" max="10" width="15.81640625" customWidth="1"/>
    <col min="11" max="13" width="11.08984375" customWidth="1"/>
    <col min="14" max="14" width="17.453125" customWidth="1"/>
    <col min="15" max="15" width="15.81640625" customWidth="1"/>
    <col min="16" max="28" width="8.7265625" customWidth="1"/>
  </cols>
  <sheetData>
    <row r="1" spans="1:28" ht="14.25" customHeight="1" x14ac:dyDescent="0.35">
      <c r="A1" s="1"/>
      <c r="B1" s="1"/>
      <c r="C1" s="1"/>
      <c r="D1" s="1"/>
      <c r="E1" s="1"/>
      <c r="F1" s="1"/>
      <c r="G1" s="1"/>
      <c r="H1" s="1"/>
      <c r="I1" s="1"/>
      <c r="J1" s="1"/>
      <c r="K1" s="1"/>
      <c r="L1" s="1"/>
      <c r="M1" s="1"/>
      <c r="N1" s="1"/>
      <c r="O1" s="1"/>
      <c r="P1" s="1"/>
      <c r="Q1" s="1"/>
      <c r="R1" s="1"/>
      <c r="S1" s="1"/>
      <c r="T1" s="1"/>
      <c r="U1" s="1"/>
      <c r="V1" s="1"/>
      <c r="W1" s="1"/>
      <c r="X1" s="1"/>
      <c r="Y1" s="1"/>
      <c r="Z1" s="1"/>
      <c r="AA1" s="1"/>
      <c r="AB1" s="1"/>
    </row>
    <row r="2" spans="1:28" ht="14.25" customHeight="1" x14ac:dyDescent="0.35">
      <c r="A2" s="1"/>
      <c r="B2" s="2" t="s">
        <v>99</v>
      </c>
      <c r="C2" s="3"/>
      <c r="D2" s="3"/>
      <c r="E2" s="3"/>
      <c r="F2" s="3"/>
      <c r="G2" s="3"/>
      <c r="H2" s="3"/>
      <c r="I2" s="3"/>
      <c r="J2" s="3"/>
      <c r="K2" s="3"/>
      <c r="L2" s="3"/>
      <c r="M2" s="3"/>
      <c r="N2" s="3"/>
      <c r="O2" s="3"/>
      <c r="P2" s="3"/>
      <c r="Q2" s="3"/>
      <c r="R2" s="3"/>
      <c r="S2" s="3"/>
      <c r="T2" s="3"/>
      <c r="V2" s="1"/>
      <c r="W2" s="1"/>
      <c r="X2" s="1"/>
      <c r="Y2" s="1"/>
      <c r="Z2" s="1"/>
      <c r="AA2" s="1"/>
      <c r="AB2" s="1"/>
    </row>
    <row r="3" spans="1:28" ht="14.25" customHeight="1" x14ac:dyDescent="0.35">
      <c r="A3" s="1"/>
      <c r="B3" s="4" t="s">
        <v>1</v>
      </c>
      <c r="C3" s="3"/>
      <c r="D3" s="3"/>
      <c r="E3" s="3"/>
      <c r="F3" s="3"/>
      <c r="G3" s="3"/>
      <c r="H3" s="3"/>
      <c r="I3" s="3"/>
      <c r="J3" s="3"/>
      <c r="K3" s="3"/>
      <c r="L3" s="3"/>
      <c r="M3" s="3"/>
      <c r="N3" s="3"/>
      <c r="O3" s="3"/>
      <c r="P3" s="3"/>
      <c r="Q3" s="3"/>
      <c r="R3" s="3"/>
      <c r="S3" s="3"/>
      <c r="T3" s="3"/>
      <c r="V3" s="1"/>
      <c r="W3" s="1"/>
      <c r="X3" s="1"/>
      <c r="Y3" s="1"/>
      <c r="Z3" s="1"/>
      <c r="AA3" s="1"/>
      <c r="AB3" s="1"/>
    </row>
    <row r="4" spans="1:28" ht="14.25" customHeight="1" x14ac:dyDescent="0.35">
      <c r="A4" s="1"/>
      <c r="B4" s="5" t="s">
        <v>2</v>
      </c>
      <c r="C4" s="3"/>
      <c r="D4" s="3"/>
      <c r="E4" s="3"/>
      <c r="F4" s="3"/>
      <c r="G4" s="3"/>
      <c r="H4" s="3"/>
      <c r="I4" s="3"/>
      <c r="J4" s="3"/>
      <c r="K4" s="3"/>
      <c r="L4" s="3"/>
      <c r="M4" s="3"/>
      <c r="N4" s="3"/>
      <c r="O4" s="3"/>
      <c r="P4" s="3"/>
      <c r="Q4" s="3"/>
      <c r="R4" s="3"/>
      <c r="S4" s="3"/>
      <c r="T4" s="3"/>
      <c r="V4" s="1"/>
      <c r="W4" s="1"/>
      <c r="X4" s="1"/>
      <c r="Y4" s="1"/>
      <c r="Z4" s="1"/>
      <c r="AA4" s="1"/>
      <c r="AB4" s="1"/>
    </row>
    <row r="5" spans="1:28" ht="14.25" customHeight="1" x14ac:dyDescent="0.35">
      <c r="A5" s="1"/>
      <c r="B5" s="1"/>
      <c r="C5" s="6"/>
      <c r="D5" s="6"/>
      <c r="E5" s="7"/>
      <c r="F5" s="1"/>
      <c r="G5" s="1"/>
      <c r="H5" s="1"/>
      <c r="I5" s="1"/>
      <c r="J5" s="1"/>
      <c r="K5" s="1"/>
      <c r="L5" s="1"/>
      <c r="M5" s="1"/>
      <c r="N5" s="1"/>
      <c r="O5" s="1"/>
      <c r="P5" s="1"/>
      <c r="Q5" s="1"/>
      <c r="R5" s="1"/>
      <c r="S5" s="1"/>
      <c r="T5" s="1"/>
      <c r="V5" s="1"/>
      <c r="W5" s="1"/>
      <c r="X5" s="1"/>
      <c r="Y5" s="1"/>
      <c r="Z5" s="1"/>
      <c r="AA5" s="1"/>
      <c r="AB5" s="1"/>
    </row>
    <row r="6" spans="1:28" ht="14.25" customHeight="1" x14ac:dyDescent="0.35">
      <c r="A6" s="1"/>
      <c r="B6" s="8" t="s">
        <v>3</v>
      </c>
      <c r="C6" s="9">
        <f>SUM(H10:H18)</f>
        <v>10242.755125</v>
      </c>
      <c r="D6" s="6"/>
      <c r="E6" s="7"/>
      <c r="F6" s="1"/>
      <c r="G6" s="1"/>
      <c r="H6" s="1"/>
      <c r="I6" s="1"/>
      <c r="J6" s="1"/>
      <c r="K6" s="1"/>
      <c r="L6" s="1"/>
      <c r="M6" s="1"/>
      <c r="N6" s="1"/>
      <c r="O6" s="1"/>
      <c r="P6" s="1"/>
      <c r="Q6" s="1"/>
      <c r="R6" s="25">
        <v>44927</v>
      </c>
      <c r="T6" s="1"/>
      <c r="V6" s="1"/>
      <c r="W6" s="1"/>
      <c r="X6" s="1"/>
      <c r="Y6" s="1"/>
      <c r="Z6" s="1"/>
      <c r="AA6" s="1"/>
      <c r="AB6" s="1"/>
    </row>
    <row r="7" spans="1:28" ht="14.25" customHeight="1" x14ac:dyDescent="0.35">
      <c r="A7" s="1"/>
      <c r="B7" s="1" t="s">
        <v>4</v>
      </c>
      <c r="C7" s="1">
        <f>COUNT(D10:D24)</f>
        <v>9</v>
      </c>
      <c r="D7" s="1"/>
      <c r="E7" s="1"/>
      <c r="F7" s="1"/>
      <c r="G7" s="1"/>
      <c r="H7" s="1"/>
      <c r="I7" s="1"/>
      <c r="J7" s="1"/>
      <c r="K7" s="1"/>
      <c r="L7" s="1"/>
      <c r="M7" s="1"/>
      <c r="N7" s="1"/>
      <c r="O7" s="1"/>
      <c r="P7" s="1"/>
      <c r="Q7" s="1"/>
      <c r="R7" s="1"/>
      <c r="S7" s="1"/>
      <c r="T7" s="1"/>
      <c r="U7" s="1"/>
      <c r="V7" s="1"/>
      <c r="W7" s="1"/>
      <c r="X7" s="1"/>
      <c r="Y7" s="1"/>
      <c r="Z7" s="1"/>
      <c r="AA7" s="1"/>
      <c r="AB7" s="1"/>
    </row>
    <row r="8" spans="1:28" ht="14.25" customHeight="1" x14ac:dyDescent="0.35">
      <c r="A8" s="1"/>
      <c r="B8" s="1"/>
      <c r="C8" s="1"/>
      <c r="D8" s="46" t="s">
        <v>5</v>
      </c>
      <c r="E8" s="47"/>
      <c r="F8" s="48"/>
      <c r="G8" s="46" t="s">
        <v>6</v>
      </c>
      <c r="H8" s="47"/>
      <c r="I8" s="47"/>
      <c r="J8" s="47"/>
      <c r="K8" s="47"/>
      <c r="L8" s="47"/>
      <c r="M8" s="47"/>
      <c r="N8" s="47"/>
      <c r="O8" s="47"/>
      <c r="P8" s="1"/>
      <c r="Q8" s="1"/>
      <c r="R8" s="1"/>
      <c r="S8" s="1"/>
      <c r="T8" s="1"/>
      <c r="U8" s="1"/>
      <c r="V8" s="1"/>
      <c r="W8" s="1"/>
      <c r="X8" s="1"/>
      <c r="Y8" s="1"/>
      <c r="Z8" s="1"/>
      <c r="AA8" s="1"/>
      <c r="AB8" s="1"/>
    </row>
    <row r="9" spans="1:28" ht="14.25" customHeight="1" x14ac:dyDescent="0.35">
      <c r="A9" s="1"/>
      <c r="B9" s="10" t="s">
        <v>7</v>
      </c>
      <c r="C9" s="10" t="s">
        <v>8</v>
      </c>
      <c r="D9" s="10" t="s">
        <v>9</v>
      </c>
      <c r="E9" s="10" t="s">
        <v>10</v>
      </c>
      <c r="F9" s="11" t="s">
        <v>11</v>
      </c>
      <c r="G9" s="10" t="s">
        <v>12</v>
      </c>
      <c r="H9" s="10" t="s">
        <v>13</v>
      </c>
      <c r="I9" s="10" t="s">
        <v>14</v>
      </c>
      <c r="J9" s="10" t="s">
        <v>15</v>
      </c>
      <c r="K9" s="10" t="s">
        <v>92</v>
      </c>
      <c r="L9" s="10" t="s">
        <v>75</v>
      </c>
      <c r="M9" s="10" t="s">
        <v>16</v>
      </c>
      <c r="N9" s="10" t="s">
        <v>17</v>
      </c>
      <c r="O9" s="10"/>
      <c r="P9" s="1"/>
      <c r="Q9" s="1"/>
      <c r="R9" s="1"/>
      <c r="S9" s="1"/>
      <c r="T9" s="1"/>
      <c r="U9" s="1"/>
      <c r="V9" s="1"/>
      <c r="W9" s="1"/>
      <c r="X9" s="1"/>
      <c r="Y9" s="1"/>
      <c r="Z9" s="1"/>
      <c r="AA9" s="1"/>
      <c r="AB9" s="1"/>
    </row>
    <row r="10" spans="1:28" ht="14.25" customHeight="1" x14ac:dyDescent="0.35">
      <c r="A10" s="1"/>
      <c r="B10" s="37" t="e" vm="2">
        <v>#VALUE!</v>
      </c>
      <c r="C10" s="37" t="s">
        <v>19</v>
      </c>
      <c r="D10" s="38">
        <v>6.1980000000000004</v>
      </c>
      <c r="E10" s="39">
        <v>93.218779999999995</v>
      </c>
      <c r="F10" s="40">
        <v>577.77</v>
      </c>
      <c r="G10" s="39" cm="1">
        <f t="array" ref="G10">_FV(B10,"Price")</f>
        <v>180.87</v>
      </c>
      <c r="H10" s="39">
        <f t="shared" ref="H10:H18" si="0">G10*D10</f>
        <v>1121.0322600000002</v>
      </c>
      <c r="I10" s="41">
        <f t="shared" ref="I10:I18" si="1">G10/E10-1</f>
        <v>0.94027426662309899</v>
      </c>
      <c r="J10" s="41">
        <f ca="1">IFERROR(__xludf.DUMMYFUNCTION("(G10-INDEX(GOOGLEFINANCE(C10,""price"",TODAY()-7),2,2))/(INDEX(GOOGLEFINANCE(C10,""price"",TODAY()-7),2,2))"),0.0119740186388024)</f>
        <v>1.1974018638802399E-2</v>
      </c>
      <c r="K10" s="7">
        <f ca="1">IFERROR(__xludf.DUMMYFUNCTION("IFERROR((G10-INDEX(GOOGLEFINANCE(C10,""price"",TODAY()-365),2,2))/(INDEX(GOOGLEFINANCE(C10,""price"",TODAY()-365),2,2)),""Not Available"")"),0.179137874300756)</f>
        <v>0.17913787430075601</v>
      </c>
      <c r="L10" s="7">
        <f ca="1">IFERROR(__xludf.DUMMYFUNCTION("IFERROR((G10-INDEX(GOOGLEFINANCE(C10,""price"",$R$6),2,2))/(INDEX(GOOGLEFINANCE(C10,""price"",$R$6),2,2)),""Not Available"")"),0.103399433427761)</f>
        <v>0.10339943342776101</v>
      </c>
      <c r="M10" s="42">
        <f t="shared" ref="M10:M18" si="2">H10-F10</f>
        <v>543.2622600000002</v>
      </c>
      <c r="N10" s="43">
        <f ca="1">IFERROR(__xludf.DUMMYFUNCTION("IFERROR(GOOGLEFINANCE(C10,""pe""),""Not Available"")"),65.88)</f>
        <v>65.88</v>
      </c>
      <c r="O10" s="1"/>
      <c r="P10" s="1"/>
      <c r="Q10" s="1"/>
      <c r="R10" s="1"/>
      <c r="S10" s="1"/>
      <c r="T10" s="1"/>
      <c r="U10" s="1"/>
      <c r="V10" s="1"/>
      <c r="W10" s="1"/>
      <c r="X10" s="1"/>
      <c r="Y10" s="1"/>
      <c r="Z10" s="1"/>
      <c r="AA10" s="1"/>
      <c r="AB10" s="1"/>
    </row>
    <row r="11" spans="1:28" ht="14.25" customHeight="1" x14ac:dyDescent="0.35">
      <c r="A11" s="1"/>
      <c r="B11" s="37" t="e" vm="15">
        <v>#VALUE!</v>
      </c>
      <c r="C11" s="37" t="s">
        <v>32</v>
      </c>
      <c r="D11" s="38">
        <v>9</v>
      </c>
      <c r="E11" s="39">
        <v>23.572220000000002</v>
      </c>
      <c r="F11" s="40">
        <v>212.15</v>
      </c>
      <c r="G11" s="39" cm="1">
        <f t="array" ref="G11">_FV(B11,"Price")</f>
        <v>10.42</v>
      </c>
      <c r="H11" s="39">
        <f t="shared" si="0"/>
        <v>93.78</v>
      </c>
      <c r="I11" s="44">
        <f t="shared" si="1"/>
        <v>-0.55795423596080473</v>
      </c>
      <c r="J11" s="44">
        <f ca="1">IFERROR(__xludf.DUMMYFUNCTION("(G11-INDEX(GOOGLEFINANCE(C11,""price"",TODAY()-7),2,2))/(INDEX(GOOGLEFINANCE(C11,""price"",TODAY()-7),2,2))"),0.177615571776155)</f>
        <v>0.177615571776155</v>
      </c>
      <c r="K11" s="7">
        <f ca="1">IFERROR(__xludf.DUMMYFUNCTION("IFERROR((G11-INDEX(GOOGLEFINANCE(C11,""price"",TODAY()-365),2,2))/(INDEX(GOOGLEFINANCE(C11,""price"",TODAY()-365),2,2)),""Not Available"")"),-0.308571428571428)</f>
        <v>-0.308571428571428</v>
      </c>
      <c r="L11" s="7">
        <f ca="1">IFERROR(__xludf.DUMMYFUNCTION("IFERROR((G11-INDEX(GOOGLEFINANCE(C11,""price"",$R$6),2,2))/(INDEX(GOOGLEFINANCE(C11,""price"",$R$6),2,2)),""Not Available"")"),-0.25652841781874)</f>
        <v>-0.25652841781873997</v>
      </c>
      <c r="M11" s="45">
        <f t="shared" si="2"/>
        <v>-118.37</v>
      </c>
      <c r="N11" s="43" t="str">
        <f ca="1">IFERROR(__xludf.DUMMYFUNCTION("IFERROR(GOOGLEFINANCE(C11,""pe""),""Not Available"")"),"Not Available")</f>
        <v>Not Available</v>
      </c>
      <c r="O11" s="1"/>
      <c r="P11" s="1"/>
      <c r="Q11" s="1"/>
      <c r="R11" s="1"/>
      <c r="S11" s="1"/>
      <c r="T11" s="1"/>
      <c r="U11" s="1"/>
      <c r="V11" s="1"/>
      <c r="W11" s="1"/>
      <c r="X11" s="1"/>
      <c r="Y11" s="1"/>
      <c r="Z11" s="1"/>
      <c r="AA11" s="1"/>
      <c r="AB11" s="1"/>
    </row>
    <row r="12" spans="1:28" ht="14.25" customHeight="1" x14ac:dyDescent="0.35">
      <c r="A12" s="1"/>
      <c r="B12" s="37" t="e" vm="16">
        <v>#VALUE!</v>
      </c>
      <c r="C12" s="37" t="s">
        <v>33</v>
      </c>
      <c r="D12" s="38">
        <v>19.427</v>
      </c>
      <c r="E12" s="39">
        <v>47.783499999999997</v>
      </c>
      <c r="F12" s="40">
        <v>928.29</v>
      </c>
      <c r="G12" s="39" cm="1">
        <f t="array" ref="G12">_FV(B12,"Price")</f>
        <v>76.944999999999993</v>
      </c>
      <c r="H12" s="39">
        <f t="shared" si="0"/>
        <v>1494.8105149999999</v>
      </c>
      <c r="I12" s="41">
        <f t="shared" si="1"/>
        <v>0.61028388460451821</v>
      </c>
      <c r="J12" s="41">
        <f ca="1">IFERROR(__xludf.DUMMYFUNCTION("(G12-INDEX(GOOGLEFINANCE(C12,""price"",TODAY()-7),2,2))/(INDEX(GOOGLEFINANCE(C12,""price"",TODAY()-7),2,2))"),0.0161635052097247)</f>
        <v>1.6163505209724701E-2</v>
      </c>
      <c r="K12" s="7">
        <f ca="1">IFERROR(__xludf.DUMMYFUNCTION("IFERROR((G12-INDEX(GOOGLEFINANCE(C12,""price"",TODAY()-365),2,2))/(INDEX(GOOGLEFINANCE(C12,""price"",TODAY()-365),2,2)),""Not Available"")"),0.440446885059647)</f>
        <v>0.44044688505964702</v>
      </c>
      <c r="L12" s="7">
        <f ca="1">IFERROR(__xludf.DUMMYFUNCTION("IFERROR((G12-INDEX(GOOGLEFINANCE(C12,""price"",$R$6),2,2))/(INDEX(GOOGLEFINANCE(C12,""price"",$R$6),2,2)),""Not Available"")"),0.279347460477631)</f>
        <v>0.27934746047763098</v>
      </c>
      <c r="M12" s="42">
        <f t="shared" si="2"/>
        <v>566.52051499999993</v>
      </c>
      <c r="N12" s="43">
        <f ca="1">IFERROR(__xludf.DUMMYFUNCTION("IFERROR(GOOGLEFINANCE(C12,""pe""),""Not Available"")"),21.32)</f>
        <v>21.32</v>
      </c>
      <c r="O12" s="1"/>
      <c r="P12" s="1"/>
      <c r="Q12" s="1"/>
      <c r="R12" s="1"/>
      <c r="S12" s="1"/>
      <c r="T12" s="1"/>
      <c r="U12" s="1"/>
      <c r="V12" s="1"/>
      <c r="W12" s="1"/>
      <c r="X12" s="1"/>
      <c r="Y12" s="1"/>
      <c r="Z12" s="1"/>
      <c r="AA12" s="1"/>
      <c r="AB12" s="1"/>
    </row>
    <row r="13" spans="1:28" ht="14.25" customHeight="1" x14ac:dyDescent="0.35">
      <c r="A13" s="1"/>
      <c r="B13" s="37" t="e" vm="33">
        <v>#VALUE!</v>
      </c>
      <c r="C13" s="37" t="s">
        <v>50</v>
      </c>
      <c r="D13" s="38">
        <v>3.8940000000000001</v>
      </c>
      <c r="E13" s="39">
        <v>180.44171</v>
      </c>
      <c r="F13" s="40">
        <v>702.64</v>
      </c>
      <c r="G13" s="39" cm="1">
        <f t="array" ref="G13">_FV(B13,"Price")</f>
        <v>531.24</v>
      </c>
      <c r="H13" s="39">
        <f t="shared" si="0"/>
        <v>2068.6485600000001</v>
      </c>
      <c r="I13" s="41">
        <f t="shared" si="1"/>
        <v>1.9441086542573776</v>
      </c>
      <c r="J13" s="41">
        <f ca="1">IFERROR(__xludf.DUMMYFUNCTION("(G13-INDEX(GOOGLEFINANCE(C13,""price"",TODAY()-7),2,2))/(INDEX(GOOGLEFINANCE(C13,""price"",TODAY()-7),2,2))"),-0.0134598824366317)</f>
        <v>-1.3459882436631701E-2</v>
      </c>
      <c r="K13" s="7">
        <f ca="1">IFERROR(__xludf.DUMMYFUNCTION("IFERROR((G13-INDEX(GOOGLEFINANCE(C13,""price"",TODAY()-365),2,2))/(INDEX(GOOGLEFINANCE(C13,""price"",TODAY()-365),2,2)),""Not Available"")"),0.571228384019081)</f>
        <v>0.57122838401908105</v>
      </c>
      <c r="L13" s="7">
        <f ca="1">IFERROR(__xludf.DUMMYFUNCTION("IFERROR((G13-INDEX(GOOGLEFINANCE(C13,""price"",$R$6),2,2))/(INDEX(GOOGLEFINANCE(C13,""price"",$R$6),2,2)),""Not Available"")"),0.407821975262469)</f>
        <v>0.40782197526246899</v>
      </c>
      <c r="M13" s="42">
        <f t="shared" si="2"/>
        <v>1366.0085600000002</v>
      </c>
      <c r="N13" s="43">
        <f ca="1">IFERROR(__xludf.DUMMYFUNCTION("IFERROR(GOOGLEFINANCE(C13,""pe""),""Not Available"")"),23.87)</f>
        <v>23.87</v>
      </c>
      <c r="O13" s="1"/>
      <c r="P13" s="1"/>
      <c r="Q13" s="1"/>
      <c r="R13" s="1"/>
      <c r="S13" s="1"/>
      <c r="T13" s="1"/>
      <c r="U13" s="1"/>
      <c r="V13" s="1"/>
      <c r="W13" s="1"/>
      <c r="X13" s="1"/>
      <c r="Y13" s="1"/>
      <c r="Z13" s="1"/>
      <c r="AA13" s="1"/>
      <c r="AB13" s="1"/>
    </row>
    <row r="14" spans="1:28" ht="14.25" customHeight="1" x14ac:dyDescent="0.35">
      <c r="A14" s="1"/>
      <c r="B14" s="1" t="e" vm="36">
        <v>#VALUE!</v>
      </c>
      <c r="C14" s="1" t="s">
        <v>53</v>
      </c>
      <c r="D14" s="21">
        <v>4</v>
      </c>
      <c r="E14" s="15">
        <v>272.84500000000003</v>
      </c>
      <c r="F14" s="33">
        <v>1091.3800000000001</v>
      </c>
      <c r="G14" s="39" cm="1">
        <f t="array" ref="G14">_FV(B14,"Price")</f>
        <v>402.55</v>
      </c>
      <c r="H14" s="16">
        <f t="shared" si="0"/>
        <v>1610.2</v>
      </c>
      <c r="I14" s="17">
        <f t="shared" si="1"/>
        <v>0.47537979438875544</v>
      </c>
      <c r="J14" s="17">
        <f ca="1">IFERROR(__xludf.DUMMYFUNCTION("(G14-INDEX(GOOGLEFINANCE(C14,""price"",TODAY()-7),2,2))/(INDEX(GOOGLEFINANCE(C14,""price"",TODAY()-7),2,2))"),0.0420126762385202)</f>
        <v>4.2012676238520202E-2</v>
      </c>
      <c r="K14" s="7">
        <f ca="1">IFERROR(__xludf.DUMMYFUNCTION("IFERROR((G14-INDEX(GOOGLEFINANCE(C14,""price"",TODAY()-365),2,2))/(INDEX(GOOGLEFINANCE(C14,""price"",TODAY()-365),2,2)),""Not Available"")"),0.527513367969964)</f>
        <v>0.52751336796996395</v>
      </c>
      <c r="L14" s="7">
        <f ca="1">IFERROR(__xludf.DUMMYFUNCTION("IFERROR((G14-INDEX(GOOGLEFINANCE(C14,""price"",$R$6),2,2))/(INDEX(GOOGLEFINANCE(C14,""price"",$R$6),2,2)),""Not Available"")"),0.262981311927756)</f>
        <v>0.26298131192775598</v>
      </c>
      <c r="M14" s="18">
        <f t="shared" si="2"/>
        <v>518.81999999999994</v>
      </c>
      <c r="N14" s="19">
        <f ca="1">IFERROR(__xludf.DUMMYFUNCTION("IFERROR(GOOGLEFINANCE(C14,""pe""),""Not Available"")"),21.31)</f>
        <v>21.31</v>
      </c>
      <c r="O14" s="1"/>
      <c r="P14" s="1"/>
      <c r="Q14" s="1"/>
      <c r="R14" s="1"/>
      <c r="S14" s="1"/>
      <c r="T14" s="1"/>
      <c r="U14" s="1"/>
      <c r="V14" s="1"/>
      <c r="W14" s="1"/>
      <c r="X14" s="1"/>
      <c r="Y14" s="1"/>
      <c r="Z14" s="1"/>
      <c r="AA14" s="1"/>
      <c r="AB14" s="1"/>
    </row>
    <row r="15" spans="1:28" ht="14.25" customHeight="1" x14ac:dyDescent="0.35">
      <c r="A15" s="1"/>
      <c r="B15" s="37" t="e" vm="37">
        <v>#VALUE!</v>
      </c>
      <c r="C15" s="37" t="s">
        <v>54</v>
      </c>
      <c r="D15" s="38">
        <v>4.7759999999999998</v>
      </c>
      <c r="E15" s="39">
        <v>79.430490000000006</v>
      </c>
      <c r="F15" s="40">
        <v>379.36</v>
      </c>
      <c r="G15" s="39" cm="1">
        <f t="array" ref="G15">_FV(B15,"Price")</f>
        <v>122.66</v>
      </c>
      <c r="H15" s="39">
        <f t="shared" si="0"/>
        <v>585.82416000000001</v>
      </c>
      <c r="I15" s="41">
        <f t="shared" si="1"/>
        <v>0.54424327484319912</v>
      </c>
      <c r="J15" s="41">
        <f ca="1">IFERROR(__xludf.DUMMYFUNCTION("(G15-INDEX(GOOGLEFINANCE(C15,""price"",TODAY()-7),2,2))/(INDEX(GOOGLEFINANCE(C15,""price"",TODAY()-7),2,2))"),-0.0146715034260378)</f>
        <v>-1.4671503426037799E-2</v>
      </c>
      <c r="K15" s="7">
        <f ca="1">IFERROR(__xludf.DUMMYFUNCTION("IFERROR((G15-INDEX(GOOGLEFINANCE(C15,""price"",TODAY()-365),2,2))/(INDEX(GOOGLEFINANCE(C15,""price"",TODAY()-365),2,2)),""Not Available"")"),0.156057883287619)</f>
        <v>0.15605788328761899</v>
      </c>
      <c r="L15" s="7">
        <f ca="1">IFERROR(__xludf.DUMMYFUNCTION("IFERROR((G15-INDEX(GOOGLEFINANCE(C15,""price"",$R$6),2,2))/(INDEX(GOOGLEFINANCE(C15,""price"",$R$6),2,2)),""Not Available"")"),0.0997840561454022)</f>
        <v>9.97840561454022E-2</v>
      </c>
      <c r="M15" s="42">
        <f t="shared" si="2"/>
        <v>206.46415999999999</v>
      </c>
      <c r="N15" s="43">
        <f ca="1">IFERROR(__xludf.DUMMYFUNCTION("IFERROR(GOOGLEFINANCE(C15,""pe""),""Not Available"")"),852.8)</f>
        <v>852.8</v>
      </c>
      <c r="O15" s="1"/>
      <c r="P15" s="1"/>
      <c r="Q15" s="1"/>
      <c r="R15" s="1"/>
      <c r="S15" s="1"/>
      <c r="T15" s="1"/>
      <c r="U15" s="1"/>
      <c r="V15" s="1"/>
      <c r="W15" s="1"/>
      <c r="X15" s="1"/>
      <c r="Y15" s="1"/>
      <c r="Z15" s="1"/>
      <c r="AA15" s="1"/>
      <c r="AB15" s="1"/>
    </row>
    <row r="16" spans="1:28" ht="14.25" customHeight="1" x14ac:dyDescent="0.35">
      <c r="A16" s="1"/>
      <c r="B16" s="37" t="e" vm="38">
        <v>#VALUE!</v>
      </c>
      <c r="C16" s="37" t="s">
        <v>55</v>
      </c>
      <c r="D16" s="38">
        <v>10</v>
      </c>
      <c r="E16" s="39">
        <v>101.2</v>
      </c>
      <c r="F16" s="40">
        <v>1012</v>
      </c>
      <c r="G16" s="39" cm="1">
        <f t="array" ref="G16">_FV(B16,"Price")</f>
        <v>137.74</v>
      </c>
      <c r="H16" s="39">
        <f t="shared" si="0"/>
        <v>1377.4</v>
      </c>
      <c r="I16" s="41">
        <f t="shared" si="1"/>
        <v>0.36106719367588935</v>
      </c>
      <c r="J16" s="41">
        <f ca="1">IFERROR(__xludf.DUMMYFUNCTION("(G16-INDEX(GOOGLEFINANCE(C16,""price"",TODAY()-7),2,2))/(INDEX(GOOGLEFINANCE(C16,""price"",TODAY()-7),2,2))"),0.0344801682692307)</f>
        <v>3.4480168269230699E-2</v>
      </c>
      <c r="K16" s="7">
        <f ca="1">IFERROR(__xludf.DUMMYFUNCTION("IFERROR((G16-INDEX(GOOGLEFINANCE(C16,""price"",TODAY()-365),2,2))/(INDEX(GOOGLEFINANCE(C16,""price"",TODAY()-365),2,2)),""Not Available"")"),0.458174502329521)</f>
        <v>0.45817450232952101</v>
      </c>
      <c r="L16" s="7">
        <f ca="1">IFERROR(__xludf.DUMMYFUNCTION("IFERROR((G16-INDEX(GOOGLEFINANCE(C16,""price"",$R$6),2,2))/(INDEX(GOOGLEFINANCE(C16,""price"",$R$6),2,2)),""Not Available"")"),0.146818787475016)</f>
        <v>0.146818787475016</v>
      </c>
      <c r="M16" s="42">
        <f t="shared" si="2"/>
        <v>365.40000000000009</v>
      </c>
      <c r="N16" s="43">
        <f ca="1">IFERROR(__xludf.DUMMYFUNCTION("IFERROR(GOOGLEFINANCE(C16,""pe""),""Not Available"")"),55.64)</f>
        <v>55.64</v>
      </c>
      <c r="O16" s="1"/>
      <c r="P16" s="1"/>
      <c r="Q16" s="1"/>
      <c r="R16" s="1"/>
      <c r="S16" s="1"/>
      <c r="T16" s="1"/>
      <c r="U16" s="1"/>
      <c r="V16" s="1"/>
      <c r="W16" s="1"/>
      <c r="X16" s="1"/>
      <c r="Y16" s="1"/>
      <c r="Z16" s="1"/>
      <c r="AA16" s="1"/>
      <c r="AB16" s="1"/>
    </row>
    <row r="17" spans="1:28" ht="14.25" customHeight="1" x14ac:dyDescent="0.35">
      <c r="A17" s="1"/>
      <c r="B17" s="37" t="e" vm="50">
        <v>#VALUE!</v>
      </c>
      <c r="C17" s="37" t="s">
        <v>67</v>
      </c>
      <c r="D17" s="38">
        <v>48.009</v>
      </c>
      <c r="E17" s="39">
        <v>18.43779</v>
      </c>
      <c r="F17" s="40">
        <v>885.18</v>
      </c>
      <c r="G17" s="39" cm="1">
        <f t="array" ref="G17">_FV(B17,"Price")</f>
        <v>14.37</v>
      </c>
      <c r="H17" s="39">
        <f t="shared" si="0"/>
        <v>689.88932999999997</v>
      </c>
      <c r="I17" s="44">
        <f t="shared" si="1"/>
        <v>-0.22062242817604494</v>
      </c>
      <c r="J17" s="41">
        <f ca="1">IFERROR(__xludf.DUMMYFUNCTION("(G17-INDEX(GOOGLEFINANCE(C17,""price"",TODAY()-7),2,2))/(INDEX(GOOGLEFINANCE(C17,""price"",TODAY()-7),2,2))"),0.00552486187845304)</f>
        <v>5.5248618784530402E-3</v>
      </c>
      <c r="K17" s="7">
        <f ca="1">IFERROR(__xludf.DUMMYFUNCTION("IFERROR((G17-INDEX(GOOGLEFINANCE(C17,""price"",TODAY()-365),2,2))/(INDEX(GOOGLEFINANCE(C17,""price"",TODAY()-365),2,2)),""Not Available"")"),-0.0848522941546197)</f>
        <v>-8.4852294154619701E-2</v>
      </c>
      <c r="L17" s="7">
        <f ca="1">IFERROR(__xludf.DUMMYFUNCTION("IFERROR((G17-INDEX(GOOGLEFINANCE(C17,""price"",$R$6),2,2))/(INDEX(GOOGLEFINANCE(C17,""price"",$R$6),2,2)),""Not Available"")"),-0.0761421319796953)</f>
        <v>-7.6142131979695299E-2</v>
      </c>
      <c r="M17" s="45">
        <f t="shared" si="2"/>
        <v>-195.29066999999998</v>
      </c>
      <c r="N17" s="43">
        <f ca="1">IFERROR(__xludf.DUMMYFUNCTION("IFERROR(GOOGLEFINANCE(C17,""pe""),""Not Available"")"),37.94)</f>
        <v>37.94</v>
      </c>
      <c r="O17" s="1"/>
      <c r="P17" s="1"/>
      <c r="Q17" s="1"/>
      <c r="R17" s="1"/>
      <c r="S17" s="1"/>
      <c r="T17" s="1"/>
      <c r="U17" s="1"/>
      <c r="V17" s="1"/>
      <c r="W17" s="1"/>
      <c r="X17" s="1"/>
      <c r="Y17" s="1"/>
      <c r="Z17" s="1"/>
      <c r="AA17" s="1"/>
      <c r="AB17" s="1"/>
    </row>
    <row r="18" spans="1:28" ht="14.25" customHeight="1" x14ac:dyDescent="0.35">
      <c r="A18" s="1"/>
      <c r="B18" s="37" t="e" vm="51">
        <v>#VALUE!</v>
      </c>
      <c r="C18" s="37" t="s">
        <v>68</v>
      </c>
      <c r="D18" s="38">
        <v>2.0110000000000001</v>
      </c>
      <c r="E18" s="39">
        <v>466.05171999999999</v>
      </c>
      <c r="F18" s="40">
        <v>937.23</v>
      </c>
      <c r="G18" s="39" cm="1">
        <f t="array" ref="G18">_FV(B18,"Price")</f>
        <v>597.29999999999995</v>
      </c>
      <c r="H18" s="39">
        <f t="shared" si="0"/>
        <v>1201.1703</v>
      </c>
      <c r="I18" s="41">
        <f t="shared" si="1"/>
        <v>0.28161741362096038</v>
      </c>
      <c r="J18" s="41">
        <f ca="1">IFERROR(__xludf.DUMMYFUNCTION("(G18-INDEX(GOOGLEFINANCE(C18,""price"",TODAY()-7),2,2))/(INDEX(GOOGLEFINANCE(C18,""price"",TODAY()-7),2,2))"),0.0245856543566468)</f>
        <v>2.4585654356646801E-2</v>
      </c>
      <c r="K18" s="7">
        <f ca="1">IFERROR(__xludf.DUMMYFUNCTION("IFERROR((G18-INDEX(GOOGLEFINANCE(C18,""price"",TODAY()-365),2,2))/(INDEX(GOOGLEFINANCE(C18,""price"",TODAY()-365),2,2)),""Not Available"")"),0.100413619912844)</f>
        <v>0.100413619912844</v>
      </c>
      <c r="L18" s="7">
        <f ca="1">IFERROR(__xludf.DUMMYFUNCTION("IFERROR((G18-INDEX(GOOGLEFINANCE(C18,""price"",$R$6),2,2))/(INDEX(GOOGLEFINANCE(C18,""price"",$R$6),2,2)),""Not Available"")"),0.0772985285078999)</f>
        <v>7.7298528507899894E-2</v>
      </c>
      <c r="M18" s="42">
        <f t="shared" si="2"/>
        <v>263.94029999999998</v>
      </c>
      <c r="N18" s="43">
        <f ca="1">IFERROR(__xludf.DUMMYFUNCTION("IFERROR(GOOGLEFINANCE(C18,""pe""),""Not Available"")"),38.57)</f>
        <v>38.57</v>
      </c>
      <c r="O18" s="1"/>
      <c r="P18" s="1"/>
      <c r="Q18" s="1"/>
      <c r="R18" s="1"/>
      <c r="S18" s="1"/>
      <c r="T18" s="1"/>
      <c r="U18" s="1"/>
      <c r="V18" s="1"/>
      <c r="W18" s="1"/>
      <c r="X18" s="1"/>
      <c r="Y18" s="1"/>
      <c r="Z18" s="1"/>
      <c r="AA18" s="1"/>
      <c r="AB18" s="1"/>
    </row>
    <row r="19" spans="1:28" ht="14.25" customHeight="1" x14ac:dyDescent="0.35">
      <c r="A19" s="1"/>
      <c r="B19" s="1"/>
      <c r="C19" s="1"/>
      <c r="D19" s="1"/>
      <c r="E19" s="1"/>
      <c r="F19" s="1"/>
      <c r="G19" s="1"/>
      <c r="H19" s="1"/>
      <c r="I19" s="1"/>
      <c r="J19" s="1"/>
      <c r="K19" s="7"/>
      <c r="L19" s="7"/>
      <c r="M19" s="1"/>
      <c r="N19" s="1"/>
      <c r="O19" s="1"/>
      <c r="P19" s="1"/>
      <c r="Q19" s="1"/>
      <c r="R19" s="1"/>
      <c r="S19" s="1"/>
      <c r="T19" s="1"/>
      <c r="U19" s="1"/>
      <c r="V19" s="1"/>
      <c r="W19" s="1"/>
      <c r="X19" s="1"/>
      <c r="Y19" s="1"/>
      <c r="Z19" s="1"/>
      <c r="AA19" s="1"/>
      <c r="AB19" s="1"/>
    </row>
    <row r="20" spans="1:28" ht="14.25" customHeight="1" x14ac:dyDescent="0.35">
      <c r="A20" s="1"/>
      <c r="B20" s="8" t="s">
        <v>95</v>
      </c>
      <c r="C20" s="8"/>
      <c r="D20" s="8"/>
      <c r="E20" s="8"/>
      <c r="F20" s="35">
        <f>SUM(F10:F18)</f>
        <v>6726</v>
      </c>
      <c r="G20" s="35"/>
      <c r="H20" s="35">
        <f>SUM(H10:H18)</f>
        <v>10242.755125</v>
      </c>
      <c r="I20" s="35"/>
      <c r="J20" s="35"/>
      <c r="K20" s="35"/>
      <c r="L20" s="35"/>
      <c r="M20" s="35">
        <f>SUM(M10:M18)</f>
        <v>3516.7551250000006</v>
      </c>
      <c r="N20" s="1"/>
      <c r="O20" s="1"/>
      <c r="P20" s="1"/>
      <c r="Q20" s="1"/>
      <c r="R20" s="1"/>
      <c r="S20" s="1"/>
      <c r="T20" s="1"/>
      <c r="U20" s="1"/>
      <c r="V20" s="1"/>
      <c r="W20" s="1"/>
      <c r="X20" s="1"/>
      <c r="Y20" s="1"/>
      <c r="Z20" s="1"/>
      <c r="AA20" s="1"/>
      <c r="AB20" s="1"/>
    </row>
    <row r="21" spans="1:28" ht="14.25" customHeight="1" x14ac:dyDescent="0.35">
      <c r="A21" s="1"/>
      <c r="B21" s="1"/>
      <c r="C21" s="1"/>
      <c r="D21" s="1"/>
      <c r="E21" s="1"/>
      <c r="F21" s="1"/>
      <c r="G21" s="1"/>
      <c r="H21" s="1"/>
      <c r="I21" s="1"/>
      <c r="J21" s="1"/>
      <c r="K21" s="7"/>
      <c r="L21" s="7"/>
      <c r="M21" s="1"/>
      <c r="N21" s="1"/>
      <c r="O21" s="1"/>
      <c r="P21" s="1"/>
      <c r="Q21" s="1"/>
      <c r="R21" s="1"/>
      <c r="S21" s="1"/>
      <c r="T21" s="1"/>
      <c r="U21" s="1"/>
      <c r="V21" s="1"/>
      <c r="W21" s="1"/>
      <c r="X21" s="1"/>
      <c r="Y21" s="1"/>
      <c r="Z21" s="1"/>
      <c r="AA21" s="1"/>
      <c r="AB21" s="1"/>
    </row>
    <row r="22" spans="1:28" ht="14.25" customHeight="1" x14ac:dyDescent="0.35">
      <c r="A22" s="1"/>
      <c r="B22" s="1"/>
      <c r="C22" s="1"/>
      <c r="D22" s="1"/>
      <c r="E22" s="1"/>
      <c r="F22" s="1"/>
      <c r="G22" s="1"/>
      <c r="H22" s="1"/>
      <c r="I22" s="1"/>
      <c r="J22" s="1"/>
      <c r="K22" s="7"/>
      <c r="L22" s="7"/>
      <c r="M22" s="1"/>
      <c r="N22" s="1"/>
      <c r="O22" s="1"/>
      <c r="P22" s="1"/>
      <c r="Q22" s="1"/>
      <c r="R22" s="1"/>
      <c r="S22" s="1"/>
      <c r="T22" s="1"/>
      <c r="U22" s="1"/>
      <c r="V22" s="1"/>
      <c r="W22" s="1"/>
      <c r="X22" s="1"/>
      <c r="Y22" s="1"/>
      <c r="Z22" s="1"/>
      <c r="AA22" s="1"/>
      <c r="AB22" s="1"/>
    </row>
    <row r="23" spans="1:28" ht="14.25" customHeight="1" x14ac:dyDescent="0.35">
      <c r="A23" s="1"/>
      <c r="B23" s="1"/>
      <c r="C23" s="1"/>
      <c r="D23" s="1"/>
      <c r="E23" s="1"/>
      <c r="F23" s="1"/>
      <c r="G23" s="1"/>
      <c r="H23" s="1"/>
      <c r="I23" s="1"/>
      <c r="J23" s="1"/>
      <c r="K23" s="7"/>
      <c r="L23" s="7"/>
      <c r="M23" s="1"/>
      <c r="N23" s="1"/>
      <c r="O23" s="1"/>
      <c r="P23" s="1"/>
      <c r="Q23" s="1"/>
      <c r="R23" s="1"/>
      <c r="S23" s="1"/>
      <c r="T23" s="1"/>
      <c r="U23" s="1"/>
      <c r="V23" s="1"/>
      <c r="W23" s="1"/>
      <c r="X23" s="1"/>
      <c r="Y23" s="1"/>
      <c r="Z23" s="1"/>
      <c r="AA23" s="1"/>
      <c r="AB23" s="1"/>
    </row>
    <row r="24" spans="1:28" ht="14.25" customHeight="1" x14ac:dyDescent="0.35">
      <c r="A24" s="1"/>
      <c r="B24" s="1"/>
      <c r="C24" s="1"/>
      <c r="D24" s="1"/>
      <c r="E24" s="1"/>
      <c r="F24" s="1"/>
      <c r="G24" s="1"/>
      <c r="H24" s="1"/>
      <c r="I24" s="1"/>
      <c r="J24" s="1"/>
      <c r="K24" s="7"/>
      <c r="L24" s="7"/>
      <c r="M24" s="1"/>
      <c r="N24" s="1"/>
      <c r="O24" s="1"/>
      <c r="P24" s="1"/>
      <c r="Q24" s="1"/>
      <c r="R24" s="1"/>
      <c r="S24" s="1"/>
      <c r="T24" s="1"/>
      <c r="U24" s="1"/>
      <c r="V24" s="1"/>
      <c r="W24" s="1"/>
      <c r="X24" s="1"/>
      <c r="Y24" s="1"/>
      <c r="Z24" s="1"/>
      <c r="AA24" s="1"/>
      <c r="AB24" s="1"/>
    </row>
    <row r="25" spans="1:28" ht="14.25" customHeight="1" x14ac:dyDescent="0.35">
      <c r="A25" s="1"/>
      <c r="B25" s="1"/>
      <c r="C25" s="1"/>
      <c r="D25" s="1"/>
      <c r="E25" s="1"/>
      <c r="F25" s="1"/>
      <c r="G25" s="1"/>
      <c r="H25" s="1"/>
      <c r="I25" s="1"/>
      <c r="J25" s="1"/>
      <c r="K25" s="7"/>
      <c r="L25" s="7"/>
      <c r="M25" s="1"/>
      <c r="N25" s="1"/>
      <c r="O25" s="1"/>
      <c r="P25" s="1"/>
      <c r="Q25" s="1"/>
      <c r="R25" s="1"/>
      <c r="S25" s="1"/>
      <c r="T25" s="1"/>
      <c r="U25" s="1"/>
      <c r="V25" s="1"/>
      <c r="W25" s="1"/>
      <c r="X25" s="1"/>
      <c r="Y25" s="1"/>
      <c r="Z25" s="1"/>
      <c r="AA25" s="1"/>
      <c r="AB25" s="1"/>
    </row>
    <row r="26" spans="1:28" ht="14.25" customHeight="1" x14ac:dyDescent="0.35">
      <c r="A26" s="1"/>
      <c r="B26" s="1"/>
      <c r="C26" s="1"/>
      <c r="D26" s="1"/>
      <c r="E26" s="1"/>
      <c r="F26" s="1"/>
      <c r="G26" s="1"/>
      <c r="H26" s="1"/>
      <c r="I26" s="1"/>
      <c r="J26" s="1"/>
      <c r="K26" s="7"/>
      <c r="L26" s="7"/>
      <c r="M26" s="1"/>
      <c r="N26" s="1"/>
      <c r="O26" s="1"/>
      <c r="P26" s="1"/>
      <c r="Q26" s="1"/>
      <c r="R26" s="1"/>
      <c r="S26" s="1"/>
      <c r="T26" s="1"/>
      <c r="U26" s="1"/>
      <c r="V26" s="1"/>
      <c r="W26" s="1"/>
      <c r="X26" s="1"/>
      <c r="Y26" s="1"/>
      <c r="Z26" s="1"/>
      <c r="AA26" s="1"/>
      <c r="AB26" s="1"/>
    </row>
    <row r="27" spans="1:28" ht="14.2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4.2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4.2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4.2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4.2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2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2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2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2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2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2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2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2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2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2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2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2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2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2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2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2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2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2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2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2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2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2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2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2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2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2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2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2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2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2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2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2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2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2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2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2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2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2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2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2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2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2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2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2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2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2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2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2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2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2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2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2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2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2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2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2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2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2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2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2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2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2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2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2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2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2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2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2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2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2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2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2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2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2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2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2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2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2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2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2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2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2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2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2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2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2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2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2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2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2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2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2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2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2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2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2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2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2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2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2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2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2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2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2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2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2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2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2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2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2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2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2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2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2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2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2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2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2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2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2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2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2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2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2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2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2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2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2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2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2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2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2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2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2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2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2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2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2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2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2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2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2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2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2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2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2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2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2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2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2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2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2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2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2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2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2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2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2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2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2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2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2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2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2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2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2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2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2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2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2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2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2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2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2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2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2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2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2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2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2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2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2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2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2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2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2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2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2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2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2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2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2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2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2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2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2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2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2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2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2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2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2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2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2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2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2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2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2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2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2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2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2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2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2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2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2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2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2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2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2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2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2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2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2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2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2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2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2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2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2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2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2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2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2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2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2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2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2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2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2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2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2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2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2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2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2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2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2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2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2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2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2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2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2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2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2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2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2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2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2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2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2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2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2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2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2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2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2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2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2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2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2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2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2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2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2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2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2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2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2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2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2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2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2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2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2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2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2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2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2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2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2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2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2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2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2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2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2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2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2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2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2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2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2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2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2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2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2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2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2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2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2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2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2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2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2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2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2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2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2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2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2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2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2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2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2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2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2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2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2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2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2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2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2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2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2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2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2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2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2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2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2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2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2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2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2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2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2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2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2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2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2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2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2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2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2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2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2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2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2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2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2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2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2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2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2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2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2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2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2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2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2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2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2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2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2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2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2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2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2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2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2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2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2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2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2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2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2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2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2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2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2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2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2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2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2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2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2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2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2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2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2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2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2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2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2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2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2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2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2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2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2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2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2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2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2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2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2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2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2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2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2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2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2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2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2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2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2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2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2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2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2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2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2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2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2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2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2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2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2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2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2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2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2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2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2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2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2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2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2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2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2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2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2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2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2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2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2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2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2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2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2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2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2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2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2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2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2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2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2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2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2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2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2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2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2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2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2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2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2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2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2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2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2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2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2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2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2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2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2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2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2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2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2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2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2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2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2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2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2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2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2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2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2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2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2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2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2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2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2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2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2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2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2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2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2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2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2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2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2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2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2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2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2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2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2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2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2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2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2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2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2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2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2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2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2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2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2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2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2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2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2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2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2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2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2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2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2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2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2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2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2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2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2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2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2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2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2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2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2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2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2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2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2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2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2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2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2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2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2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2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2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2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2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2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2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2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2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2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2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2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2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2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2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2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2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2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2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2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2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2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2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2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2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2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2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2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2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2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2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2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2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2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2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2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2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2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2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2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2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2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2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2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2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2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2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2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2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2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2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2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2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2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2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2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2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2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2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2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2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2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2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2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2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2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2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2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2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2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2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2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2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2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2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2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2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2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2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2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2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2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2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2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2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2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2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2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2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2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2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2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2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2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2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2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2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2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2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2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2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2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2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2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2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2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2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2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2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2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2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2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2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2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2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2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2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2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2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2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2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2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2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2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2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2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2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2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2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2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2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2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2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2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2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2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2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2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2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2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2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2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2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2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2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2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2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2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2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2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2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2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2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2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2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2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2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2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2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2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2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2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2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2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2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2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2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2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2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2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2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2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sheetData>
  <mergeCells count="2">
    <mergeCell ref="D8:F8"/>
    <mergeCell ref="G8:O8"/>
  </mergeCells>
  <conditionalFormatting sqref="I10:J10 L10:L19 K12:K19 I14:J14 K21:L26">
    <cfRule type="cellIs" dxfId="3" priority="1" operator="greaterThan">
      <formula>0</formula>
    </cfRule>
  </conditionalFormatting>
  <conditionalFormatting sqref="M10 K10:L19 M14 K21:L23">
    <cfRule type="cellIs" dxfId="2" priority="2" operator="less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772"/>
  <sheetViews>
    <sheetView showGridLines="0" workbookViewId="0">
      <selection activeCell="J26" sqref="J26"/>
    </sheetView>
  </sheetViews>
  <sheetFormatPr defaultColWidth="14.453125" defaultRowHeight="15" customHeight="1" x14ac:dyDescent="0.35"/>
  <cols>
    <col min="1" max="1" width="3.54296875" customWidth="1"/>
    <col min="2" max="2" width="34.453125" customWidth="1"/>
    <col min="3" max="3" width="17.7265625" customWidth="1"/>
    <col min="4" max="4" width="12.54296875" customWidth="1"/>
    <col min="5" max="5" width="10.453125" customWidth="1"/>
    <col min="6" max="6" width="10.81640625" customWidth="1"/>
    <col min="7" max="7" width="10.54296875" customWidth="1"/>
    <col min="8" max="8" width="9.54296875" customWidth="1"/>
    <col min="9" max="9" width="14" customWidth="1"/>
    <col min="10" max="10" width="15.81640625" customWidth="1"/>
    <col min="11" max="13" width="11.08984375" customWidth="1"/>
    <col min="14" max="14" width="17.453125" customWidth="1"/>
    <col min="15" max="15" width="15.81640625" customWidth="1"/>
    <col min="16" max="28" width="8.7265625" customWidth="1"/>
  </cols>
  <sheetData>
    <row r="1" spans="1:28" ht="14.25" customHeight="1" x14ac:dyDescent="0.35">
      <c r="A1" s="1"/>
      <c r="B1" s="1"/>
      <c r="C1" s="1"/>
      <c r="D1" s="1"/>
      <c r="E1" s="1"/>
      <c r="F1" s="1"/>
      <c r="G1" s="1"/>
      <c r="H1" s="1"/>
      <c r="I1" s="1"/>
      <c r="J1" s="1"/>
      <c r="K1" s="1"/>
      <c r="L1" s="1"/>
      <c r="M1" s="1"/>
      <c r="N1" s="1"/>
      <c r="O1" s="1"/>
      <c r="P1" s="1"/>
      <c r="Q1" s="1"/>
      <c r="R1" s="1"/>
      <c r="S1" s="1"/>
      <c r="T1" s="1"/>
      <c r="U1" s="1"/>
      <c r="V1" s="1"/>
      <c r="W1" s="1"/>
      <c r="X1" s="1"/>
      <c r="Y1" s="1"/>
      <c r="Z1" s="1"/>
      <c r="AA1" s="1"/>
      <c r="AB1" s="1"/>
    </row>
    <row r="2" spans="1:28" ht="14.25" customHeight="1" x14ac:dyDescent="0.35">
      <c r="A2" s="1"/>
      <c r="B2" s="2" t="s">
        <v>98</v>
      </c>
      <c r="C2" s="3"/>
      <c r="D2" s="3"/>
      <c r="E2" s="3"/>
      <c r="F2" s="3"/>
      <c r="G2" s="3"/>
      <c r="H2" s="3"/>
      <c r="I2" s="3"/>
      <c r="J2" s="3"/>
      <c r="K2" s="3"/>
      <c r="L2" s="3"/>
      <c r="M2" s="3"/>
      <c r="N2" s="3"/>
      <c r="O2" s="3"/>
      <c r="P2" s="3"/>
      <c r="Q2" s="3"/>
      <c r="R2" s="3"/>
      <c r="S2" s="3"/>
      <c r="T2" s="3"/>
      <c r="V2" s="1"/>
      <c r="W2" s="1"/>
      <c r="X2" s="1"/>
      <c r="Y2" s="1"/>
      <c r="Z2" s="1"/>
      <c r="AA2" s="1"/>
      <c r="AB2" s="1"/>
    </row>
    <row r="3" spans="1:28" ht="14.25" customHeight="1" x14ac:dyDescent="0.35">
      <c r="A3" s="1"/>
      <c r="B3" s="4" t="s">
        <v>1</v>
      </c>
      <c r="C3" s="3"/>
      <c r="D3" s="3"/>
      <c r="E3" s="3"/>
      <c r="F3" s="3"/>
      <c r="G3" s="3"/>
      <c r="H3" s="3"/>
      <c r="I3" s="3"/>
      <c r="J3" s="3"/>
      <c r="K3" s="3"/>
      <c r="L3" s="3"/>
      <c r="M3" s="3"/>
      <c r="N3" s="3"/>
      <c r="O3" s="3"/>
      <c r="P3" s="3"/>
      <c r="Q3" s="3"/>
      <c r="R3" s="3"/>
      <c r="S3" s="3"/>
      <c r="T3" s="3"/>
      <c r="V3" s="1"/>
      <c r="W3" s="1"/>
      <c r="X3" s="1"/>
      <c r="Y3" s="1"/>
      <c r="Z3" s="1"/>
      <c r="AA3" s="1"/>
      <c r="AB3" s="1"/>
    </row>
    <row r="4" spans="1:28" ht="14.25" customHeight="1" x14ac:dyDescent="0.35">
      <c r="A4" s="1"/>
      <c r="B4" s="5" t="s">
        <v>2</v>
      </c>
      <c r="C4" s="3"/>
      <c r="D4" s="3"/>
      <c r="E4" s="3"/>
      <c r="F4" s="3"/>
      <c r="G4" s="3"/>
      <c r="H4" s="3"/>
      <c r="I4" s="3"/>
      <c r="J4" s="3"/>
      <c r="K4" s="3"/>
      <c r="L4" s="3"/>
      <c r="M4" s="3"/>
      <c r="N4" s="3"/>
      <c r="O4" s="3"/>
      <c r="P4" s="3"/>
      <c r="Q4" s="3"/>
      <c r="R4" s="3"/>
      <c r="S4" s="3"/>
      <c r="T4" s="3"/>
      <c r="V4" s="1"/>
      <c r="W4" s="1"/>
      <c r="X4" s="1"/>
      <c r="Y4" s="1"/>
      <c r="Z4" s="1"/>
      <c r="AA4" s="1"/>
      <c r="AB4" s="1"/>
    </row>
    <row r="5" spans="1:28" ht="14.25" customHeight="1" x14ac:dyDescent="0.35">
      <c r="A5" s="1"/>
      <c r="B5" s="1"/>
      <c r="C5" s="6"/>
      <c r="D5" s="6"/>
      <c r="E5" s="7"/>
      <c r="F5" s="1"/>
      <c r="G5" s="1"/>
      <c r="H5" s="1"/>
      <c r="I5" s="1"/>
      <c r="J5" s="1"/>
      <c r="K5" s="1"/>
      <c r="L5" s="1"/>
      <c r="M5" s="1"/>
      <c r="N5" s="1"/>
      <c r="O5" s="1"/>
      <c r="P5" s="1"/>
      <c r="Q5" s="1"/>
      <c r="R5" s="1"/>
      <c r="S5" s="1"/>
      <c r="T5" s="1"/>
      <c r="V5" s="1"/>
      <c r="W5" s="1"/>
      <c r="X5" s="1"/>
      <c r="Y5" s="1"/>
      <c r="Z5" s="1"/>
      <c r="AA5" s="1"/>
      <c r="AB5" s="1"/>
    </row>
    <row r="6" spans="1:28" ht="14.25" customHeight="1" x14ac:dyDescent="0.35">
      <c r="A6" s="1"/>
      <c r="B6" s="8" t="s">
        <v>3</v>
      </c>
      <c r="C6" s="9">
        <f>SUM(H10:H18)</f>
        <v>5549.23002</v>
      </c>
      <c r="D6" s="6"/>
      <c r="E6" s="7"/>
      <c r="F6" s="1"/>
      <c r="G6" s="1"/>
      <c r="H6" s="1"/>
      <c r="I6" s="1"/>
      <c r="J6" s="1"/>
      <c r="K6" s="1"/>
      <c r="L6" s="1"/>
      <c r="M6" s="1"/>
      <c r="N6" s="1"/>
      <c r="O6" s="1"/>
      <c r="P6" s="1"/>
      <c r="Q6" s="1"/>
      <c r="R6" s="25">
        <v>44927</v>
      </c>
      <c r="T6" s="1"/>
      <c r="V6" s="1"/>
      <c r="W6" s="1"/>
      <c r="X6" s="1"/>
      <c r="Y6" s="1"/>
      <c r="Z6" s="1"/>
      <c r="AA6" s="1"/>
      <c r="AB6" s="1"/>
    </row>
    <row r="7" spans="1:28" ht="14.25" customHeight="1" x14ac:dyDescent="0.35">
      <c r="A7" s="1"/>
      <c r="B7" s="1" t="s">
        <v>4</v>
      </c>
      <c r="C7" s="1">
        <f>COUNT(D10:D24)</f>
        <v>3</v>
      </c>
      <c r="D7" s="1"/>
      <c r="E7" s="1"/>
      <c r="F7" s="1"/>
      <c r="G7" s="1"/>
      <c r="H7" s="1"/>
      <c r="I7" s="1"/>
      <c r="J7" s="1"/>
      <c r="K7" s="1"/>
      <c r="L7" s="1"/>
      <c r="M7" s="1"/>
      <c r="N7" s="1"/>
      <c r="O7" s="1"/>
      <c r="P7" s="1"/>
      <c r="Q7" s="1"/>
      <c r="R7" s="1"/>
      <c r="S7" s="1"/>
      <c r="T7" s="1"/>
      <c r="U7" s="1"/>
      <c r="V7" s="1"/>
      <c r="W7" s="1"/>
      <c r="X7" s="1"/>
      <c r="Y7" s="1"/>
      <c r="Z7" s="1"/>
      <c r="AA7" s="1"/>
      <c r="AB7" s="1"/>
    </row>
    <row r="8" spans="1:28" ht="14.25" customHeight="1" x14ac:dyDescent="0.35">
      <c r="A8" s="1"/>
      <c r="B8" s="1"/>
      <c r="C8" s="1"/>
      <c r="D8" s="46" t="s">
        <v>5</v>
      </c>
      <c r="E8" s="47"/>
      <c r="F8" s="48"/>
      <c r="G8" s="46" t="s">
        <v>6</v>
      </c>
      <c r="H8" s="47"/>
      <c r="I8" s="47"/>
      <c r="J8" s="47"/>
      <c r="K8" s="47"/>
      <c r="L8" s="47"/>
      <c r="M8" s="47"/>
      <c r="N8" s="47"/>
      <c r="O8" s="47"/>
      <c r="P8" s="1"/>
      <c r="Q8" s="1"/>
      <c r="R8" s="1"/>
      <c r="S8" s="1"/>
      <c r="T8" s="1"/>
      <c r="U8" s="1"/>
      <c r="V8" s="1"/>
      <c r="W8" s="1"/>
      <c r="X8" s="1"/>
      <c r="Y8" s="1"/>
      <c r="Z8" s="1"/>
      <c r="AA8" s="1"/>
      <c r="AB8" s="1"/>
    </row>
    <row r="9" spans="1:28" ht="14.25" customHeight="1" x14ac:dyDescent="0.35">
      <c r="A9" s="1"/>
      <c r="B9" s="10" t="s">
        <v>7</v>
      </c>
      <c r="C9" s="10" t="s">
        <v>8</v>
      </c>
      <c r="D9" s="10" t="s">
        <v>9</v>
      </c>
      <c r="E9" s="10" t="s">
        <v>10</v>
      </c>
      <c r="F9" s="11" t="s">
        <v>11</v>
      </c>
      <c r="G9" s="10" t="s">
        <v>12</v>
      </c>
      <c r="H9" s="10" t="s">
        <v>13</v>
      </c>
      <c r="I9" s="10" t="s">
        <v>14</v>
      </c>
      <c r="J9" s="10" t="s">
        <v>15</v>
      </c>
      <c r="K9" s="10" t="s">
        <v>92</v>
      </c>
      <c r="L9" s="10" t="s">
        <v>100</v>
      </c>
      <c r="M9" s="10" t="s">
        <v>16</v>
      </c>
      <c r="N9" s="10" t="s">
        <v>17</v>
      </c>
      <c r="O9" s="10"/>
      <c r="P9" s="1"/>
      <c r="Q9" s="1"/>
      <c r="R9" s="1"/>
      <c r="S9" s="1"/>
      <c r="T9" s="1"/>
      <c r="U9" s="1"/>
      <c r="V9" s="1"/>
      <c r="W9" s="1"/>
      <c r="X9" s="1"/>
      <c r="Y9" s="1"/>
      <c r="Z9" s="1"/>
      <c r="AA9" s="1"/>
      <c r="AB9" s="1"/>
    </row>
    <row r="10" spans="1:28" ht="14.25" customHeight="1" x14ac:dyDescent="0.35">
      <c r="A10" s="1"/>
      <c r="B10" s="1" t="e" vm="23">
        <v>#VALUE!</v>
      </c>
      <c r="C10" s="1" t="s">
        <v>40</v>
      </c>
      <c r="D10" s="21">
        <v>8</v>
      </c>
      <c r="E10" s="15">
        <v>115.17874999999999</v>
      </c>
      <c r="F10" s="34">
        <v>921.43</v>
      </c>
      <c r="G10" s="15" cm="1">
        <f t="array" ref="G10">_FV(B10,"Price")</f>
        <v>199.78</v>
      </c>
      <c r="H10" s="16">
        <f t="shared" ref="H10:H12" si="0">G10*D10</f>
        <v>1598.24</v>
      </c>
      <c r="I10" s="17">
        <f t="shared" ref="I10:I12" si="1">G10/E10-1</f>
        <v>0.73452134182737705</v>
      </c>
      <c r="J10" s="17">
        <f ca="1">IFERROR(__xludf.DUMMYFUNCTION("(G10-INDEX(GOOGLEFINANCE(C10,""price"",TODAY()-7),2,2))/(INDEX(GOOGLEFINANCE(C10,""price"",TODAY()-7),2,2))"),0.0297433804397735)</f>
        <v>2.9743380439773499E-2</v>
      </c>
      <c r="K10" s="7">
        <f ca="1">IFERROR(__xludf.DUMMYFUNCTION("IFERROR((G10-INDEX(GOOGLEFINANCE(C10,""price"",TODAY()-365),2,2))/(INDEX(GOOGLEFINANCE(C10,""price"",TODAY()-365),2,2)),""Not Available"")"),0.13482514337119)</f>
        <v>0.13482514337119</v>
      </c>
      <c r="L10" s="7">
        <f ca="1">IFERROR(__xludf.DUMMYFUNCTION("IFERROR((G10-INDEX(GOOGLEFINANCE(C10,""price"",$R$6),2,2))/(INDEX(GOOGLEFINANCE(C10,""price"",$R$6),2,2)),""Not Available"")"),0.179936864258155)</f>
        <v>0.179936864258155</v>
      </c>
      <c r="M10" s="18">
        <f t="shared" ref="M10:M12" si="2">H10-F10</f>
        <v>676.81000000000006</v>
      </c>
      <c r="N10" s="19">
        <f ca="1">IFERROR(__xludf.DUMMYFUNCTION("IFERROR(GOOGLEFINANCE(C10,""pe""),""Not Available"")"),9.06)</f>
        <v>9.06</v>
      </c>
      <c r="O10" s="1"/>
      <c r="P10" s="1"/>
      <c r="Q10" s="1"/>
      <c r="R10" s="1"/>
      <c r="S10" s="1"/>
      <c r="T10" s="1"/>
      <c r="U10" s="1"/>
      <c r="V10" s="1"/>
      <c r="W10" s="1"/>
      <c r="X10" s="1"/>
      <c r="Y10" s="1"/>
      <c r="Z10" s="1"/>
      <c r="AA10" s="1"/>
      <c r="AB10" s="1"/>
    </row>
    <row r="11" spans="1:28" ht="14.25" customHeight="1" x14ac:dyDescent="0.35">
      <c r="A11" s="1"/>
      <c r="B11" s="37" t="e" vm="29">
        <v>#VALUE!</v>
      </c>
      <c r="C11" s="37" t="s">
        <v>46</v>
      </c>
      <c r="D11" s="38">
        <v>10.448</v>
      </c>
      <c r="E11" s="39">
        <v>67.931659999999994</v>
      </c>
      <c r="F11" s="40">
        <v>709.75</v>
      </c>
      <c r="G11" s="15" cm="1">
        <f t="array" ref="G11">_FV(B11,"Price")</f>
        <v>51.17</v>
      </c>
      <c r="H11" s="39">
        <f t="shared" si="0"/>
        <v>534.62416000000007</v>
      </c>
      <c r="I11" s="44">
        <f t="shared" si="1"/>
        <v>-0.24674297669157497</v>
      </c>
      <c r="J11" s="44">
        <f ca="1">IFERROR(__xludf.DUMMYFUNCTION("(G11-INDEX(GOOGLEFINANCE(C11,""price"",TODAY()-7),2,2))/(INDEX(GOOGLEFINANCE(C11,""price"",TODAY()-7),2,2))"),0.0116669962428316)</f>
        <v>1.1666996242831599E-2</v>
      </c>
      <c r="K11" s="7">
        <f ca="1">IFERROR(__xludf.DUMMYFUNCTION("IFERROR((G11-INDEX(GOOGLEFINANCE(C11,""price"",TODAY()-365),2,2))/(INDEX(GOOGLEFINANCE(C11,""price"",TODAY()-365),2,2)),""Not Available"")"),0.222461170848267)</f>
        <v>0.222461170848267</v>
      </c>
      <c r="L11" s="7">
        <f ca="1">IFERROR(__xludf.DUMMYFUNCTION("IFERROR((G11-INDEX(GOOGLEFINANCE(C11,""price"",$R$6),2,2))/(INDEX(GOOGLEFINANCE(C11,""price"",$R$6),2,2)),""Not Available"")"),-0.014637904468413)</f>
        <v>-1.4637904468413E-2</v>
      </c>
      <c r="M11" s="45">
        <f t="shared" si="2"/>
        <v>-175.12583999999993</v>
      </c>
      <c r="N11" s="43" t="str">
        <f ca="1">IFERROR(__xludf.DUMMYFUNCTION("IFERROR(GOOGLEFINANCE(C11,""pe""),""Not Available"")"),"Not Available")</f>
        <v>Not Available</v>
      </c>
      <c r="O11" s="1"/>
      <c r="P11" s="1"/>
      <c r="Q11" s="1"/>
      <c r="R11" s="1"/>
      <c r="S11" s="1"/>
      <c r="T11" s="1"/>
      <c r="U11" s="1"/>
      <c r="V11" s="1"/>
      <c r="W11" s="1"/>
      <c r="X11" s="1"/>
      <c r="Y11" s="1"/>
      <c r="Z11" s="1"/>
      <c r="AA11" s="1"/>
      <c r="AB11" s="1"/>
    </row>
    <row r="12" spans="1:28" ht="14.25" customHeight="1" x14ac:dyDescent="0.35">
      <c r="A12" s="1"/>
      <c r="B12" s="1" t="e" vm="32">
        <v>#VALUE!</v>
      </c>
      <c r="C12" s="1" t="s">
        <v>49</v>
      </c>
      <c r="D12" s="21">
        <v>15.795</v>
      </c>
      <c r="E12" s="15">
        <v>70.371639999999999</v>
      </c>
      <c r="F12" s="33">
        <v>1111.52</v>
      </c>
      <c r="G12" s="15" cm="1">
        <f t="array" ref="G12">_FV(B12,"Price")</f>
        <v>40.630000000000003</v>
      </c>
      <c r="H12" s="16">
        <f t="shared" si="0"/>
        <v>641.75085000000001</v>
      </c>
      <c r="I12" s="17">
        <f t="shared" si="1"/>
        <v>-0.42263673263831847</v>
      </c>
      <c r="J12" s="17">
        <f ca="1">IFERROR(__xludf.DUMMYFUNCTION("(G12-INDEX(GOOGLEFINANCE(C12,""price"",TODAY()-7),2,2))/(INDEX(GOOGLEFINANCE(C12,""price"",TODAY()-7),2,2))"),0.0251863274222565)</f>
        <v>2.5186327422256499E-2</v>
      </c>
      <c r="K12" s="7">
        <f ca="1">IFERROR(__xludf.DUMMYFUNCTION("IFERROR((G12-INDEX(GOOGLEFINANCE(C12,""price"",TODAY()-365),2,2))/(INDEX(GOOGLEFINANCE(C12,""price"",TODAY()-365),2,2)),""Not Available"")"),-0.153617653299384)</f>
        <v>-0.15361765329938401</v>
      </c>
      <c r="L12" s="7">
        <f ca="1">IFERROR(__xludf.DUMMYFUNCTION("IFERROR((G12-INDEX(GOOGLEFINANCE(C12,""price"",$R$6),2,2))/(INDEX(GOOGLEFINANCE(C12,""price"",$R$6),2,2)),""Not Available"")"),-0.187741804113215)</f>
        <v>-0.18774180411321501</v>
      </c>
      <c r="M12" s="18">
        <f t="shared" si="2"/>
        <v>-469.76914999999997</v>
      </c>
      <c r="N12" s="19" t="str">
        <f ca="1">IFERROR(__xludf.DUMMYFUNCTION("IFERROR(GOOGLEFINANCE(C12,""pe""),""Not Available"")"),"Not Available")</f>
        <v>Not Available</v>
      </c>
      <c r="O12" s="1"/>
      <c r="P12" s="1"/>
      <c r="Q12" s="1"/>
      <c r="R12" s="1"/>
      <c r="S12" s="1"/>
      <c r="T12" s="1"/>
      <c r="U12" s="1"/>
      <c r="V12" s="1"/>
      <c r="W12" s="1"/>
      <c r="X12" s="1"/>
      <c r="Y12" s="1"/>
      <c r="Z12" s="1"/>
      <c r="AA12" s="1"/>
      <c r="AB12" s="1"/>
    </row>
    <row r="13" spans="1:28" ht="14.25" customHeight="1" x14ac:dyDescent="0.35">
      <c r="A13" s="1"/>
      <c r="B13" s="8"/>
      <c r="C13" s="37"/>
      <c r="D13" s="38"/>
      <c r="E13" s="39"/>
      <c r="F13" s="40"/>
      <c r="G13" s="39"/>
      <c r="H13" s="39"/>
      <c r="I13" s="41"/>
      <c r="J13" s="41"/>
      <c r="K13" s="7"/>
      <c r="L13" s="7"/>
      <c r="M13" s="42"/>
      <c r="N13" s="43"/>
      <c r="O13" s="1"/>
      <c r="P13" s="1"/>
      <c r="Q13" s="1"/>
      <c r="R13" s="1"/>
      <c r="S13" s="1"/>
      <c r="T13" s="1"/>
      <c r="U13" s="1"/>
      <c r="V13" s="1"/>
      <c r="W13" s="1"/>
      <c r="X13" s="1"/>
      <c r="Y13" s="1"/>
      <c r="Z13" s="1"/>
      <c r="AA13" s="1"/>
      <c r="AB13" s="1"/>
    </row>
    <row r="14" spans="1:28" ht="14.25" customHeight="1" x14ac:dyDescent="0.35">
      <c r="A14" s="1"/>
      <c r="B14" s="8" t="s">
        <v>95</v>
      </c>
      <c r="C14" s="8"/>
      <c r="D14" s="8"/>
      <c r="E14" s="8"/>
      <c r="F14" s="35">
        <f>SUM(F10:F12)</f>
        <v>2742.7</v>
      </c>
      <c r="G14" s="35"/>
      <c r="H14" s="35">
        <f>SUM(H10:H12)</f>
        <v>2774.61501</v>
      </c>
      <c r="I14" s="35"/>
      <c r="J14" s="35"/>
      <c r="K14" s="35"/>
      <c r="L14" s="35"/>
      <c r="M14" s="35">
        <f>SUM(M10:M12)</f>
        <v>31.915010000000166</v>
      </c>
      <c r="N14" s="43"/>
      <c r="O14" s="1"/>
      <c r="P14" s="1"/>
      <c r="Q14" s="1"/>
      <c r="R14" s="1"/>
      <c r="S14" s="1"/>
      <c r="T14" s="1"/>
      <c r="U14" s="1"/>
      <c r="V14" s="1"/>
      <c r="W14" s="1"/>
      <c r="X14" s="1"/>
      <c r="Y14" s="1"/>
      <c r="Z14" s="1"/>
      <c r="AA14" s="1"/>
      <c r="AB14" s="1"/>
    </row>
    <row r="15" spans="1:28" ht="14.25" customHeight="1" x14ac:dyDescent="0.35">
      <c r="A15" s="1"/>
      <c r="B15" s="8"/>
      <c r="C15" s="37"/>
      <c r="D15" s="38"/>
      <c r="E15" s="39"/>
      <c r="F15" s="40"/>
      <c r="G15" s="39"/>
      <c r="H15" s="39"/>
      <c r="I15" s="41"/>
      <c r="J15" s="41"/>
      <c r="K15" s="7"/>
      <c r="L15" s="7"/>
      <c r="M15" s="42"/>
      <c r="N15" s="43"/>
      <c r="O15" s="1"/>
      <c r="P15" s="1"/>
      <c r="Q15" s="1"/>
      <c r="R15" s="1"/>
      <c r="S15" s="1"/>
      <c r="T15" s="1"/>
      <c r="U15" s="1"/>
      <c r="V15" s="1"/>
      <c r="W15" s="1"/>
      <c r="X15" s="1"/>
      <c r="Y15" s="1"/>
      <c r="Z15" s="1"/>
      <c r="AA15" s="1"/>
      <c r="AB15" s="1"/>
    </row>
    <row r="16" spans="1:28" ht="14.25" customHeight="1" x14ac:dyDescent="0.35">
      <c r="A16" s="1"/>
      <c r="B16" s="8"/>
      <c r="C16" s="37"/>
      <c r="D16" s="38"/>
      <c r="E16" s="39"/>
      <c r="F16" s="40"/>
      <c r="G16" s="39"/>
      <c r="H16" s="39"/>
      <c r="I16" s="41"/>
      <c r="J16" s="41"/>
      <c r="K16" s="7"/>
      <c r="L16" s="7"/>
      <c r="M16" s="42"/>
      <c r="N16" s="43"/>
      <c r="O16" s="1"/>
      <c r="P16" s="1"/>
      <c r="Q16" s="1"/>
      <c r="R16" s="1"/>
      <c r="S16" s="1"/>
      <c r="T16" s="1"/>
      <c r="U16" s="1"/>
      <c r="V16" s="1"/>
      <c r="W16" s="1"/>
      <c r="X16" s="1"/>
      <c r="Y16" s="1"/>
      <c r="Z16" s="1"/>
      <c r="AA16" s="1"/>
      <c r="AB16" s="1"/>
    </row>
    <row r="17" spans="1:28" ht="14.25" customHeight="1" x14ac:dyDescent="0.35">
      <c r="A17" s="1"/>
      <c r="B17" s="8"/>
      <c r="C17" s="37"/>
      <c r="D17" s="38"/>
      <c r="E17" s="39"/>
      <c r="F17" s="40"/>
      <c r="G17" s="39"/>
      <c r="H17" s="39"/>
      <c r="I17" s="44"/>
      <c r="J17" s="41"/>
      <c r="K17" s="7"/>
      <c r="L17" s="7"/>
      <c r="M17" s="45"/>
      <c r="N17" s="43"/>
      <c r="O17" s="1"/>
      <c r="P17" s="1"/>
      <c r="Q17" s="1"/>
      <c r="R17" s="1"/>
      <c r="S17" s="1"/>
      <c r="T17" s="1"/>
      <c r="U17" s="1"/>
      <c r="V17" s="1"/>
      <c r="W17" s="1"/>
      <c r="X17" s="1"/>
      <c r="Y17" s="1"/>
      <c r="Z17" s="1"/>
      <c r="AA17" s="1"/>
      <c r="AB17" s="1"/>
    </row>
    <row r="18" spans="1:28" ht="14.25" customHeight="1" x14ac:dyDescent="0.35">
      <c r="A18" s="1"/>
      <c r="B18" s="8"/>
      <c r="C18" s="37"/>
      <c r="D18" s="38"/>
      <c r="E18" s="39"/>
      <c r="F18" s="40"/>
      <c r="G18" s="39"/>
      <c r="H18" s="39"/>
      <c r="I18" s="41"/>
      <c r="J18" s="41"/>
      <c r="K18" s="7"/>
      <c r="L18" s="7"/>
      <c r="M18" s="42"/>
      <c r="N18" s="43"/>
      <c r="O18" s="1"/>
      <c r="P18" s="1"/>
      <c r="Q18" s="1"/>
      <c r="R18" s="1"/>
      <c r="S18" s="1"/>
      <c r="T18" s="1"/>
      <c r="U18" s="1"/>
      <c r="V18" s="1"/>
      <c r="W18" s="1"/>
      <c r="X18" s="1"/>
      <c r="Y18" s="1"/>
      <c r="Z18" s="1"/>
      <c r="AA18" s="1"/>
      <c r="AB18" s="1"/>
    </row>
    <row r="19" spans="1:28" ht="14.25" customHeight="1" x14ac:dyDescent="0.35">
      <c r="A19" s="1"/>
      <c r="B19" s="1"/>
      <c r="C19" s="1"/>
      <c r="D19" s="1"/>
      <c r="E19" s="1"/>
      <c r="F19" s="1"/>
      <c r="G19" s="1"/>
      <c r="H19" s="1"/>
      <c r="I19" s="1"/>
      <c r="J19" s="1"/>
      <c r="K19" s="7"/>
      <c r="L19" s="7"/>
      <c r="M19" s="1"/>
      <c r="N19" s="1"/>
      <c r="O19" s="1"/>
      <c r="P19" s="1"/>
      <c r="Q19" s="1"/>
      <c r="R19" s="1"/>
      <c r="S19" s="1"/>
      <c r="T19" s="1"/>
      <c r="U19" s="1"/>
      <c r="V19" s="1"/>
      <c r="W19" s="1"/>
      <c r="X19" s="1"/>
      <c r="Y19" s="1"/>
      <c r="Z19" s="1"/>
      <c r="AA19" s="1"/>
      <c r="AB19" s="1"/>
    </row>
    <row r="20" spans="1:28" ht="14.25" customHeight="1" x14ac:dyDescent="0.35">
      <c r="A20" s="1"/>
      <c r="B20" s="1"/>
      <c r="C20" s="1"/>
      <c r="D20" s="1"/>
      <c r="E20" s="1"/>
      <c r="F20" s="1"/>
      <c r="G20" s="1"/>
      <c r="H20" s="1"/>
      <c r="I20" s="1"/>
      <c r="J20" s="1"/>
      <c r="K20" s="7"/>
      <c r="L20" s="7"/>
      <c r="M20" s="1"/>
      <c r="N20" s="1"/>
      <c r="O20" s="1"/>
      <c r="P20" s="1"/>
      <c r="Q20" s="1"/>
      <c r="R20" s="1"/>
      <c r="S20" s="1"/>
      <c r="T20" s="1"/>
      <c r="U20" s="1"/>
      <c r="V20" s="1"/>
      <c r="W20" s="1"/>
      <c r="X20" s="1"/>
      <c r="Y20" s="1"/>
      <c r="Z20" s="1"/>
      <c r="AA20" s="1"/>
      <c r="AB20" s="1"/>
    </row>
    <row r="21" spans="1:28" ht="14.25" customHeight="1" x14ac:dyDescent="0.35">
      <c r="A21" s="1"/>
      <c r="B21" s="1"/>
      <c r="C21" s="1"/>
      <c r="D21" s="1"/>
      <c r="E21" s="1"/>
      <c r="F21" s="1"/>
      <c r="G21" s="1"/>
      <c r="H21" s="1"/>
      <c r="I21" s="1"/>
      <c r="J21" s="1"/>
      <c r="K21" s="7"/>
      <c r="L21" s="7"/>
      <c r="M21" s="1"/>
      <c r="N21" s="1"/>
      <c r="O21" s="1"/>
      <c r="P21" s="1"/>
      <c r="Q21" s="1"/>
      <c r="R21" s="1"/>
      <c r="S21" s="1"/>
      <c r="T21" s="1"/>
      <c r="U21" s="1"/>
      <c r="V21" s="1"/>
      <c r="W21" s="1"/>
      <c r="X21" s="1"/>
      <c r="Y21" s="1"/>
      <c r="Z21" s="1"/>
      <c r="AA21" s="1"/>
      <c r="AB21" s="1"/>
    </row>
    <row r="22" spans="1:28" ht="14.2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4.2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4.2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4.2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4.2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4.2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4.2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4.2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4.2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4.2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2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2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2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2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2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2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2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2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2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2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2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2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2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2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2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2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2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2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2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2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2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2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2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2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2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2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2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2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2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2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2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2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2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2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2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2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2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2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2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2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2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2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2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2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2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2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2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2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2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2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2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2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2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2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2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2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2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2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2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2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2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2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2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2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2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2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2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2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2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2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2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2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2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2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2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2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2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2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2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2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2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2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2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2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2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2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2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2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2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2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2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2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2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2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2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2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2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2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2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2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2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2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2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2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2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2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2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2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2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2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2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2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2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2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2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2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2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2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2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2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2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2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2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2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2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2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2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2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2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2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2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2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2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2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2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2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2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2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2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2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2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2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2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2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2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2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2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2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2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2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2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2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2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2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2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2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2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2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2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2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2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2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2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2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2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2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2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2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2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2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2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2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2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2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2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2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2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2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2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2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2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2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2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2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2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2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2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2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2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2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2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2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2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2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2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2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2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2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2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2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2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2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2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2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2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2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2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2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2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2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2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2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2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2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2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2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2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2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2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2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2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2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2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2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2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2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2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2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2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2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2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2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2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2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2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2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2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2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2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2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2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2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2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2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2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2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2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2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2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2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2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2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2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2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2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2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2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2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2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2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2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2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2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2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2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2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2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2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2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2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2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2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2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2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2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2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2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2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2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2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2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2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2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2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2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2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2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2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2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2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2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2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2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2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2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2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2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2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2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2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2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2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2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2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2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2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2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2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2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2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2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2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2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2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2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2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2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2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2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2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2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2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2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2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2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2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2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2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2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2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2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2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2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2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2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2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2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2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2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2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2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2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2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2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2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2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2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2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2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2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2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2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2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2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2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2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2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2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2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2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2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2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2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2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2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2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2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2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2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2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2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2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2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2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2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2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2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2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2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2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2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2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2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2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2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2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2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2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2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2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2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2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2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2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2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2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2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2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2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2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2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2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2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2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2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2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2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2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2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2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2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2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2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2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2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2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2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2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2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2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2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2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2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2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2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2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2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2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2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2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2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2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2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2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2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2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2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2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2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2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2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2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2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2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2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2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2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2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2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2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2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2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2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2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2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2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2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2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2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2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2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2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2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2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2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2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2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2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2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2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2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2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2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2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2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2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2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2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2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2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2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2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2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2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2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2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2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2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2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2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2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2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2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2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2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2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2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2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2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2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2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2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2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2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2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2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2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2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2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2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2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2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2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2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2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2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2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2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2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2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2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2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2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2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2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2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2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2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2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2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2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2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2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2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2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2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2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2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2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2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2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2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2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2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2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2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2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2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2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2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2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2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2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2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2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2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2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2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2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2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2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2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2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2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2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2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2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2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2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2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2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2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2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2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2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2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2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2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2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2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2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2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2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2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2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2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2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2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2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2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2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2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2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2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2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2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2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2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2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2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2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2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2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2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2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2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2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2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2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2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2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2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2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2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2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2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2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2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2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2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2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2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2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2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2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2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2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2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2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2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2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2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2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2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2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2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2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2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2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2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2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2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2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2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2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2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2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2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2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2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2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2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2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2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2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2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2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2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2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2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2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2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2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2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2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2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2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2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2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2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2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2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2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2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2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2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2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2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2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2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2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2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2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2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2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2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2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2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2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2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2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2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2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2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2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2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2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2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2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2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2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2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2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2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2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2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2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2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2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2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2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2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2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2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2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2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2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2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2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2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2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2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2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2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2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2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2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2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2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2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2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2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2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2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2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2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2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2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2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2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2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sheetData>
  <mergeCells count="2">
    <mergeCell ref="D8:F8"/>
    <mergeCell ref="G8:O8"/>
  </mergeCells>
  <conditionalFormatting sqref="I10:J10 L10:L12 I12:J12">
    <cfRule type="cellIs" dxfId="1" priority="1" operator="greaterThan">
      <formula>0</formula>
    </cfRule>
  </conditionalFormatting>
  <conditionalFormatting sqref="M10 K10:L13 M12 K15:L21">
    <cfRule type="cellIs" dxfId="0" priority="2"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GCI Portfolio</vt:lpstr>
      <vt:lpstr>Sector Breakdown</vt:lpstr>
      <vt:lpstr>TMT</vt:lpstr>
      <vt:lpstr>PNR</vt:lpstr>
      <vt:lpstr>IND</vt:lpstr>
      <vt:lpstr>CNR</vt:lpstr>
      <vt:lpstr>HC</vt:lpstr>
      <vt:lpstr>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Laborde</dc:creator>
  <cp:lastModifiedBy>Ryan Yutong Wu</cp:lastModifiedBy>
  <dcterms:created xsi:type="dcterms:W3CDTF">2023-04-05T02:29:37Z</dcterms:created>
  <dcterms:modified xsi:type="dcterms:W3CDTF">2024-03-12T20:27:41Z</dcterms:modified>
</cp:coreProperties>
</file>