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I Portfolio" sheetId="1" r:id="rId4"/>
    <sheet state="visible" name="Sector Breakdown" sheetId="2" r:id="rId5"/>
    <sheet state="visible" name="TMT" sheetId="3" r:id="rId6"/>
    <sheet state="visible" name="PNR" sheetId="4" r:id="rId7"/>
    <sheet state="visible" name="IND" sheetId="5" r:id="rId8"/>
    <sheet state="visible" name="CNR" sheetId="6" r:id="rId9"/>
    <sheet state="visible" name="HC" sheetId="7" r:id="rId10"/>
    <sheet state="visible" name="ER" sheetId="8" r:id="rId11"/>
  </sheets>
  <definedNames/>
  <calcPr/>
  <extLst>
    <ext uri="GoogleSheetsCustomDataVersion2">
      <go:sheetsCustomData xmlns:go="http://customooxmlschemas.google.com/" r:id="rId12" roundtripDataChecksum="PGiMxj5DBMvZUORRAPG8DLkTssmk/EWUNlfvPsgVHn0="/>
    </ext>
  </extLst>
</workbook>
</file>

<file path=xl/sharedStrings.xml><?xml version="1.0" encoding="utf-8"?>
<sst xmlns="http://schemas.openxmlformats.org/spreadsheetml/2006/main" count="278" uniqueCount="101">
  <si>
    <t>Portfolio Holdings</t>
  </si>
  <si>
    <t>Live Updates</t>
  </si>
  <si>
    <t>For Georgetown Collegiate Investors</t>
  </si>
  <si>
    <t>Current Value:</t>
  </si>
  <si>
    <t>Count:</t>
  </si>
  <si>
    <t>PURCHASE</t>
  </si>
  <si>
    <t>LIVE TRACKER</t>
  </si>
  <si>
    <t>Company Name</t>
  </si>
  <si>
    <t>Symbol</t>
  </si>
  <si>
    <t>Qty</t>
  </si>
  <si>
    <t>Cost/share</t>
  </si>
  <si>
    <t>Cost</t>
  </si>
  <si>
    <t>Price</t>
  </si>
  <si>
    <t>Mkt value</t>
  </si>
  <si>
    <t>Total % Change</t>
  </si>
  <si>
    <t>Weekly % Change</t>
  </si>
  <si>
    <t>Gain</t>
  </si>
  <si>
    <t>P/E</t>
  </si>
  <si>
    <t>AAPL</t>
  </si>
  <si>
    <t>ABBV</t>
  </si>
  <si>
    <t>ADM</t>
  </si>
  <si>
    <t>ASO</t>
  </si>
  <si>
    <t>BHP</t>
  </si>
  <si>
    <t>BRK.B</t>
  </si>
  <si>
    <t>BWA</t>
  </si>
  <si>
    <t>CEG</t>
  </si>
  <si>
    <t>CLH</t>
  </si>
  <si>
    <t>COST</t>
  </si>
  <si>
    <t>CPRI</t>
  </si>
  <si>
    <t>CVS</t>
  </si>
  <si>
    <t>DELL</t>
  </si>
  <si>
    <t>DIS</t>
  </si>
  <si>
    <t>EHAB</t>
  </si>
  <si>
    <t>EHC</t>
  </si>
  <si>
    <t>ENPH</t>
  </si>
  <si>
    <t>EPD</t>
  </si>
  <si>
    <t>EXC</t>
  </si>
  <si>
    <t>FCX</t>
  </si>
  <si>
    <t>FDX</t>
  </si>
  <si>
    <t>FTNT</t>
  </si>
  <si>
    <t>GLD</t>
  </si>
  <si>
    <t>GOOG</t>
  </si>
  <si>
    <t>GXO</t>
  </si>
  <si>
    <t>HII</t>
  </si>
  <si>
    <t>J</t>
  </si>
  <si>
    <t>JBL</t>
  </si>
  <si>
    <t>KBWB</t>
  </si>
  <si>
    <t>LC</t>
  </si>
  <si>
    <t>LMT</t>
  </si>
  <si>
    <t>MCHI</t>
  </si>
  <si>
    <t>MCK</t>
  </si>
  <si>
    <t>META</t>
  </si>
  <si>
    <t>MHO</t>
  </si>
  <si>
    <t>MOH</t>
  </si>
  <si>
    <t>MRK</t>
  </si>
  <si>
    <t>NBIX</t>
  </si>
  <si>
    <t>NFLX</t>
  </si>
  <si>
    <t>NOC</t>
  </si>
  <si>
    <t>NTR</t>
  </si>
  <si>
    <t>ORCL</t>
  </si>
  <si>
    <t>PCAR</t>
  </si>
  <si>
    <t>PVH</t>
  </si>
  <si>
    <t>PYPL</t>
  </si>
  <si>
    <t>QCOM</t>
  </si>
  <si>
    <t>RNG</t>
  </si>
  <si>
    <t>RXO</t>
  </si>
  <si>
    <t>RYN</t>
  </si>
  <si>
    <t>TAK</t>
  </si>
  <si>
    <t>TMO</t>
  </si>
  <si>
    <t>WDS</t>
  </si>
  <si>
    <t>XPO</t>
  </si>
  <si>
    <t>***END OF FILE***</t>
  </si>
  <si>
    <t>Market Value</t>
  </si>
  <si>
    <t>Weight</t>
  </si>
  <si>
    <t>YoY %</t>
  </si>
  <si>
    <t>YTD %</t>
  </si>
  <si>
    <t>GCI %</t>
  </si>
  <si>
    <t>TMT</t>
  </si>
  <si>
    <t>PNR</t>
  </si>
  <si>
    <t>IND</t>
  </si>
  <si>
    <t>CNR</t>
  </si>
  <si>
    <t>HC</t>
  </si>
  <si>
    <t>E/R</t>
  </si>
  <si>
    <t>Total Invested</t>
  </si>
  <si>
    <t>Indexes:</t>
  </si>
  <si>
    <t>S&amp;P 500</t>
  </si>
  <si>
    <t>NASDAQ</t>
  </si>
  <si>
    <t>Dow Jones</t>
  </si>
  <si>
    <t>Russell 2000</t>
  </si>
  <si>
    <t>GCI</t>
  </si>
  <si>
    <t>Portfolio Holdings | Technology, Media, and Telecom</t>
  </si>
  <si>
    <t xml:space="preserve">Weekly % </t>
  </si>
  <si>
    <t>Yearly %</t>
  </si>
  <si>
    <t>ATVI</t>
  </si>
  <si>
    <t>VMW</t>
  </si>
  <si>
    <t>Total</t>
  </si>
  <si>
    <t>Portfolio Holdings | Power &amp; Natural Resources</t>
  </si>
  <si>
    <t>Portfolio Holdings | Industrials</t>
  </si>
  <si>
    <t>Portfolio Holdings | Consumer &amp; Retail</t>
  </si>
  <si>
    <t>Portfolio Holdings | Healthcare</t>
  </si>
  <si>
    <t>YTD%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</si>
</sst>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_);[Red]\(&quot;$&quot;#,##0.00\)"/>
    <numFmt numFmtId="165" formatCode="0.0"/>
    <numFmt numFmtId="166" formatCode="&quot;$&quot;#,##0.00"/>
    <numFmt numFmtId="167" formatCode="_(&quot;$&quot;* #,##0.00_);_(&quot;$&quot;* \(#,##0.00\);_(&quot;$&quot;* &quot;-&quot;??_);_(@_)"/>
    <numFmt numFmtId="168" formatCode="m/d/yyyy"/>
  </numFmts>
  <fonts count="13">
    <font>
      <sz val="11.0"/>
      <color theme="1"/>
      <name val="Calibri"/>
      <scheme val="minor"/>
    </font>
    <font>
      <color theme="1"/>
      <name val="Garamond"/>
    </font>
    <font>
      <b/>
      <sz val="12.0"/>
      <color rgb="FFFFFFFF"/>
      <name val="Garamond"/>
    </font>
    <font>
      <b/>
      <i/>
      <sz val="12.0"/>
      <color rgb="FFFFFFFF"/>
      <name val="Garamond"/>
    </font>
    <font>
      <i/>
      <color rgb="FFFFFFFF"/>
      <name val="Garamond"/>
    </font>
    <font>
      <sz val="11.0"/>
      <color theme="1"/>
      <name val="Garamond"/>
    </font>
    <font>
      <b/>
      <color theme="1"/>
      <name val="Garamond"/>
    </font>
    <font>
      <b/>
      <sz val="11.0"/>
      <color theme="1"/>
      <name val="Garamond"/>
    </font>
    <font/>
    <font>
      <color rgb="FF0000FF"/>
      <name val="Garamond"/>
    </font>
    <font>
      <sz val="11.0"/>
      <color rgb="FF0000FF"/>
      <name val="Garamond"/>
    </font>
    <font>
      <sz val="11.0"/>
      <color rgb="FF38761D"/>
      <name val="Garamond"/>
    </font>
    <font>
      <sz val="11.0"/>
      <color rgb="FFFF0000"/>
      <name val="Garamond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164" xfId="0" applyFont="1" applyNumberFormat="1"/>
    <xf borderId="0" fillId="0" fontId="5" numFmtId="10" xfId="0" applyFont="1" applyNumberFormat="1"/>
    <xf borderId="0" fillId="0" fontId="6" numFmtId="0" xfId="0" applyFont="1"/>
    <xf borderId="0" fillId="0" fontId="7" numFmtId="164" xfId="0" applyFont="1" applyNumberFormat="1"/>
    <xf borderId="0" fillId="0" fontId="6" numFmtId="0" xfId="0" applyAlignment="1" applyFont="1">
      <alignment horizontal="center"/>
    </xf>
    <xf borderId="1" fillId="0" fontId="8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9" numFmtId="165" xfId="0" applyFont="1" applyNumberFormat="1"/>
    <xf borderId="0" fillId="0" fontId="9" numFmtId="166" xfId="0" applyFont="1" applyNumberFormat="1"/>
    <xf borderId="1" fillId="0" fontId="10" numFmtId="166" xfId="0" applyBorder="1" applyFont="1" applyNumberFormat="1"/>
    <xf borderId="0" fillId="0" fontId="1" numFmtId="166" xfId="0" applyFont="1" applyNumberFormat="1"/>
    <xf borderId="0" fillId="0" fontId="5" numFmtId="166" xfId="0" applyFont="1" applyNumberFormat="1"/>
    <xf borderId="0" fillId="0" fontId="5" numFmtId="10" xfId="0" applyAlignment="1" applyFont="1" applyNumberFormat="1">
      <alignment horizontal="center"/>
    </xf>
    <xf borderId="0" fillId="0" fontId="5" numFmtId="167" xfId="0" applyFont="1" applyNumberFormat="1"/>
    <xf borderId="0" fillId="0" fontId="1" numFmtId="0" xfId="0" applyAlignment="1" applyFont="1">
      <alignment horizontal="right"/>
    </xf>
    <xf borderId="1" fillId="0" fontId="9" numFmtId="166" xfId="0" applyBorder="1" applyFont="1" applyNumberFormat="1"/>
    <xf borderId="0" fillId="0" fontId="1" numFmtId="165" xfId="0" applyFont="1" applyNumberFormat="1"/>
    <xf borderId="0" fillId="0" fontId="6" numFmtId="0" xfId="0" applyAlignment="1" applyFont="1">
      <alignment horizontal="right"/>
    </xf>
    <xf borderId="0" fillId="0" fontId="6" numFmtId="165" xfId="0" applyAlignment="1" applyFont="1" applyNumberFormat="1">
      <alignment horizontal="right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right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  <xf borderId="0" fillId="0" fontId="1" numFmtId="10" xfId="0" applyFont="1" applyNumberFormat="1"/>
    <xf borderId="0" fillId="0" fontId="1" numFmtId="164" xfId="0" applyFont="1" applyNumberFormat="1"/>
    <xf borderId="0" fillId="0" fontId="1" numFmtId="3" xfId="0" applyFont="1" applyNumberFormat="1"/>
    <xf borderId="0" fillId="0" fontId="6" numFmtId="0" xfId="0" applyAlignment="1" applyFont="1">
      <alignment horizontal="right" readingOrder="0"/>
    </xf>
    <xf borderId="0" fillId="0" fontId="6" numFmtId="10" xfId="0" applyFont="1" applyNumberForma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1" fillId="0" fontId="5" numFmtId="166" xfId="0" applyBorder="1" applyFont="1" applyNumberFormat="1"/>
    <xf borderId="1" fillId="0" fontId="1" numFmtId="166" xfId="0" applyBorder="1" applyFont="1" applyNumberFormat="1"/>
    <xf borderId="0" fillId="0" fontId="6" numFmtId="166" xfId="0" applyFont="1" applyNumberFormat="1"/>
    <xf borderId="0" fillId="0" fontId="6" numFmtId="167" xfId="0" applyFont="1" applyNumberFormat="1"/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1" fillId="0" fontId="5" numFmtId="166" xfId="0" applyAlignment="1" applyBorder="1" applyFont="1" applyNumberFormat="1">
      <alignment horizontal="right" vertical="bottom"/>
    </xf>
    <xf borderId="0" fillId="0" fontId="11" numFmtId="10" xfId="0" applyAlignment="1" applyFont="1" applyNumberFormat="1">
      <alignment horizontal="center" vertical="bottom"/>
    </xf>
    <xf borderId="0" fillId="0" fontId="5" numFmtId="167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12" numFmtId="10" xfId="0" applyAlignment="1" applyFont="1" applyNumberFormat="1">
      <alignment horizontal="center" vertical="bottom"/>
    </xf>
    <xf borderId="0" fillId="0" fontId="12" numFmtId="167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2">
    <dxf>
      <font>
        <color rgb="FF38761D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Verdana"/>
              </a:defRPr>
            </a:pPr>
            <a:r>
              <a:rPr b="0" i="0">
                <a:solidFill>
                  <a:srgbClr val="757575"/>
                </a:solidFill>
                <a:latin typeface="Verdana"/>
              </a:rPr>
              <a:t>GCI Sector Allocation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C9DAF8"/>
              </a:solidFill>
            </c:spPr>
          </c:dPt>
          <c:dPt>
            <c:idx val="1"/>
            <c:spPr>
              <a:solidFill>
                <a:srgbClr val="A4C2F4"/>
              </a:solidFill>
            </c:spPr>
          </c:dPt>
          <c:dPt>
            <c:idx val="2"/>
            <c:spPr>
              <a:solidFill>
                <a:srgbClr val="3C78D8"/>
              </a:solidFill>
            </c:spPr>
          </c:dPt>
          <c:dPt>
            <c:idx val="3"/>
            <c:spPr>
              <a:solidFill>
                <a:srgbClr val="1C4587"/>
              </a:solidFill>
            </c:spPr>
          </c:dPt>
          <c:dPt>
            <c:idx val="4"/>
            <c:spPr>
              <a:solidFill>
                <a:srgbClr val="B7B7B7"/>
              </a:solidFill>
            </c:spPr>
          </c:dPt>
          <c:dPt>
            <c:idx val="5"/>
            <c:spPr>
              <a:solidFill>
                <a:srgbClr val="6666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'Sector Breakdown'!$B$10:$B$15</c:f>
            </c:strRef>
          </c:cat>
          <c:val>
            <c:numRef>
              <c:f>'Sector Breakdown'!$C$10:$C$15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Verdana"/>
              </a:defRPr>
            </a:pPr>
            <a:r>
              <a:rPr b="0" i="0">
                <a:solidFill>
                  <a:srgbClr val="757575"/>
                </a:solidFill>
                <a:latin typeface="Verdana"/>
              </a:rPr>
              <a:t>GCI Returns by Sector (YoY%)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'Sector Breakdown'!$E$9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'Sector Breakdown'!$B$10:$B$15</c:f>
            </c:strRef>
          </c:cat>
          <c:val>
            <c:numRef>
              <c:f>'Sector Breakdown'!$E$10:$E$15</c:f>
              <c:numCache/>
            </c:numRef>
          </c:val>
        </c:ser>
        <c:axId val="608169641"/>
        <c:axId val="1800235700"/>
      </c:barChart>
      <c:catAx>
        <c:axId val="608169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00235700"/>
      </c:catAx>
      <c:valAx>
        <c:axId val="1800235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816964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Verdana"/>
              </a:defRPr>
            </a:pPr>
            <a:r>
              <a:rPr b="0" i="0">
                <a:solidFill>
                  <a:srgbClr val="757575"/>
                </a:solidFill>
                <a:latin typeface="Verdana"/>
              </a:rPr>
              <a:t>GCI vs Indexes (YoY%)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'Sector Breakdown'!$B$25:$B$30</c:f>
            </c:strRef>
          </c:cat>
          <c:val>
            <c:numRef>
              <c:f>'Sector Breakdown'!$C$25:$C$30</c:f>
              <c:numCache/>
            </c:numRef>
          </c:val>
        </c:ser>
        <c:axId val="133272596"/>
        <c:axId val="596213501"/>
      </c:barChart>
      <c:catAx>
        <c:axId val="133272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96213501"/>
      </c:catAx>
      <c:valAx>
        <c:axId val="596213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327259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266700</xdr:colOff>
      <xdr:row>5</xdr:row>
      <xdr:rowOff>28575</xdr:rowOff>
    </xdr:from>
    <xdr:ext cx="3848100" cy="2381250"/>
    <xdr:graphicFrame>
      <xdr:nvGraphicFramePr>
        <xdr:cNvPr id="203588056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266700</xdr:colOff>
      <xdr:row>19</xdr:row>
      <xdr:rowOff>19050</xdr:rowOff>
    </xdr:from>
    <xdr:ext cx="3848100" cy="2381250"/>
    <xdr:graphicFrame>
      <xdr:nvGraphicFramePr>
        <xdr:cNvPr id="200945170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1019175</xdr:colOff>
      <xdr:row>5</xdr:row>
      <xdr:rowOff>28575</xdr:rowOff>
    </xdr:from>
    <xdr:ext cx="3848100" cy="2381250"/>
    <xdr:graphicFrame>
      <xdr:nvGraphicFramePr>
        <xdr:cNvPr id="46625925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1.86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1" width="11.14"/>
    <col customWidth="1" min="12" max="12" width="17.43"/>
    <col customWidth="1" min="13" max="13" width="15.86"/>
    <col customWidth="1" min="14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T2" s="1"/>
      <c r="U2" s="1"/>
      <c r="V2" s="1"/>
      <c r="W2" s="1"/>
      <c r="X2" s="1"/>
      <c r="Y2" s="1"/>
      <c r="Z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1"/>
      <c r="U3" s="1"/>
      <c r="V3" s="1"/>
      <c r="W3" s="1"/>
      <c r="X3" s="1"/>
      <c r="Y3" s="1"/>
      <c r="Z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</row>
    <row r="6" ht="14.25" customHeight="1">
      <c r="A6" s="1"/>
      <c r="B6" s="8" t="s">
        <v>3</v>
      </c>
      <c r="C6" s="9">
        <f>SUM(H10:H62)</f>
        <v>79368.11954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</row>
    <row r="7" ht="14.25" customHeight="1">
      <c r="A7" s="1"/>
      <c r="B7" s="1" t="s">
        <v>4</v>
      </c>
      <c r="C7" s="1">
        <f>COUNT(D10:D62)</f>
        <v>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8" t="str">
        <f>IFERROR(__xludf.DUMMYFUNCTION("IFERROR(GOOGLEFINANCE(C10,""name""),""Not Available"")"),"Apple Inc")</f>
        <v>Apple Inc</v>
      </c>
      <c r="C10" s="1" t="s">
        <v>18</v>
      </c>
      <c r="D10" s="14">
        <v>20.748</v>
      </c>
      <c r="E10" s="15">
        <v>65.75718</v>
      </c>
      <c r="F10" s="16">
        <v>1364.33</v>
      </c>
      <c r="G10" s="17">
        <f>IFERROR(__xludf.DUMMYFUNCTION("IFERROR(GOOGLEFINANCE(C10,""price""),""Not Available)"")"),170.73)</f>
        <v>170.73</v>
      </c>
      <c r="H10" s="18">
        <f t="shared" ref="H10:H62" si="1">G10*D10</f>
        <v>3542.30604</v>
      </c>
      <c r="I10" s="19">
        <f t="shared" ref="I10:I62" si="2">G10/E10-1</f>
        <v>1.596370465</v>
      </c>
      <c r="J10" s="19">
        <f>IFERROR(__xludf.DUMMYFUNCTION("(G10-INDEX(GOOGLEFINANCE(C10,""price"",TODAY()-7),2,2))/(INDEX(GOOGLEFINANCE(C10,""price"",TODAY()-7),2,2))"),-0.024957167332952626)</f>
        <v>-0.02495716733</v>
      </c>
      <c r="K10" s="20">
        <f t="shared" ref="K10:K62" si="3">H10-F10</f>
        <v>2177.97604</v>
      </c>
      <c r="L10" s="21">
        <f>IFERROR(__xludf.DUMMYFUNCTION("IFERROR(GOOGLEFINANCE(C10,""pe""),""Not Available"")"),26.56)</f>
        <v>26.56</v>
      </c>
      <c r="M10" s="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8" t="str">
        <f>IFERROR(__xludf.DUMMYFUNCTION("IFERROR(GOOGLEFINANCE(C11,""name""),""Not Available"")"),"AbbVie Inc")</f>
        <v>AbbVie Inc</v>
      </c>
      <c r="C11" s="1" t="s">
        <v>19</v>
      </c>
      <c r="D11" s="14">
        <v>6.198</v>
      </c>
      <c r="E11" s="15">
        <v>93.21878</v>
      </c>
      <c r="F11" s="22">
        <v>577.77</v>
      </c>
      <c r="G11" s="17">
        <f>IFERROR(__xludf.DUMMYFUNCTION("IFERROR(GOOGLEFINANCE(C11,""price""),""Not Available)"")"),178.85)</f>
        <v>178.85</v>
      </c>
      <c r="H11" s="18">
        <f t="shared" si="1"/>
        <v>1108.5123</v>
      </c>
      <c r="I11" s="19">
        <f t="shared" si="2"/>
        <v>0.9186048133</v>
      </c>
      <c r="J11" s="19">
        <f>IFERROR(__xludf.DUMMYFUNCTION("(G11-INDEX(GOOGLEFINANCE(C11,""price"",TODAY()-7),2,2))/(INDEX(GOOGLEFINANCE(C11,""price"",TODAY()-7),2,2))"),0.010166619598983241)</f>
        <v>0.0101666196</v>
      </c>
      <c r="K11" s="20">
        <f t="shared" si="3"/>
        <v>530.7423</v>
      </c>
      <c r="L11" s="21">
        <f>IFERROR(__xludf.DUMMYFUNCTION("IFERROR(GOOGLEFINANCE(C11,""pe""),""Not Available"")"),65.79)</f>
        <v>65.79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8" t="str">
        <f>IFERROR(__xludf.DUMMYFUNCTION("IFERROR(GOOGLEFINANCE(C12,""name""),""Not Available"")"),"Archer-Daniels-Midland Co")</f>
        <v>Archer-Daniels-Midland Co</v>
      </c>
      <c r="C12" s="1" t="s">
        <v>20</v>
      </c>
      <c r="D12" s="14">
        <v>7.44</v>
      </c>
      <c r="E12" s="15">
        <v>66.70833</v>
      </c>
      <c r="F12" s="22">
        <v>496.31</v>
      </c>
      <c r="G12" s="17">
        <f>IFERROR(__xludf.DUMMYFUNCTION("IFERROR(GOOGLEFINANCE(C12,""price""),""Not Available)"")"),54.81)</f>
        <v>54.81</v>
      </c>
      <c r="H12" s="18">
        <f t="shared" si="1"/>
        <v>407.7864</v>
      </c>
      <c r="I12" s="19">
        <f t="shared" si="2"/>
        <v>-0.1783634817</v>
      </c>
      <c r="J12" s="19">
        <f>IFERROR(__xludf.DUMMYFUNCTION("(G12-INDEX(GOOGLEFINANCE(C12,""price"",TODAY()-7),2,2))/(INDEX(GOOGLEFINANCE(C12,""price"",TODAY()-7),2,2))"),0.029875986471251476)</f>
        <v>0.02987598647</v>
      </c>
      <c r="K12" s="20">
        <f t="shared" si="3"/>
        <v>-88.5236</v>
      </c>
      <c r="L12" s="21">
        <f>IFERROR(__xludf.DUMMYFUNCTION("IFERROR(GOOGLEFINANCE(C12,""pe""),""Not Available"")"),7.63)</f>
        <v>7.63</v>
      </c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8" t="str">
        <f>IFERROR(__xludf.DUMMYFUNCTION("IFERROR(GOOGLEFINANCE(C13,""name""),""Not Available"")"),"Academy Sports and Outdoors Inc")</f>
        <v>Academy Sports and Outdoors Inc</v>
      </c>
      <c r="C13" s="1" t="s">
        <v>21</v>
      </c>
      <c r="D13" s="14">
        <v>5.007</v>
      </c>
      <c r="E13" s="15">
        <v>45.69003</v>
      </c>
      <c r="F13" s="22">
        <v>228.77</v>
      </c>
      <c r="G13" s="17">
        <f>IFERROR(__xludf.DUMMYFUNCTION("IFERROR(GOOGLEFINANCE(C13,""price""),""Not Available)"")"),70.2)</f>
        <v>70.2</v>
      </c>
      <c r="H13" s="18">
        <f t="shared" si="1"/>
        <v>351.4914</v>
      </c>
      <c r="I13" s="19">
        <f t="shared" si="2"/>
        <v>0.5364402256</v>
      </c>
      <c r="J13" s="19">
        <f>IFERROR(__xludf.DUMMYFUNCTION("(G13-INDEX(GOOGLEFINANCE(C13,""price"",TODAY()-7),2,2))/(INDEX(GOOGLEFINANCE(C13,""price"",TODAY()-7),2,2))"),-0.06124632254613531)</f>
        <v>-0.06124632255</v>
      </c>
      <c r="K13" s="20">
        <f t="shared" si="3"/>
        <v>122.7214</v>
      </c>
      <c r="L13" s="21">
        <f>IFERROR(__xludf.DUMMYFUNCTION("IFERROR(GOOGLEFINANCE(C13,""pe""),""Not Available"")"),10.87)</f>
        <v>10.87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8" t="str">
        <f>IFERROR(__xludf.DUMMYFUNCTION("IFERROR(GOOGLEFINANCE(C14,""name""),""Not Available"")"),"BHP Group Ltd")</f>
        <v>BHP Group Ltd</v>
      </c>
      <c r="C14" s="1" t="s">
        <v>22</v>
      </c>
      <c r="D14" s="14">
        <v>8.891</v>
      </c>
      <c r="E14" s="15">
        <v>70.40603</v>
      </c>
      <c r="F14" s="22">
        <v>625.98</v>
      </c>
      <c r="G14" s="17">
        <f>IFERROR(__xludf.DUMMYFUNCTION("IFERROR(GOOGLEFINANCE(C14,""price""),""Not Available)"")"),57.3)</f>
        <v>57.3</v>
      </c>
      <c r="H14" s="18">
        <f t="shared" si="1"/>
        <v>509.4543</v>
      </c>
      <c r="I14" s="19">
        <f t="shared" si="2"/>
        <v>-0.1861492545</v>
      </c>
      <c r="J14" s="19">
        <f>IFERROR(__xludf.DUMMYFUNCTION("(G14-INDEX(GOOGLEFINANCE(C14,""price"",TODAY()-7),2,2))/(INDEX(GOOGLEFINANCE(C14,""price"",TODAY()-7),2,2))"),-0.013089906992766192)</f>
        <v>-0.01308990699</v>
      </c>
      <c r="K14" s="20">
        <f t="shared" si="3"/>
        <v>-116.5257</v>
      </c>
      <c r="L14" s="21">
        <f>IFERROR(__xludf.DUMMYFUNCTION("IFERROR(GOOGLEFINANCE(C14,""pe""),""Not Available"")"),19.67)</f>
        <v>19.67</v>
      </c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8" t="str">
        <f>IFERROR(__xludf.DUMMYFUNCTION("IFERROR(GOOGLEFINANCE(C15,""name""),""Not Available"")"),"Berkshire Hathaway Inc Class B")</f>
        <v>Berkshire Hathaway Inc Class B</v>
      </c>
      <c r="C15" s="1" t="s">
        <v>23</v>
      </c>
      <c r="D15" s="14">
        <v>6.0</v>
      </c>
      <c r="E15" s="15">
        <v>166.55167</v>
      </c>
      <c r="F15" s="22">
        <v>999.31</v>
      </c>
      <c r="G15" s="17">
        <f>IFERROR(__xludf.DUMMYFUNCTION("IFERROR(GOOGLEFINANCE(C15,""price""),""Not Available)"")"),403.15)</f>
        <v>403.15</v>
      </c>
      <c r="H15" s="18">
        <f t="shared" si="1"/>
        <v>2418.9</v>
      </c>
      <c r="I15" s="19">
        <f t="shared" si="2"/>
        <v>1.420570145</v>
      </c>
      <c r="J15" s="19">
        <f>IFERROR(__xludf.DUMMYFUNCTION("(G15-INDEX(GOOGLEFINANCE(C15,""price"",TODAY()-7),2,2))/(INDEX(GOOGLEFINANCE(C15,""price"",TODAY()-7),2,2))"),-5.94957733211059E-4)</f>
        <v>-0.0005949577332</v>
      </c>
      <c r="K15" s="20">
        <f t="shared" si="3"/>
        <v>1419.59</v>
      </c>
      <c r="L15" s="21">
        <f>IFERROR(__xludf.DUMMYFUNCTION("IFERROR(GOOGLEFINANCE(C15,""pe""),""Not Available"")"),0.01)</f>
        <v>0.01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8" t="str">
        <f>IFERROR(__xludf.DUMMYFUNCTION("IFERROR(GOOGLEFINANCE(C16,""name""),""Not Available"")"),"BorgWarner Inc.")</f>
        <v>BorgWarner Inc.</v>
      </c>
      <c r="C16" s="1" t="s">
        <v>24</v>
      </c>
      <c r="D16" s="14">
        <v>12.478</v>
      </c>
      <c r="E16" s="15">
        <v>48.26414</v>
      </c>
      <c r="F16" s="22">
        <v>602.24</v>
      </c>
      <c r="G16" s="17">
        <f>IFERROR(__xludf.DUMMYFUNCTION("IFERROR(GOOGLEFINANCE(C16,""price""),""Not Available)"")"),32.04)</f>
        <v>32.04</v>
      </c>
      <c r="H16" s="18">
        <f t="shared" si="1"/>
        <v>399.79512</v>
      </c>
      <c r="I16" s="19">
        <f t="shared" si="2"/>
        <v>-0.3361530942</v>
      </c>
      <c r="J16" s="19">
        <f>IFERROR(__xludf.DUMMYFUNCTION("(G16-INDEX(GOOGLEFINANCE(C16,""price"",TODAY()-7),2,2))/(INDEX(GOOGLEFINANCE(C16,""price"",TODAY()-7),2,2))"),0.03924748621472594)</f>
        <v>0.03924748621</v>
      </c>
      <c r="K16" s="20">
        <f t="shared" si="3"/>
        <v>-202.44488</v>
      </c>
      <c r="L16" s="21">
        <f>IFERROR(__xludf.DUMMYFUNCTION("IFERROR(GOOGLEFINANCE(C16,""pe""),""Not Available"")"),11.88)</f>
        <v>11.88</v>
      </c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8" t="str">
        <f>IFERROR(__xludf.DUMMYFUNCTION("IFERROR(GOOGLEFINANCE(C17,""name""),""Not Available"")"),"Constellation Energy Corp")</f>
        <v>Constellation Energy Corp</v>
      </c>
      <c r="C17" s="1" t="s">
        <v>25</v>
      </c>
      <c r="D17" s="14">
        <v>8.14</v>
      </c>
      <c r="E17" s="15">
        <v>42.2715</v>
      </c>
      <c r="F17" s="22">
        <v>344.09</v>
      </c>
      <c r="G17" s="17">
        <f>IFERROR(__xludf.DUMMYFUNCTION("IFERROR(GOOGLEFINANCE(C17,""price""),""Not Available)"")"),170.57)</f>
        <v>170.57</v>
      </c>
      <c r="H17" s="18">
        <f t="shared" si="1"/>
        <v>1388.4398</v>
      </c>
      <c r="I17" s="19">
        <f t="shared" si="2"/>
        <v>3.035106396</v>
      </c>
      <c r="J17" s="19">
        <f>IFERROR(__xludf.DUMMYFUNCTION("(G17-INDEX(GOOGLEFINANCE(C17,""price"",TODAY()-7),2,2))/(INDEX(GOOGLEFINANCE(C17,""price"",TODAY()-7),2,2))"),-0.030797204386612965)</f>
        <v>-0.03079720439</v>
      </c>
      <c r="K17" s="20">
        <f t="shared" si="3"/>
        <v>1044.3498</v>
      </c>
      <c r="L17" s="21">
        <f>IFERROR(__xludf.DUMMYFUNCTION("IFERROR(GOOGLEFINANCE(C17,""pe""),""Not Available"")"),34.05)</f>
        <v>34.05</v>
      </c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8" t="str">
        <f>IFERROR(__xludf.DUMMYFUNCTION("IFERROR(GOOGLEFINANCE(C18,""name""),""Not Available"")"),"Clean Harbors Inc")</f>
        <v>Clean Harbors Inc</v>
      </c>
      <c r="C18" s="1" t="s">
        <v>26</v>
      </c>
      <c r="D18" s="14">
        <v>6.0</v>
      </c>
      <c r="E18" s="15">
        <v>138.19</v>
      </c>
      <c r="F18" s="22">
        <v>829.14</v>
      </c>
      <c r="G18" s="17">
        <f>IFERROR(__xludf.DUMMYFUNCTION("IFERROR(GOOGLEFINANCE(C18,""price""),""Not Available)"")"),188.14)</f>
        <v>188.14</v>
      </c>
      <c r="H18" s="18">
        <f t="shared" si="1"/>
        <v>1128.84</v>
      </c>
      <c r="I18" s="19">
        <f t="shared" si="2"/>
        <v>0.361458861</v>
      </c>
      <c r="J18" s="19">
        <f>IFERROR(__xludf.DUMMYFUNCTION("(G18-INDEX(GOOGLEFINANCE(C18,""price"",TODAY()-7),2,2))/(INDEX(GOOGLEFINANCE(C18,""price"",TODAY()-7),2,2))"),0.015436096718480058)</f>
        <v>0.01543609672</v>
      </c>
      <c r="K18" s="20">
        <f t="shared" si="3"/>
        <v>299.7</v>
      </c>
      <c r="L18" s="21">
        <f>IFERROR(__xludf.DUMMYFUNCTION("IFERROR(GOOGLEFINANCE(C18,""pe""),""Not Available"")"),27.08)</f>
        <v>27.08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8" t="str">
        <f>IFERROR(__xludf.DUMMYFUNCTION("IFERROR(GOOGLEFINANCE(C19,""name""),""Not Available"")"),"Costco Wholesale Corporation")</f>
        <v>Costco Wholesale Corporation</v>
      </c>
      <c r="C19" s="1" t="s">
        <v>27</v>
      </c>
      <c r="D19" s="14">
        <v>3.341</v>
      </c>
      <c r="E19" s="15">
        <v>313.55881</v>
      </c>
      <c r="F19" s="16">
        <v>1047.6</v>
      </c>
      <c r="G19" s="17">
        <f>IFERROR(__xludf.DUMMYFUNCTION("IFERROR(GOOGLEFINANCE(C19,""price""),""Not Available)"")"),725.56)</f>
        <v>725.56</v>
      </c>
      <c r="H19" s="18">
        <f t="shared" si="1"/>
        <v>2424.09596</v>
      </c>
      <c r="I19" s="19">
        <f t="shared" si="2"/>
        <v>1.313951887</v>
      </c>
      <c r="J19" s="19">
        <f>IFERROR(__xludf.DUMMYFUNCTION("(G19-INDEX(GOOGLEFINANCE(C19,""price"",TODAY()-7),2,2))/(INDEX(GOOGLEFINANCE(C19,""price"",TODAY()-7),2,2))"),-0.04428462288258385)</f>
        <v>-0.04428462288</v>
      </c>
      <c r="K19" s="20">
        <f t="shared" si="3"/>
        <v>1376.49596</v>
      </c>
      <c r="L19" s="21">
        <f>IFERROR(__xludf.DUMMYFUNCTION("IFERROR(GOOGLEFINANCE(C19,""pe""),""Not Available"")"),49.48)</f>
        <v>49.48</v>
      </c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8" t="str">
        <f>IFERROR(__xludf.DUMMYFUNCTION("IFERROR(GOOGLEFINANCE(C20,""name""),""Not Available"")"),"Capri Holdings Ltd")</f>
        <v>Capri Holdings Ltd</v>
      </c>
      <c r="C20" s="1" t="s">
        <v>28</v>
      </c>
      <c r="D20" s="14">
        <v>27.0</v>
      </c>
      <c r="E20" s="15">
        <v>43.82</v>
      </c>
      <c r="F20" s="16">
        <v>1183.14</v>
      </c>
      <c r="G20" s="17">
        <f>IFERROR(__xludf.DUMMYFUNCTION("IFERROR(GOOGLEFINANCE(C20,""price""),""Not Available)"")"),46.79)</f>
        <v>46.79</v>
      </c>
      <c r="H20" s="18">
        <f t="shared" si="1"/>
        <v>1263.33</v>
      </c>
      <c r="I20" s="19">
        <f t="shared" si="2"/>
        <v>0.06777727065</v>
      </c>
      <c r="J20" s="19">
        <f>IFERROR(__xludf.DUMMYFUNCTION("(G20-INDEX(GOOGLEFINANCE(C20,""price"",TODAY()-7),2,2))/(INDEX(GOOGLEFINANCE(C20,""price"",TODAY()-7),2,2))"),0.02094697796203362)</f>
        <v>0.02094697796</v>
      </c>
      <c r="K20" s="20">
        <f t="shared" si="3"/>
        <v>80.19</v>
      </c>
      <c r="L20" s="21">
        <f>IFERROR(__xludf.DUMMYFUNCTION("IFERROR(GOOGLEFINANCE(C20,""pe""),""Not Available"")"),26.22)</f>
        <v>26.22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8" t="str">
        <f>IFERROR(__xludf.DUMMYFUNCTION("IFERROR(GOOGLEFINANCE(C21,""name""),""Not Available"")"),"CVS Health Corp")</f>
        <v>CVS Health Corp</v>
      </c>
      <c r="C21" s="1" t="s">
        <v>29</v>
      </c>
      <c r="D21" s="14">
        <v>15.926</v>
      </c>
      <c r="E21" s="15">
        <v>91.26899</v>
      </c>
      <c r="F21" s="16">
        <v>1453.55</v>
      </c>
      <c r="G21" s="17">
        <f>IFERROR(__xludf.DUMMYFUNCTION("IFERROR(GOOGLEFINANCE(C21,""price""),""Not Available)"")"),75.07)</f>
        <v>75.07</v>
      </c>
      <c r="H21" s="18">
        <f t="shared" si="1"/>
        <v>1195.56482</v>
      </c>
      <c r="I21" s="19">
        <f t="shared" si="2"/>
        <v>-0.1774862415</v>
      </c>
      <c r="J21" s="19">
        <f>IFERROR(__xludf.DUMMYFUNCTION("(G21-INDEX(GOOGLEFINANCE(C21,""price"",TODAY()-7),2,2))/(INDEX(GOOGLEFINANCE(C21,""price"",TODAY()-7),2,2))"),0.015969684666395895)</f>
        <v>0.01596968467</v>
      </c>
      <c r="K21" s="20">
        <f t="shared" si="3"/>
        <v>-257.98518</v>
      </c>
      <c r="L21" s="21">
        <f>IFERROR(__xludf.DUMMYFUNCTION("IFERROR(GOOGLEFINANCE(C21,""pe""),""Not Available"")"),11.61)</f>
        <v>11.61</v>
      </c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8" t="str">
        <f>IFERROR(__xludf.DUMMYFUNCTION("IFERROR(GOOGLEFINANCE(C22,""name""),""Not Available"")"),"Dell Technologies Inc")</f>
        <v>Dell Technologies Inc</v>
      </c>
      <c r="C22" s="1" t="s">
        <v>30</v>
      </c>
      <c r="D22" s="14">
        <v>31.108</v>
      </c>
      <c r="E22" s="15">
        <v>20.668</v>
      </c>
      <c r="F22" s="22">
        <v>642.94</v>
      </c>
      <c r="G22" s="17">
        <f>IFERROR(__xludf.DUMMYFUNCTION("IFERROR(GOOGLEFINANCE(C22,""price""),""Not Available)"")"),116.25)</f>
        <v>116.25</v>
      </c>
      <c r="H22" s="18">
        <f t="shared" si="1"/>
        <v>3616.305</v>
      </c>
      <c r="I22" s="19">
        <f t="shared" si="2"/>
        <v>4.62463712</v>
      </c>
      <c r="J22" s="19">
        <f>IFERROR(__xludf.DUMMYFUNCTION("(G22-INDEX(GOOGLEFINANCE(C22,""price"",TODAY()-7),2,2))/(INDEX(GOOGLEFINANCE(C22,""price"",TODAY()-7),2,2))"),-0.045409755296436205)</f>
        <v>-0.0454097553</v>
      </c>
      <c r="K22" s="20">
        <f t="shared" si="3"/>
        <v>2973.365</v>
      </c>
      <c r="L22" s="21">
        <f>IFERROR(__xludf.DUMMYFUNCTION("IFERROR(GOOGLEFINANCE(C22,""pe""),""Not Available"")"),0.0)</f>
        <v>0</v>
      </c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8" t="str">
        <f>IFERROR(__xludf.DUMMYFUNCTION("IFERROR(GOOGLEFINANCE(C23,""name""),""Not Available"")"),"Walt Disney Co")</f>
        <v>Walt Disney Co</v>
      </c>
      <c r="C23" s="1" t="s">
        <v>31</v>
      </c>
      <c r="D23" s="14">
        <v>12.44</v>
      </c>
      <c r="E23" s="15">
        <v>114.22106</v>
      </c>
      <c r="F23" s="16">
        <v>1420.91</v>
      </c>
      <c r="G23" s="17">
        <f>IFERROR(__xludf.DUMMYFUNCTION("IFERROR(GOOGLEFINANCE(C23,""price""),""Not Available)"")"),110.32)</f>
        <v>110.32</v>
      </c>
      <c r="H23" s="18">
        <f t="shared" si="1"/>
        <v>1372.3808</v>
      </c>
      <c r="I23" s="19">
        <f t="shared" si="2"/>
        <v>-0.03415359654</v>
      </c>
      <c r="J23" s="19">
        <f>IFERROR(__xludf.DUMMYFUNCTION("(G23-INDEX(GOOGLEFINANCE(C23,""price"",TODAY()-7),2,2))/(INDEX(GOOGLEFINANCE(C23,""price"",TODAY()-7),2,2))"),-0.029642008971765367)</f>
        <v>-0.02964200897</v>
      </c>
      <c r="K23" s="20">
        <f t="shared" si="3"/>
        <v>-48.5292</v>
      </c>
      <c r="L23" s="21">
        <f>IFERROR(__xludf.DUMMYFUNCTION("IFERROR(GOOGLEFINANCE(C23,""pe""),""Not Available"")"),67.76)</f>
        <v>67.76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8" t="str">
        <f>IFERROR(__xludf.DUMMYFUNCTION("IFERROR(GOOGLEFINANCE(C24,""name""),""Not Available"")"),"Enhabit Inc")</f>
        <v>Enhabit Inc</v>
      </c>
      <c r="C24" s="1" t="s">
        <v>32</v>
      </c>
      <c r="D24" s="14">
        <v>9.0</v>
      </c>
      <c r="E24" s="15">
        <v>23.57222</v>
      </c>
      <c r="F24" s="22">
        <v>212.15</v>
      </c>
      <c r="G24" s="17">
        <f>IFERROR(__xludf.DUMMYFUNCTION("IFERROR(GOOGLEFINANCE(C24,""price""),""Not Available)"")"),10.34)</f>
        <v>10.34</v>
      </c>
      <c r="H24" s="18">
        <f t="shared" si="1"/>
        <v>93.06</v>
      </c>
      <c r="I24" s="19">
        <f t="shared" si="2"/>
        <v>-0.5613480614</v>
      </c>
      <c r="J24" s="19">
        <f>IFERROR(__xludf.DUMMYFUNCTION("(G24-INDEX(GOOGLEFINANCE(C24,""price"",TODAY()-7),2,2))/(INDEX(GOOGLEFINANCE(C24,""price"",TODAY()-7),2,2))"),0.25790754257907533)</f>
        <v>0.2579075426</v>
      </c>
      <c r="K24" s="20">
        <f t="shared" si="3"/>
        <v>-119.09</v>
      </c>
      <c r="L24" s="21" t="str">
        <f>IFERROR(__xludf.DUMMYFUNCTION("IFERROR(GOOGLEFINANCE(C24,""pe""),""Not Available"")"),"Not Available")</f>
        <v>Not Available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8" t="str">
        <f>IFERROR(__xludf.DUMMYFUNCTION("IFERROR(GOOGLEFINANCE(C25,""name""),""Not Available"")"),"Encompass Health Corp")</f>
        <v>Encompass Health Corp</v>
      </c>
      <c r="C25" s="1" t="s">
        <v>33</v>
      </c>
      <c r="D25" s="14">
        <v>19.427</v>
      </c>
      <c r="E25" s="15">
        <v>47.7835</v>
      </c>
      <c r="F25" s="22">
        <v>928.29</v>
      </c>
      <c r="G25" s="17">
        <f>IFERROR(__xludf.DUMMYFUNCTION("IFERROR(GOOGLEFINANCE(C25,""price""),""Not Available)"")"),76.45)</f>
        <v>76.45</v>
      </c>
      <c r="H25" s="18">
        <f t="shared" si="1"/>
        <v>1485.19415</v>
      </c>
      <c r="I25" s="19">
        <f t="shared" si="2"/>
        <v>0.5999246602</v>
      </c>
      <c r="J25" s="19">
        <f>IFERROR(__xludf.DUMMYFUNCTION("(G25-INDEX(GOOGLEFINANCE(C25,""price"",TODAY()-7),2,2))/(INDEX(GOOGLEFINANCE(C25,""price"",TODAY()-7),2,2))"),0.02123964734170456)</f>
        <v>0.02123964734</v>
      </c>
      <c r="K25" s="20">
        <f t="shared" si="3"/>
        <v>556.90415</v>
      </c>
      <c r="L25" s="21">
        <f>IFERROR(__xludf.DUMMYFUNCTION("IFERROR(GOOGLEFINANCE(C25,""pe""),""Not Available"")"),21.42)</f>
        <v>21.42</v>
      </c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8" t="str">
        <f>IFERROR(__xludf.DUMMYFUNCTION("IFERROR(GOOGLEFINANCE(C26,""name""),""Not Available"")"),"Enphase Energy Inc")</f>
        <v>Enphase Energy Inc</v>
      </c>
      <c r="C26" s="1" t="s">
        <v>34</v>
      </c>
      <c r="D26" s="14">
        <v>6.0</v>
      </c>
      <c r="E26" s="15">
        <v>177.84</v>
      </c>
      <c r="F26" s="16">
        <v>1067.04</v>
      </c>
      <c r="G26" s="17">
        <f>IFERROR(__xludf.DUMMYFUNCTION("IFERROR(GOOGLEFINANCE(C26,""price""),""Not Available)"")"),130.28)</f>
        <v>130.28</v>
      </c>
      <c r="H26" s="18">
        <f t="shared" si="1"/>
        <v>781.68</v>
      </c>
      <c r="I26" s="19">
        <f t="shared" si="2"/>
        <v>-0.267431399</v>
      </c>
      <c r="J26" s="19">
        <f>IFERROR(__xludf.DUMMYFUNCTION("(G26-INDEX(GOOGLEFINANCE(C26,""price"",TODAY()-7),2,2))/(INDEX(GOOGLEFINANCE(C26,""price"",TODAY()-7),2,2))"),0.05089941114785837)</f>
        <v>0.05089941115</v>
      </c>
      <c r="K26" s="20">
        <f t="shared" si="3"/>
        <v>-285.36</v>
      </c>
      <c r="L26" s="21">
        <f>IFERROR(__xludf.DUMMYFUNCTION("IFERROR(GOOGLEFINANCE(C26,""pe""),""Not Available"")"),42.53)</f>
        <v>42.53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8" t="str">
        <f>IFERROR(__xludf.DUMMYFUNCTION("IFERROR(GOOGLEFINANCE(C27,""name""),""Not Available"")"),"Enterprise Products Partners LP")</f>
        <v>Enterprise Products Partners LP</v>
      </c>
      <c r="C27" s="1" t="s">
        <v>35</v>
      </c>
      <c r="D27" s="14">
        <v>77.044</v>
      </c>
      <c r="E27" s="15">
        <v>18.86273</v>
      </c>
      <c r="F27" s="16">
        <v>1453.26</v>
      </c>
      <c r="G27" s="17">
        <f>IFERROR(__xludf.DUMMYFUNCTION("IFERROR(GOOGLEFINANCE(C27,""price""),""Not Available)"")"),28.0)</f>
        <v>28</v>
      </c>
      <c r="H27" s="18">
        <f t="shared" si="1"/>
        <v>2157.232</v>
      </c>
      <c r="I27" s="19">
        <f t="shared" si="2"/>
        <v>0.4844086726</v>
      </c>
      <c r="J27" s="19">
        <f>IFERROR(__xludf.DUMMYFUNCTION("(G27-INDEX(GOOGLEFINANCE(C27,""price"",TODAY()-7),2,2))/(INDEX(GOOGLEFINANCE(C27,""price"",TODAY()-7),2,2))"),0.012658227848101318)</f>
        <v>0.01265822785</v>
      </c>
      <c r="K27" s="20">
        <f t="shared" si="3"/>
        <v>703.972</v>
      </c>
      <c r="L27" s="21">
        <f>IFERROR(__xludf.DUMMYFUNCTION("IFERROR(GOOGLEFINANCE(C27,""pe""),""Not Available"")"),11.11)</f>
        <v>11.11</v>
      </c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8" t="str">
        <f>IFERROR(__xludf.DUMMYFUNCTION("IFERROR(GOOGLEFINANCE(C28,""name""),""Not Available"")"),"Exelon Corp")</f>
        <v>Exelon Corp</v>
      </c>
      <c r="C28" s="1" t="s">
        <v>36</v>
      </c>
      <c r="D28" s="14">
        <v>28.107</v>
      </c>
      <c r="E28" s="15">
        <v>33.69552</v>
      </c>
      <c r="F28" s="22">
        <v>947.08</v>
      </c>
      <c r="G28" s="17">
        <f>IFERROR(__xludf.DUMMYFUNCTION("IFERROR(GOOGLEFINANCE(C28,""price""),""Not Available)"")"),36.96)</f>
        <v>36.96</v>
      </c>
      <c r="H28" s="18">
        <f t="shared" si="1"/>
        <v>1038.83472</v>
      </c>
      <c r="I28" s="19">
        <f t="shared" si="2"/>
        <v>0.09688172196</v>
      </c>
      <c r="J28" s="19">
        <f>IFERROR(__xludf.DUMMYFUNCTION("(G28-INDEX(GOOGLEFINANCE(C28,""price"",TODAY()-7),2,2))/(INDEX(GOOGLEFINANCE(C28,""price"",TODAY()-7),2,2))"),0.020994475138121492)</f>
        <v>0.02099447514</v>
      </c>
      <c r="K28" s="20">
        <f t="shared" si="3"/>
        <v>91.75472</v>
      </c>
      <c r="L28" s="21">
        <f>IFERROR(__xludf.DUMMYFUNCTION("IFERROR(GOOGLEFINANCE(C28,""pe""),""Not Available"")"),15.83)</f>
        <v>15.83</v>
      </c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8" t="str">
        <f>IFERROR(__xludf.DUMMYFUNCTION("IFERROR(GOOGLEFINANCE(C29,""name""),""Not Available"")"),"Freeport-McMoRan Inc")</f>
        <v>Freeport-McMoRan Inc</v>
      </c>
      <c r="C29" s="1" t="s">
        <v>37</v>
      </c>
      <c r="D29" s="14">
        <v>63.04</v>
      </c>
      <c r="E29" s="15">
        <v>18.15292</v>
      </c>
      <c r="F29" s="16">
        <v>1144.36</v>
      </c>
      <c r="G29" s="17">
        <f>IFERROR(__xludf.DUMMYFUNCTION("IFERROR(GOOGLEFINANCE(C29,""price""),""Not Available)"")"),39.85)</f>
        <v>39.85</v>
      </c>
      <c r="H29" s="18">
        <f t="shared" si="1"/>
        <v>2512.144</v>
      </c>
      <c r="I29" s="19">
        <f t="shared" si="2"/>
        <v>1.195239113</v>
      </c>
      <c r="J29" s="19">
        <f>IFERROR(__xludf.DUMMYFUNCTION("(G29-INDEX(GOOGLEFINANCE(C29,""price"",TODAY()-7),2,2))/(INDEX(GOOGLEFINANCE(C29,""price"",TODAY()-7),2,2))"),0.039926931106471844)</f>
        <v>0.03992693111</v>
      </c>
      <c r="K29" s="20">
        <f t="shared" si="3"/>
        <v>1367.784</v>
      </c>
      <c r="L29" s="21">
        <f>IFERROR(__xludf.DUMMYFUNCTION("IFERROR(GOOGLEFINANCE(C29,""pe""),""Not Available"")"),31.22)</f>
        <v>31.22</v>
      </c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8" t="str">
        <f>IFERROR(__xludf.DUMMYFUNCTION("IFERROR(GOOGLEFINANCE(C30,""name""),""Not Available"")"),"FedEx Corp")</f>
        <v>FedEx Corp</v>
      </c>
      <c r="C30" s="1" t="s">
        <v>38</v>
      </c>
      <c r="D30" s="14">
        <v>8.195</v>
      </c>
      <c r="E30" s="15">
        <v>205.96095</v>
      </c>
      <c r="F30" s="16">
        <v>1687.85</v>
      </c>
      <c r="G30" s="17">
        <f>IFERROR(__xludf.DUMMYFUNCTION("IFERROR(GOOGLEFINANCE(C30,""price""),""Not Available)"")"),247.68)</f>
        <v>247.68</v>
      </c>
      <c r="H30" s="18">
        <f t="shared" si="1"/>
        <v>2029.7376</v>
      </c>
      <c r="I30" s="19">
        <f t="shared" si="2"/>
        <v>0.2025580577</v>
      </c>
      <c r="J30" s="19">
        <f>IFERROR(__xludf.DUMMYFUNCTION("(G30-INDEX(GOOGLEFINANCE(C30,""price"",TODAY()-7),2,2))/(INDEX(GOOGLEFINANCE(C30,""price"",TODAY()-7),2,2))"),0.003687644365198349)</f>
        <v>0.003687644365</v>
      </c>
      <c r="K30" s="20">
        <f t="shared" si="3"/>
        <v>341.8876</v>
      </c>
      <c r="L30" s="21">
        <f>IFERROR(__xludf.DUMMYFUNCTION("IFERROR(GOOGLEFINANCE(C30,""pe""),""Not Available"")"),14.65)</f>
        <v>14.65</v>
      </c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8" t="str">
        <f>IFERROR(__xludf.DUMMYFUNCTION("IFERROR(GOOGLEFINANCE(C31,""name""),""Not Available"")"),"Fortinet Inc")</f>
        <v>Fortinet Inc</v>
      </c>
      <c r="C31" s="1" t="s">
        <v>39</v>
      </c>
      <c r="D31" s="14">
        <v>14.0</v>
      </c>
      <c r="E31" s="15">
        <v>38.00643</v>
      </c>
      <c r="F31" s="22">
        <v>532.09</v>
      </c>
      <c r="G31" s="17">
        <f>IFERROR(__xludf.DUMMYFUNCTION("IFERROR(GOOGLEFINANCE(C31,""price""),""Not Available)"")"),71.35)</f>
        <v>71.35</v>
      </c>
      <c r="H31" s="18">
        <f t="shared" si="1"/>
        <v>998.9</v>
      </c>
      <c r="I31" s="19">
        <f t="shared" si="2"/>
        <v>0.8773139177</v>
      </c>
      <c r="J31" s="19">
        <f>IFERROR(__xludf.DUMMYFUNCTION("(G31-INDEX(GOOGLEFINANCE(C31,""price"",TODAY()-7),2,2))/(INDEX(GOOGLEFINANCE(C31,""price"",TODAY()-7),2,2))"),-5.60302563384315E-4)</f>
        <v>-0.0005603025634</v>
      </c>
      <c r="K31" s="20">
        <f t="shared" si="3"/>
        <v>466.81</v>
      </c>
      <c r="L31" s="21">
        <f>IFERROR(__xludf.DUMMYFUNCTION("IFERROR(GOOGLEFINANCE(C31,""pe""),""Not Available"")"),49.0)</f>
        <v>49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8" t="str">
        <f>IFERROR(__xludf.DUMMYFUNCTION("IFERROR(GOOGLEFINANCE(C32,""name""),""Not Available"")"),"SPDR Gold Trust")</f>
        <v>SPDR Gold Trust</v>
      </c>
      <c r="C32" s="1" t="s">
        <v>40</v>
      </c>
      <c r="D32" s="14">
        <v>8.0</v>
      </c>
      <c r="E32" s="15">
        <v>115.17875</v>
      </c>
      <c r="F32" s="22">
        <v>921.43</v>
      </c>
      <c r="G32" s="17">
        <f>IFERROR(__xludf.DUMMYFUNCTION("IFERROR(GOOGLEFINANCE(C32,""price""),""Not Available)"")"),201.63)</f>
        <v>201.63</v>
      </c>
      <c r="H32" s="18">
        <f t="shared" si="1"/>
        <v>1613.04</v>
      </c>
      <c r="I32" s="19">
        <f t="shared" si="2"/>
        <v>0.7505833324</v>
      </c>
      <c r="J32" s="19">
        <f>IFERROR(__xludf.DUMMYFUNCTION("(G32-INDEX(GOOGLEFINANCE(C32,""price"",TODAY()-7),2,2))/(INDEX(GOOGLEFINANCE(C32,""price"",TODAY()-7),2,2))"),0.02867200653027909)</f>
        <v>0.02867200653</v>
      </c>
      <c r="K32" s="20">
        <f t="shared" si="3"/>
        <v>691.61</v>
      </c>
      <c r="L32" s="21">
        <f>IFERROR(__xludf.DUMMYFUNCTION("IFERROR(GOOGLEFINANCE(C32,""pe""),""Not Available"")"),9.06)</f>
        <v>9.06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8" t="str">
        <f>IFERROR(__xludf.DUMMYFUNCTION("IFERROR(GOOGLEFINANCE(C33,""name""),""Not Available"")"),"Alphabet Inc Class C")</f>
        <v>Alphabet Inc Class C</v>
      </c>
      <c r="C33" s="1" t="s">
        <v>41</v>
      </c>
      <c r="D33" s="14">
        <v>19.0</v>
      </c>
      <c r="E33" s="15">
        <v>51.36632</v>
      </c>
      <c r="F33" s="22">
        <v>975.96</v>
      </c>
      <c r="G33" s="17">
        <f>IFERROR(__xludf.DUMMYFUNCTION("IFERROR(GOOGLEFINANCE(C33,""price""),""Not Available)"")"),136.29)</f>
        <v>136.29</v>
      </c>
      <c r="H33" s="18">
        <f t="shared" si="1"/>
        <v>2589.51</v>
      </c>
      <c r="I33" s="19">
        <f t="shared" si="2"/>
        <v>1.653295</v>
      </c>
      <c r="J33" s="19">
        <f>IFERROR(__xludf.DUMMYFUNCTION("(G33-INDEX(GOOGLEFINANCE(C33,""price"",TODAY()-7),2,2))/(INDEX(GOOGLEFINANCE(C33,""price"",TODAY()-7),2,2))"),0.015573770491803305)</f>
        <v>0.01557377049</v>
      </c>
      <c r="K33" s="20">
        <f t="shared" si="3"/>
        <v>1613.55</v>
      </c>
      <c r="L33" s="21">
        <f>IFERROR(__xludf.DUMMYFUNCTION("IFERROR(GOOGLEFINANCE(C33,""pe""),""Not Available"")"),25.12)</f>
        <v>25.12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8" t="str">
        <f>IFERROR(__xludf.DUMMYFUNCTION("IFERROR(GOOGLEFINANCE(C34,""name""),""Not Available"")"),"GXO Logistics Inc")</f>
        <v>GXO Logistics Inc</v>
      </c>
      <c r="C34" s="1" t="s">
        <v>42</v>
      </c>
      <c r="D34" s="14">
        <v>13.0</v>
      </c>
      <c r="E34" s="15">
        <v>33.56615</v>
      </c>
      <c r="F34" s="22">
        <v>436.36</v>
      </c>
      <c r="G34" s="17">
        <f>IFERROR(__xludf.DUMMYFUNCTION("IFERROR(GOOGLEFINANCE(C34,""price""),""Not Available)"")"),49.2)</f>
        <v>49.2</v>
      </c>
      <c r="H34" s="18">
        <f t="shared" si="1"/>
        <v>639.6</v>
      </c>
      <c r="I34" s="19">
        <f t="shared" si="2"/>
        <v>0.4657623826</v>
      </c>
      <c r="J34" s="19">
        <f>IFERROR(__xludf.DUMMYFUNCTION("(G34-INDEX(GOOGLEFINANCE(C34,""price"",TODAY()-7),2,2))/(INDEX(GOOGLEFINANCE(C34,""price"",TODAY()-7),2,2))"),-0.013434930820132236)</f>
        <v>-0.01343493082</v>
      </c>
      <c r="K34" s="20">
        <f t="shared" si="3"/>
        <v>203.24</v>
      </c>
      <c r="L34" s="21">
        <f>IFERROR(__xludf.DUMMYFUNCTION("IFERROR(GOOGLEFINANCE(C34,""pe""),""Not Available"")"),25.67)</f>
        <v>25.67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8" t="str">
        <f>IFERROR(__xludf.DUMMYFUNCTION("IFERROR(GOOGLEFINANCE(C35,""name""),""Not Available"")"),"Huntington Ingalls Industries Inc")</f>
        <v>Huntington Ingalls Industries Inc</v>
      </c>
      <c r="C35" s="1" t="s">
        <v>43</v>
      </c>
      <c r="D35" s="14">
        <v>10.27</v>
      </c>
      <c r="E35" s="15">
        <v>157.70789</v>
      </c>
      <c r="F35" s="16">
        <v>1619.66</v>
      </c>
      <c r="G35" s="17">
        <f>IFERROR(__xludf.DUMMYFUNCTION("IFERROR(GOOGLEFINANCE(C35,""price""),""Not Available)"")"),293.32)</f>
        <v>293.32</v>
      </c>
      <c r="H35" s="18">
        <f t="shared" si="1"/>
        <v>3012.3964</v>
      </c>
      <c r="I35" s="19">
        <f t="shared" si="2"/>
        <v>0.859894264</v>
      </c>
      <c r="J35" s="19">
        <f>IFERROR(__xludf.DUMMYFUNCTION("(G35-INDEX(GOOGLEFINANCE(C35,""price"",TODAY()-7),2,2))/(INDEX(GOOGLEFINANCE(C35,""price"",TODAY()-7),2,2))"),-0.010491515703538824)</f>
        <v>-0.0104915157</v>
      </c>
      <c r="K35" s="20">
        <f t="shared" si="3"/>
        <v>1392.7364</v>
      </c>
      <c r="L35" s="21">
        <f>IFERROR(__xludf.DUMMYFUNCTION("IFERROR(GOOGLEFINANCE(C35,""pe""),""Not Available"")"),17.19)</f>
        <v>17.19</v>
      </c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8" t="str">
        <f>IFERROR(__xludf.DUMMYFUNCTION("IFERROR(GOOGLEFINANCE(C36,""name""),""Not Available"")"),"Jacobs Solutions Inc")</f>
        <v>Jacobs Solutions Inc</v>
      </c>
      <c r="C36" s="1" t="s">
        <v>44</v>
      </c>
      <c r="D36" s="14">
        <v>11.457</v>
      </c>
      <c r="E36" s="15">
        <v>93.15615</v>
      </c>
      <c r="F36" s="16">
        <v>1067.29</v>
      </c>
      <c r="G36" s="17">
        <f>IFERROR(__xludf.DUMMYFUNCTION("IFERROR(GOOGLEFINANCE(C36,""price""),""Not Available)"")"),146.93)</f>
        <v>146.93</v>
      </c>
      <c r="H36" s="18">
        <f t="shared" si="1"/>
        <v>1683.37701</v>
      </c>
      <c r="I36" s="19">
        <f t="shared" si="2"/>
        <v>0.5772442292</v>
      </c>
      <c r="J36" s="19">
        <f>IFERROR(__xludf.DUMMYFUNCTION("(G36-INDEX(GOOGLEFINANCE(C36,""price"",TODAY()-7),2,2))/(INDEX(GOOGLEFINANCE(C36,""price"",TODAY()-7),2,2))"),-0.0014272121788771208)</f>
        <v>-0.001427212179</v>
      </c>
      <c r="K36" s="20">
        <f t="shared" si="3"/>
        <v>616.08701</v>
      </c>
      <c r="L36" s="21">
        <f>IFERROR(__xludf.DUMMYFUNCTION("IFERROR(GOOGLEFINANCE(C36,""pe""),""Not Available"")"),26.23)</f>
        <v>26.23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8" t="str">
        <f>IFERROR(__xludf.DUMMYFUNCTION("IFERROR(GOOGLEFINANCE(C37,""name""),""Not Available"")"),"Jabil Inc")</f>
        <v>Jabil Inc</v>
      </c>
      <c r="C37" s="1" t="s">
        <v>45</v>
      </c>
      <c r="D37" s="14">
        <v>29.56</v>
      </c>
      <c r="E37" s="15">
        <v>38.22903</v>
      </c>
      <c r="F37" s="16">
        <v>1130.05</v>
      </c>
      <c r="G37" s="17">
        <f>IFERROR(__xludf.DUMMYFUNCTION("IFERROR(GOOGLEFINANCE(C37,""price""),""Not Available)"")"),151.24)</f>
        <v>151.24</v>
      </c>
      <c r="H37" s="18">
        <f t="shared" si="1"/>
        <v>4470.6544</v>
      </c>
      <c r="I37" s="19">
        <f t="shared" si="2"/>
        <v>2.956155832</v>
      </c>
      <c r="J37" s="19">
        <f>IFERROR(__xludf.DUMMYFUNCTION("(G37-INDEX(GOOGLEFINANCE(C37,""price"",TODAY()-7),2,2))/(INDEX(GOOGLEFINANCE(C37,""price"",TODAY()-7),2,2))"),0.017628852106042286)</f>
        <v>0.01762885211</v>
      </c>
      <c r="K37" s="20">
        <f t="shared" si="3"/>
        <v>3340.6044</v>
      </c>
      <c r="L37" s="21">
        <f>IFERROR(__xludf.DUMMYFUNCTION("IFERROR(GOOGLEFINANCE(C37,""pe""),""Not Available"")"),25.79)</f>
        <v>25.79</v>
      </c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8" t="str">
        <f>IFERROR(__xludf.DUMMYFUNCTION("IFERROR(GOOGLEFINANCE(C38,""name""),""Not Available"")"),"Invesco KBW Bank ETF")</f>
        <v>Invesco KBW Bank ETF</v>
      </c>
      <c r="C38" s="1" t="s">
        <v>46</v>
      </c>
      <c r="D38" s="14">
        <v>10.448</v>
      </c>
      <c r="E38" s="15">
        <v>67.93166</v>
      </c>
      <c r="F38" s="22">
        <v>709.75</v>
      </c>
      <c r="G38" s="17">
        <f>IFERROR(__xludf.DUMMYFUNCTION("IFERROR(GOOGLEFINANCE(C38,""price""),""Not Available)"")"),51.14)</f>
        <v>51.14</v>
      </c>
      <c r="H38" s="18">
        <f t="shared" si="1"/>
        <v>534.31072</v>
      </c>
      <c r="I38" s="19">
        <f t="shared" si="2"/>
        <v>-0.247184597</v>
      </c>
      <c r="J38" s="19">
        <f>IFERROR(__xludf.DUMMYFUNCTION("(G38-INDEX(GOOGLEFINANCE(C38,""price"",TODAY()-7),2,2))/(INDEX(GOOGLEFINANCE(C38,""price"",TODAY()-7),2,2))"),0.011271504844769633)</f>
        <v>0.01127150484</v>
      </c>
      <c r="K38" s="20">
        <f t="shared" si="3"/>
        <v>-175.43928</v>
      </c>
      <c r="L38" s="21" t="str">
        <f>IFERROR(__xludf.DUMMYFUNCTION("IFERROR(GOOGLEFINANCE(C38,""pe""),""Not Available"")"),"Not Available")</f>
        <v>Not Available</v>
      </c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8" t="str">
        <f>IFERROR(__xludf.DUMMYFUNCTION("IFERROR(GOOGLEFINANCE(C39,""name""),""Not Available"")"),"LendingClub Corp")</f>
        <v>LendingClub Corp</v>
      </c>
      <c r="C39" s="1" t="s">
        <v>47</v>
      </c>
      <c r="D39" s="14">
        <v>54.0</v>
      </c>
      <c r="E39" s="15">
        <v>16.35574</v>
      </c>
      <c r="F39" s="22">
        <v>883.21</v>
      </c>
      <c r="G39" s="17">
        <f>IFERROR(__xludf.DUMMYFUNCTION("IFERROR(GOOGLEFINANCE(C39,""price""),""Not Available)"")"),8.07)</f>
        <v>8.07</v>
      </c>
      <c r="H39" s="18">
        <f t="shared" si="1"/>
        <v>435.78</v>
      </c>
      <c r="I39" s="19">
        <f t="shared" si="2"/>
        <v>-0.5065952381</v>
      </c>
      <c r="J39" s="19">
        <f>IFERROR(__xludf.DUMMYFUNCTION("(G39-INDEX(GOOGLEFINANCE(C39,""price"",TODAY()-7),2,2))/(INDEX(GOOGLEFINANCE(C39,""price"",TODAY()-7),2,2))"),0.0037313432835822313)</f>
        <v>0.003731343284</v>
      </c>
      <c r="K39" s="20">
        <f t="shared" si="3"/>
        <v>-447.43</v>
      </c>
      <c r="L39" s="21">
        <f>IFERROR(__xludf.DUMMYFUNCTION("IFERROR(GOOGLEFINANCE(C39,""pe""),""Not Available"")"),22.48)</f>
        <v>22.48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8" t="str">
        <f>IFERROR(__xludf.DUMMYFUNCTION("IFERROR(GOOGLEFINANCE(C40,""name""),""Not Available"")"),"Lockheed Martin Corp")</f>
        <v>Lockheed Martin Corp</v>
      </c>
      <c r="C40" s="1" t="s">
        <v>48</v>
      </c>
      <c r="D40" s="14">
        <v>3.387</v>
      </c>
      <c r="E40" s="15">
        <v>367.8388</v>
      </c>
      <c r="F40" s="16">
        <v>1245.87</v>
      </c>
      <c r="G40" s="17">
        <f>IFERROR(__xludf.DUMMYFUNCTION("IFERROR(GOOGLEFINANCE(C40,""price""),""Not Available)"")"),432.9)</f>
        <v>432.9</v>
      </c>
      <c r="H40" s="18">
        <f t="shared" si="1"/>
        <v>1466.2323</v>
      </c>
      <c r="I40" s="19">
        <f t="shared" si="2"/>
        <v>0.1768742177</v>
      </c>
      <c r="J40" s="19">
        <f>IFERROR(__xludf.DUMMYFUNCTION("(G40-INDEX(GOOGLEFINANCE(C40,""price"",TODAY()-7),2,2))/(INDEX(GOOGLEFINANCE(C40,""price"",TODAY()-7),2,2))"),0.002222530907070379)</f>
        <v>0.002222530907</v>
      </c>
      <c r="K40" s="20">
        <f t="shared" si="3"/>
        <v>220.3623</v>
      </c>
      <c r="L40" s="21">
        <f>IFERROR(__xludf.DUMMYFUNCTION("IFERROR(GOOGLEFINANCE(C40,""pe""),""Not Available"")"),15.71)</f>
        <v>15.71</v>
      </c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8" t="str">
        <f>IFERROR(__xludf.DUMMYFUNCTION("IFERROR(GOOGLEFINANCE(C41,""name""),""Not Available"")"),"iShares MSCI China ETF")</f>
        <v>iShares MSCI China ETF</v>
      </c>
      <c r="C41" s="1" t="s">
        <v>49</v>
      </c>
      <c r="D41" s="14">
        <v>15.795</v>
      </c>
      <c r="E41" s="15">
        <v>70.37164</v>
      </c>
      <c r="F41" s="16">
        <v>1111.52</v>
      </c>
      <c r="G41" s="17">
        <f>IFERROR(__xludf.DUMMYFUNCTION("IFERROR(GOOGLEFINANCE(C41,""price""),""Not Available)"")"),38.96)</f>
        <v>38.96</v>
      </c>
      <c r="H41" s="18">
        <f t="shared" si="1"/>
        <v>615.3732</v>
      </c>
      <c r="I41" s="19">
        <f t="shared" si="2"/>
        <v>-0.4463678834</v>
      </c>
      <c r="J41" s="19">
        <f>IFERROR(__xludf.DUMMYFUNCTION("(G41-INDEX(GOOGLEFINANCE(C41,""price"",TODAY()-7),2,2))/(INDEX(GOOGLEFINANCE(C41,""price"",TODAY()-7),2,2))"),0.0012850167052172775)</f>
        <v>0.001285016705</v>
      </c>
      <c r="K41" s="20">
        <f t="shared" si="3"/>
        <v>-496.1468</v>
      </c>
      <c r="L41" s="21" t="str">
        <f>IFERROR(__xludf.DUMMYFUNCTION("IFERROR(GOOGLEFINANCE(C41,""pe""),""Not Available"")"),"Not Available")</f>
        <v>Not Available</v>
      </c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8" t="str">
        <f>IFERROR(__xludf.DUMMYFUNCTION("IFERROR(GOOGLEFINANCE(C42,""name""),""Not Available"")"),"McKesson Corp")</f>
        <v>McKesson Corp</v>
      </c>
      <c r="C42" s="1" t="s">
        <v>50</v>
      </c>
      <c r="D42" s="14">
        <v>3.894</v>
      </c>
      <c r="E42" s="15">
        <v>180.44171</v>
      </c>
      <c r="F42" s="22">
        <v>702.64</v>
      </c>
      <c r="G42" s="17">
        <f>IFERROR(__xludf.DUMMYFUNCTION("IFERROR(GOOGLEFINANCE(C42,""price""),""Not Available)"")"),527.41)</f>
        <v>527.41</v>
      </c>
      <c r="H42" s="18">
        <f t="shared" si="1"/>
        <v>2053.73454</v>
      </c>
      <c r="I42" s="19">
        <f t="shared" si="2"/>
        <v>1.922882963</v>
      </c>
      <c r="J42" s="19">
        <f>IFERROR(__xludf.DUMMYFUNCTION("(G42-INDEX(GOOGLEFINANCE(C42,""price"",TODAY()-7),2,2))/(INDEX(GOOGLEFINANCE(C42,""price"",TODAY()-7),2,2))"),-0.012673630611404363)</f>
        <v>-0.01267363061</v>
      </c>
      <c r="K42" s="20">
        <f t="shared" si="3"/>
        <v>1351.09454</v>
      </c>
      <c r="L42" s="21">
        <f>IFERROR(__xludf.DUMMYFUNCTION("IFERROR(GOOGLEFINANCE(C42,""pe""),""Not Available"")"),23.89)</f>
        <v>23.89</v>
      </c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8" t="str">
        <f>IFERROR(__xludf.DUMMYFUNCTION("IFERROR(GOOGLEFINANCE(C43,""name""),""Not Available"")"),"Meta Platforms Inc")</f>
        <v>Meta Platforms Inc</v>
      </c>
      <c r="C43" s="1" t="s">
        <v>51</v>
      </c>
      <c r="D43" s="14">
        <v>11.0</v>
      </c>
      <c r="E43" s="15">
        <v>157.77455</v>
      </c>
      <c r="F43" s="16">
        <v>1735.52</v>
      </c>
      <c r="G43" s="17">
        <f>IFERROR(__xludf.DUMMYFUNCTION("IFERROR(GOOGLEFINANCE(C43,""price""),""Not Available)"")"),505.95)</f>
        <v>505.95</v>
      </c>
      <c r="H43" s="18">
        <f t="shared" si="1"/>
        <v>5565.45</v>
      </c>
      <c r="I43" s="19">
        <f t="shared" si="2"/>
        <v>2.206790956</v>
      </c>
      <c r="J43" s="19">
        <f>IFERROR(__xludf.DUMMYFUNCTION("(G43-INDEX(GOOGLEFINANCE(C43,""price"",TODAY()-7),2,2))/(INDEX(GOOGLEFINANCE(C43,""price"",TODAY()-7),2,2))"),0.015576386519199485)</f>
        <v>0.01557638652</v>
      </c>
      <c r="K43" s="20">
        <f t="shared" si="3"/>
        <v>3829.93</v>
      </c>
      <c r="L43" s="21">
        <f>IFERROR(__xludf.DUMMYFUNCTION("IFERROR(GOOGLEFINANCE(C43,""pe""),""Not Available"")"),33.06)</f>
        <v>33.06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8" t="str">
        <f>IFERROR(__xludf.DUMMYFUNCTION("IFERROR(GOOGLEFINANCE(C44,""name""),""Not Available"")"),"M/I Homes Inc")</f>
        <v>M/I Homes Inc</v>
      </c>
      <c r="C44" s="1" t="s">
        <v>52</v>
      </c>
      <c r="D44" s="14">
        <v>12.0</v>
      </c>
      <c r="E44" s="15">
        <v>45.0</v>
      </c>
      <c r="F44" s="22">
        <v>540.0</v>
      </c>
      <c r="G44" s="17">
        <f>IFERROR(__xludf.DUMMYFUNCTION("IFERROR(GOOGLEFINANCE(C44,""price""),""Not Available)"")"),126.83)</f>
        <v>126.83</v>
      </c>
      <c r="H44" s="18">
        <f t="shared" si="1"/>
        <v>1521.96</v>
      </c>
      <c r="I44" s="19">
        <f t="shared" si="2"/>
        <v>1.818444444</v>
      </c>
      <c r="J44" s="19">
        <f>IFERROR(__xludf.DUMMYFUNCTION("(G44-INDEX(GOOGLEFINANCE(C44,""price"",TODAY()-7),2,2))/(INDEX(GOOGLEFINANCE(C44,""price"",TODAY()-7),2,2))"),-0.00657946267721472)</f>
        <v>-0.006579462677</v>
      </c>
      <c r="K44" s="20">
        <f t="shared" si="3"/>
        <v>981.96</v>
      </c>
      <c r="L44" s="21">
        <f>IFERROR(__xludf.DUMMYFUNCTION("IFERROR(GOOGLEFINANCE(C44,""pe""),""Not Available"")"),7.83)</f>
        <v>7.83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8" t="str">
        <f>IFERROR(__xludf.DUMMYFUNCTION("IFERROR(GOOGLEFINANCE(C45,""name""),""Not Available"")"),"Molina Healthcare Inc")</f>
        <v>Molina Healthcare Inc</v>
      </c>
      <c r="C45" s="1" t="s">
        <v>53</v>
      </c>
      <c r="D45" s="14">
        <v>4.0</v>
      </c>
      <c r="E45" s="15">
        <v>272.845</v>
      </c>
      <c r="F45" s="16">
        <v>1091.38</v>
      </c>
      <c r="G45" s="17">
        <f>IFERROR(__xludf.DUMMYFUNCTION("IFERROR(GOOGLEFINANCE(C45,""price""),""Not Available)"")"),392.63)</f>
        <v>392.63</v>
      </c>
      <c r="H45" s="18">
        <f t="shared" si="1"/>
        <v>1570.52</v>
      </c>
      <c r="I45" s="19">
        <f t="shared" si="2"/>
        <v>0.4390221554</v>
      </c>
      <c r="J45" s="19">
        <f>IFERROR(__xludf.DUMMYFUNCTION("(G45-INDEX(GOOGLEFINANCE(C45,""price"",TODAY()-7),2,2))/(INDEX(GOOGLEFINANCE(C45,""price"",TODAY()-7),2,2))"),0.01572888371491394)</f>
        <v>0.01572888371</v>
      </c>
      <c r="K45" s="20">
        <f t="shared" si="3"/>
        <v>479.14</v>
      </c>
      <c r="L45" s="21">
        <f>IFERROR(__xludf.DUMMYFUNCTION("IFERROR(GOOGLEFINANCE(C45,""pe""),""Not Available"")"),20.91)</f>
        <v>20.91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8" t="str">
        <f>IFERROR(__xludf.DUMMYFUNCTION("IFERROR(GOOGLEFINANCE(C46,""name""),""Not Available"")"),"Merck &amp; Co Inc")</f>
        <v>Merck &amp; Co Inc</v>
      </c>
      <c r="C46" s="1" t="s">
        <v>54</v>
      </c>
      <c r="D46" s="14">
        <v>4.776</v>
      </c>
      <c r="E46" s="15">
        <v>79.43049</v>
      </c>
      <c r="F46" s="22">
        <v>379.36</v>
      </c>
      <c r="G46" s="17">
        <f>IFERROR(__xludf.DUMMYFUNCTION("IFERROR(GOOGLEFINANCE(C46,""price""),""Not Available)"")"),123.5)</f>
        <v>123.5</v>
      </c>
      <c r="H46" s="18">
        <f t="shared" si="1"/>
        <v>589.836</v>
      </c>
      <c r="I46" s="19">
        <f t="shared" si="2"/>
        <v>0.554818559</v>
      </c>
      <c r="J46" s="19">
        <f>IFERROR(__xludf.DUMMYFUNCTION("(G46-INDEX(GOOGLEFINANCE(C46,""price"",TODAY()-7),2,2))/(INDEX(GOOGLEFINANCE(C46,""price"",TODAY()-7),2,2))"),-0.004433696090286152)</f>
        <v>-0.00443369609</v>
      </c>
      <c r="K46" s="20">
        <f t="shared" si="3"/>
        <v>210.476</v>
      </c>
      <c r="L46" s="21">
        <f>IFERROR(__xludf.DUMMYFUNCTION("IFERROR(GOOGLEFINANCE(C46,""pe""),""Not Available"")"),861.77)</f>
        <v>861.77</v>
      </c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8" t="str">
        <f>IFERROR(__xludf.DUMMYFUNCTION("IFERROR(GOOGLEFINANCE(C47,""name""),""Not Available"")"),"Neurocrine Biosciences, Inc.")</f>
        <v>Neurocrine Biosciences, Inc.</v>
      </c>
      <c r="C47" s="1" t="s">
        <v>55</v>
      </c>
      <c r="D47" s="14">
        <v>10.0</v>
      </c>
      <c r="E47" s="15">
        <v>101.2</v>
      </c>
      <c r="F47" s="16">
        <v>1012.0</v>
      </c>
      <c r="G47" s="17">
        <f>IFERROR(__xludf.DUMMYFUNCTION("IFERROR(GOOGLEFINANCE(C47,""price""),""Not Available)"")"),139.22)</f>
        <v>139.22</v>
      </c>
      <c r="H47" s="18">
        <f t="shared" si="1"/>
        <v>1392.2</v>
      </c>
      <c r="I47" s="19">
        <f t="shared" si="2"/>
        <v>0.3756916996</v>
      </c>
      <c r="J47" s="19">
        <f>IFERROR(__xludf.DUMMYFUNCTION("(G47-INDEX(GOOGLEFINANCE(C47,""price"",TODAY()-7),2,2))/(INDEX(GOOGLEFINANCE(C47,""price"",TODAY()-7),2,2))"),0.04582331730769226)</f>
        <v>0.04582331731</v>
      </c>
      <c r="K47" s="20">
        <f t="shared" si="3"/>
        <v>380.2</v>
      </c>
      <c r="L47" s="21">
        <f>IFERROR(__xludf.DUMMYFUNCTION("IFERROR(GOOGLEFINANCE(C47,""pe""),""Not Available"")"),56.31)</f>
        <v>56.31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8" t="str">
        <f>IFERROR(__xludf.DUMMYFUNCTION("IFERROR(GOOGLEFINANCE(C48,""name""),""Not Available"")"),"Netflix Inc")</f>
        <v>Netflix Inc</v>
      </c>
      <c r="C48" s="1" t="s">
        <v>56</v>
      </c>
      <c r="D48" s="14">
        <v>2.0</v>
      </c>
      <c r="E48" s="15">
        <v>338.735</v>
      </c>
      <c r="F48" s="22">
        <v>677.47</v>
      </c>
      <c r="G48" s="17">
        <f>IFERROR(__xludf.DUMMYFUNCTION("IFERROR(GOOGLEFINANCE(C48,""price""),""Not Available)"")"),604.82)</f>
        <v>604.82</v>
      </c>
      <c r="H48" s="18">
        <f t="shared" si="1"/>
        <v>1209.64</v>
      </c>
      <c r="I48" s="19">
        <f t="shared" si="2"/>
        <v>0.7855255583</v>
      </c>
      <c r="J48" s="19">
        <f>IFERROR(__xludf.DUMMYFUNCTION("(G48-INDEX(GOOGLEFINANCE(C48,""price"",TODAY()-7),2,2))/(INDEX(GOOGLEFINANCE(C48,""price"",TODAY()-7),2,2))"),-0.017878310572722975)</f>
        <v>-0.01787831057</v>
      </c>
      <c r="K48" s="20">
        <f t="shared" si="3"/>
        <v>532.17</v>
      </c>
      <c r="L48" s="21">
        <f>IFERROR(__xludf.DUMMYFUNCTION("IFERROR(GOOGLEFINANCE(C48,""pe""),""Not Available"")"),50.27)</f>
        <v>50.27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8" t="str">
        <f>IFERROR(__xludf.DUMMYFUNCTION("IFERROR(GOOGLEFINANCE(C49,""name""),""Not Available"")"),"Northrop Grumman Corp")</f>
        <v>Northrop Grumman Corp</v>
      </c>
      <c r="C49" s="1" t="s">
        <v>57</v>
      </c>
      <c r="D49" s="14">
        <v>2.421</v>
      </c>
      <c r="E49" s="15">
        <v>283.62247</v>
      </c>
      <c r="F49" s="22">
        <v>686.65</v>
      </c>
      <c r="G49" s="17">
        <f>IFERROR(__xludf.DUMMYFUNCTION("IFERROR(GOOGLEFINANCE(C49,""price""),""Not Available)"")"),459.5)</f>
        <v>459.5</v>
      </c>
      <c r="H49" s="18">
        <f t="shared" si="1"/>
        <v>1112.4495</v>
      </c>
      <c r="I49" s="19">
        <f t="shared" si="2"/>
        <v>0.6201114108</v>
      </c>
      <c r="J49" s="19">
        <f>IFERROR(__xludf.DUMMYFUNCTION("(G49-INDEX(GOOGLEFINANCE(C49,""price"",TODAY()-7),2,2))/(INDEX(GOOGLEFINANCE(C49,""price"",TODAY()-7),2,2))"),-0.001260650321683151)</f>
        <v>-0.001260650322</v>
      </c>
      <c r="K49" s="20">
        <f t="shared" si="3"/>
        <v>425.7995</v>
      </c>
      <c r="L49" s="21">
        <f>IFERROR(__xludf.DUMMYFUNCTION("IFERROR(GOOGLEFINANCE(C49,""pe""),""Not Available"")"),33.97)</f>
        <v>33.97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8" t="str">
        <f>IFERROR(__xludf.DUMMYFUNCTION("IFERROR(GOOGLEFINANCE(C50,""name""),""Not Available"")"),"Nutrien Ltd")</f>
        <v>Nutrien Ltd</v>
      </c>
      <c r="C50" s="1" t="s">
        <v>58</v>
      </c>
      <c r="D50" s="14">
        <v>28.911</v>
      </c>
      <c r="E50" s="15">
        <v>31.1608</v>
      </c>
      <c r="F50" s="22">
        <v>900.89</v>
      </c>
      <c r="G50" s="17">
        <f>IFERROR(__xludf.DUMMYFUNCTION("IFERROR(GOOGLEFINANCE(C50,""price""),""Not Available)"")"),52.9)</f>
        <v>52.9</v>
      </c>
      <c r="H50" s="18">
        <f t="shared" si="1"/>
        <v>1529.3919</v>
      </c>
      <c r="I50" s="19">
        <f t="shared" si="2"/>
        <v>0.6976457601</v>
      </c>
      <c r="J50" s="19">
        <f>IFERROR(__xludf.DUMMYFUNCTION("(G50-INDEX(GOOGLEFINANCE(C50,""price"",TODAY()-7),2,2))/(INDEX(GOOGLEFINANCE(C50,""price"",TODAY()-7),2,2))"),0.038069073783359456)</f>
        <v>0.03806907378</v>
      </c>
      <c r="K50" s="20">
        <f t="shared" si="3"/>
        <v>628.5019</v>
      </c>
      <c r="L50" s="21" t="str">
        <f>IFERROR(__xludf.DUMMYFUNCTION("IFERROR(GOOGLEFINANCE(C50,""pe""),""Not Available"")"),"Not Available")</f>
        <v>Not Available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8" t="str">
        <f>IFERROR(__xludf.DUMMYFUNCTION("IFERROR(GOOGLEFINANCE(C51,""name""),""Not Available"")"),"Oracle Corp")</f>
        <v>Oracle Corp</v>
      </c>
      <c r="C51" s="1" t="s">
        <v>59</v>
      </c>
      <c r="D51" s="14">
        <v>26.53</v>
      </c>
      <c r="E51" s="15">
        <v>48.95552</v>
      </c>
      <c r="F51" s="16">
        <v>1298.79</v>
      </c>
      <c r="G51" s="17">
        <f>IFERROR(__xludf.DUMMYFUNCTION("IFERROR(GOOGLEFINANCE(C51,""price""),""Not Available)"")"),112.42)</f>
        <v>112.42</v>
      </c>
      <c r="H51" s="18">
        <f t="shared" si="1"/>
        <v>2982.5026</v>
      </c>
      <c r="I51" s="19">
        <f t="shared" si="2"/>
        <v>1.296370256</v>
      </c>
      <c r="J51" s="19">
        <f>IFERROR(__xludf.DUMMYFUNCTION("(G51-INDEX(GOOGLEFINANCE(C51,""price"",TODAY()-7),2,2))/(INDEX(GOOGLEFINANCE(C51,""price"",TODAY()-7),2,2))"),-0.014378397334736108)</f>
        <v>-0.01437839733</v>
      </c>
      <c r="K51" s="20">
        <f t="shared" si="3"/>
        <v>1683.7126</v>
      </c>
      <c r="L51" s="21">
        <f>IFERROR(__xludf.DUMMYFUNCTION("IFERROR(GOOGLEFINANCE(C51,""pe""),""Not Available"")"),31.08)</f>
        <v>31.08</v>
      </c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8" t="str">
        <f>IFERROR(__xludf.DUMMYFUNCTION("IFERROR(GOOGLEFINANCE(C52,""name""),""Not Available"")"),"PACCAR Inc")</f>
        <v>PACCAR Inc</v>
      </c>
      <c r="C52" s="1" t="s">
        <v>60</v>
      </c>
      <c r="D52" s="14">
        <v>10.033</v>
      </c>
      <c r="E52" s="15">
        <v>68.77205</v>
      </c>
      <c r="F52" s="22">
        <v>689.99</v>
      </c>
      <c r="G52" s="17">
        <f>IFERROR(__xludf.DUMMYFUNCTION("IFERROR(GOOGLEFINANCE(C52,""price""),""Not Available)"")"),114.65)</f>
        <v>114.65</v>
      </c>
      <c r="H52" s="18">
        <f t="shared" si="1"/>
        <v>1150.28345</v>
      </c>
      <c r="I52" s="19">
        <f t="shared" si="2"/>
        <v>0.6671016787</v>
      </c>
      <c r="J52" s="19">
        <f>IFERROR(__xludf.DUMMYFUNCTION("(G52-INDEX(GOOGLEFINANCE(C52,""price"",TODAY()-7),2,2))/(INDEX(GOOGLEFINANCE(C52,""price"",TODAY()-7),2,2))"),0.021017009528898383)</f>
        <v>0.02101700953</v>
      </c>
      <c r="K52" s="20">
        <f t="shared" si="3"/>
        <v>460.29345</v>
      </c>
      <c r="L52" s="21">
        <f>IFERROR(__xludf.DUMMYFUNCTION("IFERROR(GOOGLEFINANCE(C52,""pe""),""Not Available"")"),13.08)</f>
        <v>13.08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8" t="str">
        <f>IFERROR(__xludf.DUMMYFUNCTION("IFERROR(GOOGLEFINANCE(C53,""name""),""Not Available"")"),"PVH Corp")</f>
        <v>PVH Corp</v>
      </c>
      <c r="C53" s="1" t="s">
        <v>61</v>
      </c>
      <c r="D53" s="14">
        <v>16.066</v>
      </c>
      <c r="E53" s="15">
        <v>48.04058</v>
      </c>
      <c r="F53" s="22">
        <v>771.82</v>
      </c>
      <c r="G53" s="17">
        <f>IFERROR(__xludf.DUMMYFUNCTION("IFERROR(GOOGLEFINANCE(C53,""price""),""Not Available)"")"),134.33)</f>
        <v>134.33</v>
      </c>
      <c r="H53" s="18">
        <f t="shared" si="1"/>
        <v>2158.14578</v>
      </c>
      <c r="I53" s="19">
        <f t="shared" si="2"/>
        <v>1.796177731</v>
      </c>
      <c r="J53" s="19">
        <f>IFERROR(__xludf.DUMMYFUNCTION("(G53-INDEX(GOOGLEFINANCE(C53,""price"",TODAY()-7),2,2))/(INDEX(GOOGLEFINANCE(C53,""price"",TODAY()-7),2,2))"),-0.024048241790177085)</f>
        <v>-0.02404824179</v>
      </c>
      <c r="K53" s="20">
        <f t="shared" si="3"/>
        <v>1386.32578</v>
      </c>
      <c r="L53" s="21">
        <f>IFERROR(__xludf.DUMMYFUNCTION("IFERROR(GOOGLEFINANCE(C53,""pe""),""Not Available"")"),15.81)</f>
        <v>15.81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8" t="str">
        <f>IFERROR(__xludf.DUMMYFUNCTION("IFERROR(GOOGLEFINANCE(C54,""name""),""Not Available"")"),"PayPal Holdings Inc")</f>
        <v>PayPal Holdings Inc</v>
      </c>
      <c r="C54" s="1" t="s">
        <v>62</v>
      </c>
      <c r="D54" s="14">
        <v>11.0</v>
      </c>
      <c r="E54" s="15">
        <v>47.71273</v>
      </c>
      <c r="F54" s="22">
        <v>524.84</v>
      </c>
      <c r="G54" s="17">
        <f>IFERROR(__xludf.DUMMYFUNCTION("IFERROR(GOOGLEFINANCE(C54,""price""),""Not Available)"")"),59.01)</f>
        <v>59.01</v>
      </c>
      <c r="H54" s="18">
        <f t="shared" si="1"/>
        <v>649.11</v>
      </c>
      <c r="I54" s="19">
        <f t="shared" si="2"/>
        <v>0.2367768518</v>
      </c>
      <c r="J54" s="19">
        <f>IFERROR(__xludf.DUMMYFUNCTION("(G54-INDEX(GOOGLEFINANCE(C54,""price"",TODAY()-7),2,2))/(INDEX(GOOGLEFINANCE(C54,""price"",TODAY()-7),2,2))"),-0.016172057352450798)</f>
        <v>-0.01617205735</v>
      </c>
      <c r="K54" s="20">
        <f t="shared" si="3"/>
        <v>124.27</v>
      </c>
      <c r="L54" s="21">
        <f>IFERROR(__xludf.DUMMYFUNCTION("IFERROR(GOOGLEFINANCE(C54,""pe""),""Not Available"")"),15.38)</f>
        <v>15.38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8" t="str">
        <f>IFERROR(__xludf.DUMMYFUNCTION("IFERROR(GOOGLEFINANCE(C55,""name""),""Not Available"")"),"Qualcomm Inc")</f>
        <v>Qualcomm Inc</v>
      </c>
      <c r="C55" s="1" t="s">
        <v>63</v>
      </c>
      <c r="D55" s="14">
        <v>9.111</v>
      </c>
      <c r="E55" s="15">
        <v>122.216</v>
      </c>
      <c r="F55" s="16">
        <v>1113.51</v>
      </c>
      <c r="G55" s="17">
        <f>IFERROR(__xludf.DUMMYFUNCTION("IFERROR(GOOGLEFINANCE(C55,""price""),""Not Available)"")"),170.57)</f>
        <v>170.57</v>
      </c>
      <c r="H55" s="18">
        <f t="shared" si="1"/>
        <v>1554.06327</v>
      </c>
      <c r="I55" s="19">
        <f t="shared" si="2"/>
        <v>0.3956437782</v>
      </c>
      <c r="J55" s="19">
        <f>IFERROR(__xludf.DUMMYFUNCTION("(G55-INDEX(GOOGLEFINANCE(C55,""price"",TODAY()-7),2,2))/(INDEX(GOOGLEFINANCE(C55,""price"",TODAY()-7),2,2))"),0.02407540826128717)</f>
        <v>0.02407540826</v>
      </c>
      <c r="K55" s="20">
        <f t="shared" si="3"/>
        <v>440.55327</v>
      </c>
      <c r="L55" s="21">
        <f>IFERROR(__xludf.DUMMYFUNCTION("IFERROR(GOOGLEFINANCE(C55,""pe""),""Not Available"")"),24.72)</f>
        <v>24.72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8" t="str">
        <f>IFERROR(__xludf.DUMMYFUNCTION("IFERROR(GOOGLEFINANCE(C56,""name""),""Not Available"")"),"RingCentral Inc")</f>
        <v>RingCentral Inc</v>
      </c>
      <c r="C56" s="1" t="s">
        <v>64</v>
      </c>
      <c r="D56" s="14">
        <v>3.0</v>
      </c>
      <c r="E56" s="15">
        <v>236.77</v>
      </c>
      <c r="F56" s="22">
        <v>710.31</v>
      </c>
      <c r="G56" s="17">
        <f>IFERROR(__xludf.DUMMYFUNCTION("IFERROR(GOOGLEFINANCE(C56,""price""),""Not Available)"")"),36.01)</f>
        <v>36.01</v>
      </c>
      <c r="H56" s="18">
        <f t="shared" si="1"/>
        <v>108.03</v>
      </c>
      <c r="I56" s="19">
        <f t="shared" si="2"/>
        <v>-0.8479114753</v>
      </c>
      <c r="J56" s="19">
        <f>IFERROR(__xludf.DUMMYFUNCTION("(G56-INDEX(GOOGLEFINANCE(C56,""price"",TODAY()-7),2,2))/(INDEX(GOOGLEFINANCE(C56,""price"",TODAY()-7),2,2))"),0.08105673971780233)</f>
        <v>0.08105673972</v>
      </c>
      <c r="K56" s="20">
        <f t="shared" si="3"/>
        <v>-602.28</v>
      </c>
      <c r="L56" s="21" t="str">
        <f>IFERROR(__xludf.DUMMYFUNCTION("IFERROR(GOOGLEFINANCE(C56,""pe""),""Not Available"")"),"Not Available")</f>
        <v>Not Available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8" t="str">
        <f>IFERROR(__xludf.DUMMYFUNCTION("IFERROR(GOOGLEFINANCE(C57,""name""),""Not Available"")"),"RXO Inc")</f>
        <v>RXO Inc</v>
      </c>
      <c r="C57" s="1" t="s">
        <v>65</v>
      </c>
      <c r="D57" s="14">
        <v>13.0</v>
      </c>
      <c r="E57" s="15">
        <v>17.91538</v>
      </c>
      <c r="F57" s="22">
        <v>232.9</v>
      </c>
      <c r="G57" s="17">
        <f>IFERROR(__xludf.DUMMYFUNCTION("IFERROR(GOOGLEFINANCE(C57,""price""),""Not Available)"")"),20.91)</f>
        <v>20.91</v>
      </c>
      <c r="H57" s="18">
        <f t="shared" si="1"/>
        <v>271.83</v>
      </c>
      <c r="I57" s="19">
        <f t="shared" si="2"/>
        <v>0.1671535854</v>
      </c>
      <c r="J57" s="19">
        <f>IFERROR(__xludf.DUMMYFUNCTION("(G57-INDEX(GOOGLEFINANCE(C57,""price"",TODAY()-7),2,2))/(INDEX(GOOGLEFINANCE(C57,""price"",TODAY()-7),2,2))"),0.027518427518427455)</f>
        <v>0.02751842752</v>
      </c>
      <c r="K57" s="20">
        <f t="shared" si="3"/>
        <v>38.93</v>
      </c>
      <c r="L57" s="21">
        <f>IFERROR(__xludf.DUMMYFUNCTION("IFERROR(GOOGLEFINANCE(C57,""pe""),""Not Available"")"),624.37)</f>
        <v>624.37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8" t="str">
        <f>IFERROR(__xludf.DUMMYFUNCTION("IFERROR(GOOGLEFINANCE(C58,""name""),""Not Available"")"),"Rayonier Inc")</f>
        <v>Rayonier Inc</v>
      </c>
      <c r="C58" s="1" t="s">
        <v>66</v>
      </c>
      <c r="D58" s="14">
        <v>31.338</v>
      </c>
      <c r="E58" s="15">
        <v>29.48401</v>
      </c>
      <c r="F58" s="22">
        <v>923.97</v>
      </c>
      <c r="G58" s="17">
        <f>IFERROR(__xludf.DUMMYFUNCTION("IFERROR(GOOGLEFINANCE(C58,""price""),""Not Available)"")"),35.11)</f>
        <v>35.11</v>
      </c>
      <c r="H58" s="18">
        <f t="shared" si="1"/>
        <v>1100.27718</v>
      </c>
      <c r="I58" s="19">
        <f t="shared" si="2"/>
        <v>0.1908149536</v>
      </c>
      <c r="J58" s="19">
        <f>IFERROR(__xludf.DUMMYFUNCTION("(G58-INDEX(GOOGLEFINANCE(C58,""price"",TODAY()-7),2,2))/(INDEX(GOOGLEFINANCE(C58,""price"",TODAY()-7),2,2))"),-0.0025568181818182785)</f>
        <v>-0.002556818182</v>
      </c>
      <c r="K58" s="20">
        <f t="shared" si="3"/>
        <v>176.30718</v>
      </c>
      <c r="L58" s="21">
        <f>IFERROR(__xludf.DUMMYFUNCTION("IFERROR(GOOGLEFINANCE(C58,""pe""),""Not Available"")"),30.57)</f>
        <v>30.57</v>
      </c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8" t="str">
        <f>IFERROR(__xludf.DUMMYFUNCTION("IFERROR(GOOGLEFINANCE(C59,""name""),""Not Available"")"),"Takeda Pharmaceutical Co Ltd")</f>
        <v>Takeda Pharmaceutical Co Ltd</v>
      </c>
      <c r="C59" s="1" t="s">
        <v>67</v>
      </c>
      <c r="D59" s="14">
        <v>48.009</v>
      </c>
      <c r="E59" s="15">
        <v>18.43779</v>
      </c>
      <c r="F59" s="22">
        <v>885.18</v>
      </c>
      <c r="G59" s="17">
        <f>IFERROR(__xludf.DUMMYFUNCTION("IFERROR(GOOGLEFINANCE(C59,""price""),""Not Available)"")"),14.77)</f>
        <v>14.77</v>
      </c>
      <c r="H59" s="18">
        <f t="shared" si="1"/>
        <v>709.09293</v>
      </c>
      <c r="I59" s="19">
        <f t="shared" si="2"/>
        <v>-0.1989278542</v>
      </c>
      <c r="J59" s="19">
        <f>IFERROR(__xludf.DUMMYFUNCTION("(G59-INDEX(GOOGLEFINANCE(C59,""price"",TODAY()-7),2,2))/(INDEX(GOOGLEFINANCE(C59,""price"",TODAY()-7),2,2))"),0.020027624309392207)</f>
        <v>0.02002762431</v>
      </c>
      <c r="K59" s="20">
        <f t="shared" si="3"/>
        <v>-176.08707</v>
      </c>
      <c r="L59" s="21">
        <f>IFERROR(__xludf.DUMMYFUNCTION("IFERROR(GOOGLEFINANCE(C59,""pe""),""Not Available"")"),38.52)</f>
        <v>38.52</v>
      </c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8" t="str">
        <f>IFERROR(__xludf.DUMMYFUNCTION("IFERROR(GOOGLEFINANCE(C60,""name""),""Not Available"")"),"Thermo Fisher Scientific Inc")</f>
        <v>Thermo Fisher Scientific Inc</v>
      </c>
      <c r="C60" s="1" t="s">
        <v>68</v>
      </c>
      <c r="D60" s="14">
        <v>2.011</v>
      </c>
      <c r="E60" s="15">
        <v>466.05172</v>
      </c>
      <c r="F60" s="22">
        <v>937.23</v>
      </c>
      <c r="G60" s="17">
        <f>IFERROR(__xludf.DUMMYFUNCTION("IFERROR(GOOGLEFINANCE(C60,""price""),""Not Available)"")"),597.61)</f>
        <v>597.61</v>
      </c>
      <c r="H60" s="18">
        <f t="shared" si="1"/>
        <v>1201.79371</v>
      </c>
      <c r="I60" s="19">
        <f t="shared" si="2"/>
        <v>0.2822825758</v>
      </c>
      <c r="J60" s="19">
        <f>IFERROR(__xludf.DUMMYFUNCTION("(G60-INDEX(GOOGLEFINANCE(C60,""price"",TODAY()-7),2,2))/(INDEX(GOOGLEFINANCE(C60,""price"",TODAY()-7),2,2))"),0.027456846159136284)</f>
        <v>0.02745684616</v>
      </c>
      <c r="K60" s="20">
        <f t="shared" si="3"/>
        <v>264.56371</v>
      </c>
      <c r="L60" s="21">
        <f>IFERROR(__xludf.DUMMYFUNCTION("IFERROR(GOOGLEFINANCE(C60,""pe""),""Not Available"")"),38.68)</f>
        <v>38.68</v>
      </c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8" t="str">
        <f>IFERROR(__xludf.DUMMYFUNCTION("IFERROR(GOOGLEFINANCE(C61,""name""),""Not Available"")"),"Woodside Energy Group ADR")</f>
        <v>Woodside Energy Group ADR</v>
      </c>
      <c r="C61" s="1" t="s">
        <v>69</v>
      </c>
      <c r="D61" s="14">
        <v>3.142</v>
      </c>
      <c r="E61" s="15">
        <v>21.56906</v>
      </c>
      <c r="F61" s="22">
        <v>67.77</v>
      </c>
      <c r="G61" s="17">
        <f>IFERROR(__xludf.DUMMYFUNCTION("IFERROR(GOOGLEFINANCE(C61,""price""),""Not Available)"")"),19.72)</f>
        <v>19.72</v>
      </c>
      <c r="H61" s="18">
        <f t="shared" si="1"/>
        <v>61.96024</v>
      </c>
      <c r="I61" s="19">
        <f t="shared" si="2"/>
        <v>-0.08572742623</v>
      </c>
      <c r="J61" s="19">
        <f>IFERROR(__xludf.DUMMYFUNCTION("(G61-INDEX(GOOGLEFINANCE(C61,""price"",TODAY()-7),2,2))/(INDEX(GOOGLEFINANCE(C61,""price"",TODAY()-7),2,2))"),-0.0015189873417722096)</f>
        <v>-0.001518987342</v>
      </c>
      <c r="K61" s="20">
        <f t="shared" si="3"/>
        <v>-5.80976</v>
      </c>
      <c r="L61" s="21" t="str">
        <f>IFERROR(__xludf.DUMMYFUNCTION("IFERROR(GOOGLEFINANCE(C61,""pe""),""Not Available"")"),"Not Available")</f>
        <v>Not Available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8" t="str">
        <f>IFERROR(__xludf.DUMMYFUNCTION("IFERROR(GOOGLEFINANCE(C62,""name""),""Not Available"")"),"XPO Inc")</f>
        <v>XPO Inc</v>
      </c>
      <c r="C62" s="1" t="s">
        <v>70</v>
      </c>
      <c r="D62" s="14">
        <v>13.0</v>
      </c>
      <c r="E62" s="15">
        <v>30.54846</v>
      </c>
      <c r="F62" s="22">
        <v>397.13</v>
      </c>
      <c r="G62" s="17">
        <f>IFERROR(__xludf.DUMMYFUNCTION("IFERROR(GOOGLEFINANCE(C62,""price""),""Not Available)"")"),122.43)</f>
        <v>122.43</v>
      </c>
      <c r="H62" s="18">
        <f t="shared" si="1"/>
        <v>1591.59</v>
      </c>
      <c r="I62" s="19">
        <f t="shared" si="2"/>
        <v>3.007730668</v>
      </c>
      <c r="J62" s="19">
        <f>IFERROR(__xludf.DUMMYFUNCTION("(G62-INDEX(GOOGLEFINANCE(C62,""price"",TODAY()-7),2,2))/(INDEX(GOOGLEFINANCE(C62,""price"",TODAY()-7),2,2))"),0.008650519031141963)</f>
        <v>0.008650519031</v>
      </c>
      <c r="K62" s="20">
        <f t="shared" si="3"/>
        <v>1194.46</v>
      </c>
      <c r="L62" s="21">
        <f>IFERROR(__xludf.DUMMYFUNCTION("IFERROR(GOOGLEFINANCE(C62,""pe""),""Not Available"")"),75.24)</f>
        <v>75.24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">
    <mergeCell ref="D8:F8"/>
    <mergeCell ref="G8:M8"/>
  </mergeCells>
  <conditionalFormatting sqref="I10:J62">
    <cfRule type="cellIs" dxfId="0" priority="1" operator="greaterThan">
      <formula>0</formula>
    </cfRule>
  </conditionalFormatting>
  <conditionalFormatting sqref="I10:J62">
    <cfRule type="cellIs" dxfId="1" priority="2" operator="lessThan">
      <formula>0</formula>
    </cfRule>
  </conditionalFormatting>
  <conditionalFormatting sqref="K10:K62">
    <cfRule type="cellIs" dxfId="1" priority="3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1.86"/>
    <col customWidth="1" min="3" max="3" width="17.71"/>
    <col customWidth="1" min="4" max="4" width="12.57"/>
    <col customWidth="1" min="5" max="6" width="10.43"/>
    <col customWidth="1" min="7" max="7" width="10.86"/>
    <col customWidth="1" min="8" max="8" width="10.57"/>
    <col customWidth="1" min="9" max="9" width="9.57"/>
    <col customWidth="1" min="10" max="10" width="14.0"/>
    <col customWidth="1" min="11" max="11" width="15.86"/>
    <col customWidth="1" min="12" max="12" width="11.14"/>
    <col customWidth="1" min="13" max="13" width="17.43"/>
    <col customWidth="1" min="14" max="14" width="15.86"/>
    <col customWidth="1" min="15" max="27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U2" s="1"/>
      <c r="V2" s="1"/>
      <c r="W2" s="1"/>
      <c r="X2" s="1"/>
      <c r="Y2" s="1"/>
      <c r="Z2" s="1"/>
      <c r="AA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1"/>
      <c r="V3" s="1"/>
      <c r="W3" s="1"/>
      <c r="X3" s="1"/>
      <c r="Y3" s="1"/>
      <c r="Z3" s="1"/>
      <c r="AA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U4" s="1"/>
      <c r="V4" s="1"/>
      <c r="W4" s="1"/>
      <c r="X4" s="1"/>
      <c r="Y4" s="1"/>
      <c r="Z4" s="1"/>
      <c r="AA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1"/>
      <c r="B6" s="1"/>
      <c r="C6" s="1"/>
      <c r="D6" s="10"/>
      <c r="H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1"/>
      <c r="B8" s="8"/>
      <c r="C8" s="1"/>
      <c r="D8" s="23"/>
      <c r="E8" s="17"/>
      <c r="F8" s="17"/>
      <c r="G8" s="18"/>
      <c r="H8" s="17"/>
      <c r="I8" s="18"/>
      <c r="J8" s="19"/>
      <c r="K8" s="19"/>
      <c r="L8" s="20"/>
      <c r="M8" s="21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1"/>
      <c r="B9" s="8"/>
      <c r="C9" s="24" t="s">
        <v>72</v>
      </c>
      <c r="D9" s="25" t="s">
        <v>73</v>
      </c>
      <c r="E9" s="26" t="s">
        <v>74</v>
      </c>
      <c r="F9" s="26" t="s">
        <v>75</v>
      </c>
      <c r="G9" s="27" t="s">
        <v>76</v>
      </c>
      <c r="H9" s="17"/>
      <c r="I9" s="18"/>
      <c r="J9" s="19"/>
      <c r="K9" s="19"/>
      <c r="L9" s="20"/>
      <c r="M9" s="21"/>
      <c r="N9" s="7"/>
      <c r="O9" s="1"/>
      <c r="P9" s="1"/>
      <c r="Q9" s="1"/>
      <c r="R9" s="1"/>
      <c r="S9" s="1"/>
      <c r="T9" s="1"/>
      <c r="U9" s="28">
        <v>44927.0</v>
      </c>
      <c r="V9" s="1"/>
      <c r="W9" s="1"/>
      <c r="X9" s="1"/>
      <c r="Y9" s="1"/>
      <c r="Z9" s="1"/>
      <c r="AA9" s="1"/>
    </row>
    <row r="10" ht="14.25" customHeight="1">
      <c r="A10" s="1"/>
      <c r="B10" s="8" t="s">
        <v>77</v>
      </c>
      <c r="C10" s="29">
        <f>TMT!C6</f>
        <v>29094.63211</v>
      </c>
      <c r="D10" s="30">
        <f t="shared" ref="D10:D15" si="1">C10/$C$17</f>
        <v>0.3542473313</v>
      </c>
      <c r="E10" s="30">
        <f>SUMPRODUCT(TMT!K10:K24,TMT!F10:F24/TMT!F26)</f>
        <v>0.5651378187</v>
      </c>
      <c r="F10" s="30">
        <f>SUMPRODUCT(TMT!L10:L24,TMT!F10:F24/TMT!F26)</f>
        <v>0.7613552574</v>
      </c>
      <c r="G10" s="31">
        <f>TMT!H26/TMT!F26-1</f>
        <v>0.9790489636</v>
      </c>
      <c r="H10" s="17"/>
      <c r="I10" s="18"/>
      <c r="J10" s="19"/>
      <c r="K10" s="19"/>
      <c r="L10" s="20"/>
      <c r="M10" s="21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1"/>
      <c r="B11" s="8" t="s">
        <v>78</v>
      </c>
      <c r="C11" s="29">
        <f>PNR!C6</f>
        <v>11487.20054</v>
      </c>
      <c r="D11" s="30">
        <f t="shared" si="1"/>
        <v>0.1398646362</v>
      </c>
      <c r="E11" s="30">
        <f>SUMPRODUCT(PNR!K10:K19,PNR!F10:F19/PNR!F21)</f>
        <v>-0.03142203088</v>
      </c>
      <c r="F11" s="30">
        <f>SUMPRODUCT(PNR!L10:L19,PNR!F10:F19/PNR!F21)</f>
        <v>-0.05325213036</v>
      </c>
      <c r="G11" s="31">
        <f>PNR!H21/PNR!F21-1</f>
        <v>0.4411693429</v>
      </c>
      <c r="H11" s="17"/>
      <c r="I11" s="18"/>
      <c r="J11" s="19"/>
      <c r="K11" s="19"/>
      <c r="L11" s="20"/>
      <c r="M11" s="21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1"/>
      <c r="B12" s="8" t="s">
        <v>79</v>
      </c>
      <c r="C12" s="29">
        <f>IND!C6</f>
        <v>16008.09138</v>
      </c>
      <c r="D12" s="30">
        <f t="shared" si="1"/>
        <v>0.1949096187</v>
      </c>
      <c r="E12" s="30">
        <f>SUMPRODUCT(IND!K10:K21,IND!F10:F21/IND!F23)</f>
        <v>0.3716493003</v>
      </c>
      <c r="F12" s="30">
        <f>SUMPRODUCT(IND!L10:L21,IND!F10:F21/IND!F23)</f>
        <v>0.4266299748</v>
      </c>
      <c r="G12" s="7">
        <f>IND!H23/IND!F23-1</f>
        <v>0.5952131303</v>
      </c>
      <c r="H12" s="17"/>
      <c r="I12" s="18"/>
      <c r="J12" s="19"/>
      <c r="K12" s="19"/>
      <c r="L12" s="20"/>
      <c r="M12" s="21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1"/>
      <c r="B13" s="8" t="s">
        <v>80</v>
      </c>
      <c r="C13" s="29">
        <f>CNR!C6</f>
        <v>9811.52796</v>
      </c>
      <c r="D13" s="30">
        <f t="shared" si="1"/>
        <v>0.11946216</v>
      </c>
      <c r="E13" s="30">
        <f>SUMPRODUCT(CNR!K10:K15,CNR!F10:F15/CNR!F17)</f>
        <v>0.3058716113</v>
      </c>
      <c r="F13" s="30">
        <f>SUMPRODUCT(CNR!L10:L15,CNR!F10:F15/CNR!F17)</f>
        <v>0.2101487397</v>
      </c>
      <c r="G13" s="31">
        <f>CNR!H17/CNR!F17-1</f>
        <v>0.7261083743</v>
      </c>
      <c r="H13" s="17"/>
      <c r="I13" s="18"/>
      <c r="J13" s="19"/>
      <c r="K13" s="19"/>
      <c r="L13" s="20"/>
      <c r="M13" s="21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8" t="s">
        <v>81</v>
      </c>
      <c r="C14" s="29">
        <f>HC!C6</f>
        <v>10203.94363</v>
      </c>
      <c r="D14" s="30">
        <f t="shared" si="1"/>
        <v>0.124240093</v>
      </c>
      <c r="E14" s="30">
        <f>SUMPRODUCT(HC!K10:K18,HC!F10:F18/HC!F20)</f>
        <v>0.293705818</v>
      </c>
      <c r="F14" s="30">
        <f>SUMPRODUCT(HC!L10:L18,HC!F10:F18/HC!F20)</f>
        <v>0.1550599556</v>
      </c>
      <c r="G14" s="31">
        <f>HC!H20/HC!F20-1</f>
        <v>0.5170894484</v>
      </c>
      <c r="H14" s="17"/>
      <c r="I14" s="18"/>
      <c r="J14" s="19"/>
      <c r="K14" s="19"/>
      <c r="L14" s="20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8" t="s">
        <v>82</v>
      </c>
      <c r="C15" s="29">
        <f>ER!C6</f>
        <v>5525.44784</v>
      </c>
      <c r="D15" s="30">
        <f t="shared" si="1"/>
        <v>0.06727616091</v>
      </c>
      <c r="E15" s="30">
        <f>SUMPRODUCT(ER!K10:K12,ER!F10:F12/ER!F14)</f>
        <v>0.03209038185</v>
      </c>
      <c r="F15" s="30">
        <f>SUMPRODUCT(ER!L10:L12,ER!F10:F12/ER!F14)</f>
        <v>-0.02760867989</v>
      </c>
      <c r="G15" s="31">
        <f>ER!H14/ER!F14-1</f>
        <v>0.007300805775</v>
      </c>
      <c r="H15" s="17"/>
      <c r="I15" s="18"/>
      <c r="J15" s="19"/>
      <c r="K15" s="19"/>
      <c r="L15" s="20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8"/>
      <c r="C16" s="1"/>
      <c r="D16" s="23"/>
      <c r="E16" s="17"/>
      <c r="F16" s="17"/>
      <c r="G16" s="17"/>
      <c r="H16" s="17"/>
      <c r="I16" s="18"/>
      <c r="J16" s="19"/>
      <c r="K16" s="19"/>
      <c r="L16" s="20"/>
      <c r="M16" s="24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8" t="s">
        <v>83</v>
      </c>
      <c r="C17" s="32">
        <f>SUM(C10:C15)</f>
        <v>82130.84346</v>
      </c>
      <c r="D17" s="23"/>
      <c r="E17" s="31">
        <f>SUMPRODUCT(E10:E15,D10:D15)</f>
        <v>0.3434307957</v>
      </c>
      <c r="F17" s="31">
        <f>SUMPRODUCT(D10:D15,F10:F15)</f>
        <v>0.3879263436</v>
      </c>
      <c r="G17" s="31"/>
      <c r="H17" s="17"/>
      <c r="I17" s="18"/>
      <c r="J17" s="19"/>
      <c r="K17" s="19"/>
      <c r="L17" s="20"/>
      <c r="M17" s="21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8"/>
      <c r="C18" s="33"/>
      <c r="D18" s="23"/>
      <c r="E18" s="17"/>
      <c r="F18" s="17"/>
      <c r="G18" s="17"/>
      <c r="H18" s="17"/>
      <c r="I18" s="18"/>
      <c r="J18" s="19"/>
      <c r="K18" s="19"/>
      <c r="L18" s="20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8"/>
      <c r="C19" s="1"/>
      <c r="D19" s="23"/>
      <c r="E19" s="17"/>
      <c r="F19" s="17"/>
      <c r="G19" s="18"/>
      <c r="H19" s="17"/>
      <c r="I19" s="18"/>
      <c r="J19" s="19"/>
      <c r="K19" s="19"/>
      <c r="L19" s="20"/>
      <c r="M19" s="21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8"/>
      <c r="C20" s="1"/>
      <c r="D20" s="23"/>
      <c r="E20" s="17"/>
      <c r="F20" s="17"/>
      <c r="G20" s="18"/>
      <c r="H20" s="17"/>
      <c r="I20" s="18"/>
      <c r="J20" s="19"/>
      <c r="K20" s="19"/>
      <c r="L20" s="20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8"/>
      <c r="C21" s="1"/>
      <c r="D21" s="23"/>
      <c r="E21" s="17"/>
      <c r="F21" s="17"/>
      <c r="G21" s="18"/>
      <c r="H21" s="17"/>
      <c r="I21" s="18"/>
      <c r="J21" s="19"/>
      <c r="K21" s="19"/>
      <c r="L21" s="20"/>
      <c r="M21" s="21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8"/>
      <c r="C22" s="1"/>
      <c r="D22" s="23"/>
      <c r="E22" s="17"/>
      <c r="F22" s="17"/>
      <c r="G22" s="17"/>
      <c r="H22" s="17"/>
      <c r="I22" s="18"/>
      <c r="J22" s="19"/>
      <c r="K22" s="19"/>
      <c r="L22" s="20"/>
      <c r="M22" s="21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8"/>
      <c r="C23" s="1"/>
      <c r="D23" s="23"/>
      <c r="E23" s="17"/>
      <c r="F23" s="17"/>
      <c r="G23" s="18"/>
      <c r="H23" s="17"/>
      <c r="I23" s="18"/>
      <c r="J23" s="19"/>
      <c r="K23" s="19"/>
      <c r="L23" s="20"/>
      <c r="M23" s="2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8" t="s">
        <v>84</v>
      </c>
      <c r="C24" s="34" t="s">
        <v>74</v>
      </c>
      <c r="D24" s="34" t="s">
        <v>75</v>
      </c>
      <c r="E24" s="17"/>
      <c r="F24" s="17"/>
      <c r="G24" s="17"/>
      <c r="H24" s="17"/>
      <c r="I24" s="18"/>
      <c r="J24" s="19"/>
      <c r="K24" s="19"/>
      <c r="L24" s="20"/>
      <c r="M24" s="2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 t="s">
        <v>85</v>
      </c>
      <c r="C25" s="31">
        <f>IFERROR(__xludf.DUMMYFUNCTION("IFERROR((GOOGLEFINANCE(""SPY"",""price"")-INDEX(GOOGLEFINANCE(""SPY"",""price"",TODAY()-365),2,2))/(INDEX(GOOGLEFINANCE(""SPY"",""price"",TODAY()-365),2,2)),""Not Available"")"),0.32790118330911355)</f>
        <v>0.3279011833</v>
      </c>
      <c r="D25" s="31">
        <f>IFERROR(__xludf.DUMMYFUNCTION("IFERROR((GOOGLEFINANCE(""SPY"",""price"")-INDEX(GOOGLEFINANCE(""SPY"",""price"",""1/1/2023""),2,2))/(INDEX(GOOGLEFINANCE(""SPY"",""price"",""1/1/2023""),2,2)),""Not Available"")"),0.343731946851531)</f>
        <v>0.3437319469</v>
      </c>
      <c r="E25" s="17"/>
      <c r="F25" s="17"/>
      <c r="G25" s="17"/>
      <c r="H25" s="17"/>
      <c r="I25" s="18"/>
      <c r="J25" s="19"/>
      <c r="K25" s="19"/>
      <c r="L25" s="20"/>
      <c r="M25" s="21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 t="s">
        <v>86</v>
      </c>
      <c r="C26" s="31">
        <f>IFERROR(__xludf.DUMMYFUNCTION("IFERROR((GOOGLEFINANCE("".IXIC"",""price"")-INDEX(GOOGLEFINANCE("".IXIC"",""price"",TODAY()-365),2,2))/(INDEX(GOOGLEFINANCE("".IXIC"",""price"",TODAY()-365),2,2)),""Not Available"")"),0.43760300442226363)</f>
        <v>0.4376030044</v>
      </c>
      <c r="D26" s="31">
        <f>IFERROR(__xludf.DUMMYFUNCTION("IFERROR((GOOGLEFINANCE("".IXIC"",""price"")-INDEX(GOOGLEFINANCE("".IXIC"",""price"",""1/1/2023""),2,2))/(INDEX(GOOGLEFINANCE("".IXIC"",""price"",""1/1/2023""),2,2)),""Not Available"")"),0.548582409340916)</f>
        <v>0.5485824093</v>
      </c>
      <c r="E26" s="17"/>
      <c r="F26" s="17"/>
      <c r="G26" s="18"/>
      <c r="H26" s="17"/>
      <c r="I26" s="18"/>
      <c r="J26" s="19"/>
      <c r="K26" s="19"/>
      <c r="L26" s="20"/>
      <c r="M26" s="2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 t="s">
        <v>87</v>
      </c>
      <c r="C27" s="31">
        <f>IFERROR(__xludf.DUMMYFUNCTION("IFERROR((GOOGLEFINANCE("".DJI"",""price"")-INDEX(GOOGLEFINANCE("".DJI"",""price"",TODAY()-365),2,2))/(INDEX(GOOGLEFINANCE("".DJI"",""price"",TODAY()-365),2,2)),""Not Available"")"),0.21696218062461786)</f>
        <v>0.2169621806</v>
      </c>
      <c r="D27" s="31">
        <f>IFERROR(__xludf.DUMMYFUNCTION("IFERROR((GOOGLEFINANCE("".DJI"",""price"")-INDEX(GOOGLEFINANCE("".DJI"",""price"",""1/1/2023""),2,2))/(INDEX(GOOGLEFINANCE("".DJI"",""price"",""1/1/2023""),2,2)),""Not Available"")"),0.16858575637584924)</f>
        <v>0.1685857564</v>
      </c>
      <c r="E27" s="17"/>
      <c r="F27" s="17"/>
      <c r="G27" s="18"/>
      <c r="H27" s="17"/>
      <c r="I27" s="18"/>
      <c r="J27" s="19"/>
      <c r="K27" s="19"/>
      <c r="L27" s="20"/>
      <c r="M27" s="21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 t="s">
        <v>88</v>
      </c>
      <c r="C28" s="31">
        <f>IFERROR(__xludf.DUMMYFUNCTION("IFERROR((GOOGLEFINANCE(""RUT"",""price"")-INDEX(GOOGLEFINANCE(""RUT"",""price"",TODAY()-365),2,2))/(INDEX(GOOGLEFINANCE(""RUT"",""price"",TODAY()-365),2,2)),""Not Available"")"),0.19400905807487248)</f>
        <v>0.1940090581</v>
      </c>
      <c r="D28" s="31">
        <f>IFERROR(__xludf.DUMMYFUNCTION("IFERROR((GOOGLEFINANCE(""RUT"",""price"")-INDEX(GOOGLEFINANCE(""RUT"",""price"",""1/1/2023""),2,2))/(INDEX(GOOGLEFINANCE(""RUT"",""price"",""1/1/2023""),2,2)),""Not Available"")"),0.18962375694710207)</f>
        <v>0.1896237569</v>
      </c>
      <c r="E28" s="17"/>
      <c r="F28" s="17"/>
      <c r="G28" s="17"/>
      <c r="H28" s="17"/>
      <c r="I28" s="18"/>
      <c r="J28" s="19"/>
      <c r="K28" s="19"/>
      <c r="L28" s="20"/>
      <c r="M28" s="21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D29" s="23"/>
      <c r="E29" s="17"/>
      <c r="F29" s="17"/>
      <c r="G29" s="18"/>
      <c r="H29" s="17"/>
      <c r="I29" s="18"/>
      <c r="J29" s="19"/>
      <c r="K29" s="19"/>
      <c r="L29" s="20"/>
      <c r="M29" s="21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8" t="s">
        <v>89</v>
      </c>
      <c r="C30" s="35">
        <f t="shared" ref="C30:D30" si="2">E17</f>
        <v>0.3434307957</v>
      </c>
      <c r="D30" s="35">
        <f t="shared" si="2"/>
        <v>0.3879263436</v>
      </c>
      <c r="E30" s="17"/>
      <c r="F30" s="17"/>
      <c r="G30" s="18"/>
      <c r="H30" s="17"/>
      <c r="I30" s="18"/>
      <c r="J30" s="19"/>
      <c r="K30" s="19"/>
      <c r="L30" s="20"/>
      <c r="M30" s="21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8"/>
      <c r="C31" s="1"/>
      <c r="D31" s="23"/>
      <c r="E31" s="17"/>
      <c r="F31" s="17"/>
      <c r="G31" s="17"/>
      <c r="H31" s="17"/>
      <c r="I31" s="18"/>
      <c r="J31" s="19"/>
      <c r="K31" s="19"/>
      <c r="L31" s="20"/>
      <c r="M31" s="2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8"/>
      <c r="C32" s="1"/>
      <c r="D32" s="23"/>
      <c r="E32" s="17"/>
      <c r="F32" s="17"/>
      <c r="G32" s="17"/>
      <c r="H32" s="17"/>
      <c r="I32" s="18"/>
      <c r="J32" s="19"/>
      <c r="K32" s="19"/>
      <c r="L32" s="20"/>
      <c r="M32" s="2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8"/>
      <c r="C33" s="1"/>
      <c r="D33" s="23"/>
      <c r="E33" s="17"/>
      <c r="F33" s="17"/>
      <c r="G33" s="17"/>
      <c r="H33" s="17"/>
      <c r="I33" s="18"/>
      <c r="J33" s="19"/>
      <c r="K33" s="19"/>
      <c r="L33" s="20"/>
      <c r="M33" s="2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8"/>
      <c r="C34" s="1"/>
      <c r="D34" s="23"/>
      <c r="E34" s="17"/>
      <c r="F34" s="17"/>
      <c r="G34" s="17"/>
      <c r="H34" s="17"/>
      <c r="I34" s="18"/>
      <c r="J34" s="19"/>
      <c r="K34" s="19"/>
      <c r="L34" s="20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8"/>
      <c r="C35" s="1"/>
      <c r="D35" s="23"/>
      <c r="E35" s="17"/>
      <c r="F35" s="17"/>
      <c r="G35" s="18"/>
      <c r="H35" s="17"/>
      <c r="I35" s="18"/>
      <c r="J35" s="19"/>
      <c r="K35" s="19"/>
      <c r="L35" s="20"/>
      <c r="M35" s="21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8"/>
      <c r="C36" s="1"/>
      <c r="D36" s="23"/>
      <c r="E36" s="17"/>
      <c r="F36" s="17"/>
      <c r="G36" s="18"/>
      <c r="H36" s="17"/>
      <c r="I36" s="18"/>
      <c r="J36" s="19"/>
      <c r="K36" s="19"/>
      <c r="L36" s="20"/>
      <c r="M36" s="21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8"/>
      <c r="C37" s="1"/>
      <c r="D37" s="23"/>
      <c r="E37" s="17"/>
      <c r="F37" s="17"/>
      <c r="G37" s="18"/>
      <c r="H37" s="17"/>
      <c r="I37" s="18"/>
      <c r="J37" s="19"/>
      <c r="K37" s="19"/>
      <c r="L37" s="20"/>
      <c r="M37" s="21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8"/>
      <c r="C38" s="1"/>
      <c r="D38" s="23"/>
      <c r="E38" s="17"/>
      <c r="F38" s="17"/>
      <c r="G38" s="17"/>
      <c r="H38" s="17"/>
      <c r="I38" s="18"/>
      <c r="J38" s="19"/>
      <c r="K38" s="19"/>
      <c r="L38" s="20"/>
      <c r="M38" s="21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8"/>
      <c r="C39" s="1"/>
      <c r="D39" s="23"/>
      <c r="E39" s="17"/>
      <c r="F39" s="17"/>
      <c r="G39" s="17"/>
      <c r="H39" s="17"/>
      <c r="I39" s="18"/>
      <c r="J39" s="19"/>
      <c r="K39" s="19"/>
      <c r="L39" s="20"/>
      <c r="M39" s="2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8"/>
      <c r="C40" s="1"/>
      <c r="D40" s="23"/>
      <c r="E40" s="17"/>
      <c r="F40" s="17"/>
      <c r="G40" s="18"/>
      <c r="H40" s="17"/>
      <c r="I40" s="18"/>
      <c r="J40" s="19"/>
      <c r="K40" s="19"/>
      <c r="L40" s="20"/>
      <c r="M40" s="21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8"/>
      <c r="C41" s="1"/>
      <c r="D41" s="23"/>
      <c r="E41" s="17"/>
      <c r="F41" s="17"/>
      <c r="G41" s="18"/>
      <c r="H41" s="17"/>
      <c r="I41" s="18"/>
      <c r="J41" s="19"/>
      <c r="K41" s="19"/>
      <c r="L41" s="20"/>
      <c r="M41" s="21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8"/>
      <c r="C42" s="1"/>
      <c r="D42" s="23"/>
      <c r="E42" s="17"/>
      <c r="F42" s="17"/>
      <c r="G42" s="17"/>
      <c r="H42" s="17"/>
      <c r="I42" s="18"/>
      <c r="J42" s="19"/>
      <c r="K42" s="19"/>
      <c r="L42" s="20"/>
      <c r="M42" s="21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8"/>
      <c r="C43" s="1"/>
      <c r="D43" s="23"/>
      <c r="E43" s="17"/>
      <c r="F43" s="17"/>
      <c r="G43" s="18"/>
      <c r="H43" s="17"/>
      <c r="I43" s="18"/>
      <c r="J43" s="19"/>
      <c r="K43" s="19"/>
      <c r="L43" s="20"/>
      <c r="M43" s="2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8"/>
      <c r="C44" s="1"/>
      <c r="D44" s="23"/>
      <c r="E44" s="17"/>
      <c r="F44" s="17"/>
      <c r="G44" s="17"/>
      <c r="H44" s="17"/>
      <c r="I44" s="18"/>
      <c r="J44" s="19"/>
      <c r="K44" s="19"/>
      <c r="L44" s="20"/>
      <c r="M44" s="2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8"/>
      <c r="C45" s="1"/>
      <c r="D45" s="23"/>
      <c r="E45" s="17"/>
      <c r="F45" s="17"/>
      <c r="G45" s="18"/>
      <c r="H45" s="17"/>
      <c r="I45" s="18"/>
      <c r="J45" s="19"/>
      <c r="K45" s="19"/>
      <c r="L45" s="20"/>
      <c r="M45" s="2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8"/>
      <c r="C46" s="1"/>
      <c r="D46" s="23"/>
      <c r="E46" s="17"/>
      <c r="F46" s="17"/>
      <c r="G46" s="17"/>
      <c r="H46" s="17"/>
      <c r="I46" s="18"/>
      <c r="J46" s="19"/>
      <c r="K46" s="19"/>
      <c r="L46" s="20"/>
      <c r="M46" s="21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8"/>
      <c r="C47" s="1"/>
      <c r="D47" s="23"/>
      <c r="E47" s="17"/>
      <c r="F47" s="17"/>
      <c r="G47" s="18"/>
      <c r="H47" s="17"/>
      <c r="I47" s="18"/>
      <c r="J47" s="19"/>
      <c r="K47" s="19"/>
      <c r="L47" s="20"/>
      <c r="M47" s="2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8"/>
      <c r="C48" s="1"/>
      <c r="D48" s="23"/>
      <c r="E48" s="17"/>
      <c r="F48" s="17"/>
      <c r="G48" s="17"/>
      <c r="H48" s="17"/>
      <c r="I48" s="18"/>
      <c r="J48" s="19"/>
      <c r="K48" s="19"/>
      <c r="L48" s="20"/>
      <c r="M48" s="2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8"/>
      <c r="C49" s="1"/>
      <c r="D49" s="23"/>
      <c r="E49" s="17"/>
      <c r="F49" s="17"/>
      <c r="G49" s="17"/>
      <c r="H49" s="17"/>
      <c r="I49" s="18"/>
      <c r="J49" s="19"/>
      <c r="K49" s="19"/>
      <c r="L49" s="20"/>
      <c r="M49" s="21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8"/>
      <c r="C50" s="1"/>
      <c r="D50" s="23"/>
      <c r="E50" s="17"/>
      <c r="F50" s="17"/>
      <c r="G50" s="17"/>
      <c r="H50" s="17"/>
      <c r="I50" s="18"/>
      <c r="J50" s="19"/>
      <c r="K50" s="19"/>
      <c r="L50" s="20"/>
      <c r="M50" s="21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8"/>
      <c r="C51" s="1"/>
      <c r="D51" s="23"/>
      <c r="E51" s="17"/>
      <c r="F51" s="17"/>
      <c r="G51" s="18"/>
      <c r="H51" s="17"/>
      <c r="I51" s="18"/>
      <c r="J51" s="19"/>
      <c r="K51" s="19"/>
      <c r="L51" s="20"/>
      <c r="M51" s="21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8"/>
      <c r="C52" s="1"/>
      <c r="D52" s="23"/>
      <c r="E52" s="17"/>
      <c r="F52" s="17"/>
      <c r="G52" s="17"/>
      <c r="H52" s="17"/>
      <c r="I52" s="18"/>
      <c r="J52" s="19"/>
      <c r="K52" s="19"/>
      <c r="L52" s="20"/>
      <c r="M52" s="21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8"/>
      <c r="C53" s="1"/>
      <c r="D53" s="23"/>
      <c r="E53" s="17"/>
      <c r="F53" s="17"/>
      <c r="G53" s="17"/>
      <c r="H53" s="17"/>
      <c r="I53" s="18"/>
      <c r="J53" s="19"/>
      <c r="K53" s="19"/>
      <c r="L53" s="20"/>
      <c r="M53" s="21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8"/>
      <c r="C54" s="1"/>
      <c r="D54" s="23"/>
      <c r="E54" s="17"/>
      <c r="F54" s="17"/>
      <c r="G54" s="17"/>
      <c r="H54" s="17"/>
      <c r="I54" s="18"/>
      <c r="J54" s="19"/>
      <c r="K54" s="19"/>
      <c r="L54" s="20"/>
      <c r="M54" s="2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8"/>
      <c r="C55" s="1"/>
      <c r="D55" s="23"/>
      <c r="E55" s="17"/>
      <c r="F55" s="17"/>
      <c r="G55" s="18"/>
      <c r="H55" s="17"/>
      <c r="I55" s="18"/>
      <c r="J55" s="19"/>
      <c r="K55" s="19"/>
      <c r="L55" s="20"/>
      <c r="M55" s="21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8"/>
      <c r="C56" s="1"/>
      <c r="D56" s="23"/>
      <c r="E56" s="17"/>
      <c r="F56" s="17"/>
      <c r="G56" s="17"/>
      <c r="H56" s="17"/>
      <c r="I56" s="18"/>
      <c r="J56" s="19"/>
      <c r="K56" s="19"/>
      <c r="L56" s="20"/>
      <c r="M56" s="2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8"/>
      <c r="C57" s="1"/>
      <c r="D57" s="23"/>
      <c r="E57" s="17"/>
      <c r="F57" s="17"/>
      <c r="G57" s="17"/>
      <c r="H57" s="17"/>
      <c r="I57" s="18"/>
      <c r="J57" s="19"/>
      <c r="K57" s="19"/>
      <c r="L57" s="20"/>
      <c r="M57" s="2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8"/>
      <c r="C58" s="1"/>
      <c r="D58" s="23"/>
      <c r="E58" s="17"/>
      <c r="F58" s="17"/>
      <c r="G58" s="17"/>
      <c r="H58" s="17"/>
      <c r="I58" s="18"/>
      <c r="J58" s="19"/>
      <c r="K58" s="19"/>
      <c r="L58" s="20"/>
      <c r="M58" s="21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8"/>
      <c r="C59" s="1"/>
      <c r="D59" s="23"/>
      <c r="E59" s="17"/>
      <c r="F59" s="17"/>
      <c r="G59" s="17"/>
      <c r="H59" s="17"/>
      <c r="I59" s="18"/>
      <c r="J59" s="19"/>
      <c r="K59" s="19"/>
      <c r="L59" s="20"/>
      <c r="M59" s="21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8"/>
      <c r="C60" s="1"/>
      <c r="D60" s="23"/>
      <c r="E60" s="17"/>
      <c r="F60" s="17"/>
      <c r="G60" s="17"/>
      <c r="H60" s="17"/>
      <c r="I60" s="18"/>
      <c r="J60" s="19"/>
      <c r="K60" s="19"/>
      <c r="L60" s="20"/>
      <c r="M60" s="21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8"/>
      <c r="C61" s="1"/>
      <c r="D61" s="23"/>
      <c r="E61" s="17"/>
      <c r="F61" s="17"/>
      <c r="G61" s="17"/>
      <c r="H61" s="17"/>
      <c r="I61" s="18"/>
      <c r="J61" s="19"/>
      <c r="K61" s="19"/>
      <c r="L61" s="20"/>
      <c r="M61" s="2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8"/>
      <c r="C62" s="1"/>
      <c r="D62" s="23"/>
      <c r="E62" s="17"/>
      <c r="F62" s="17"/>
      <c r="G62" s="17"/>
      <c r="H62" s="17"/>
      <c r="I62" s="18"/>
      <c r="J62" s="19"/>
      <c r="K62" s="19"/>
      <c r="L62" s="20"/>
      <c r="M62" s="21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8"/>
      <c r="C63" s="1"/>
      <c r="D63" s="23"/>
      <c r="E63" s="17"/>
      <c r="F63" s="17"/>
      <c r="G63" s="17"/>
      <c r="H63" s="17"/>
      <c r="I63" s="18"/>
      <c r="J63" s="19"/>
      <c r="K63" s="19"/>
      <c r="L63" s="20"/>
      <c r="M63" s="2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 t="s">
        <v>71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2">
    <mergeCell ref="D6:G6"/>
    <mergeCell ref="H6:N6"/>
  </mergeCells>
  <conditionalFormatting sqref="J8:K63">
    <cfRule type="cellIs" dxfId="0" priority="1" operator="greaterThan">
      <formula>0</formula>
    </cfRule>
  </conditionalFormatting>
  <conditionalFormatting sqref="J8:K63">
    <cfRule type="cellIs" dxfId="1" priority="2" operator="lessThan">
      <formula>0</formula>
    </cfRule>
  </conditionalFormatting>
  <conditionalFormatting sqref="L8:L63">
    <cfRule type="cellIs" dxfId="1" priority="3" operator="less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SUM(H10:H24)</f>
        <v>29094.63211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S6" s="1"/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COUNT(D10:D24)</f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36" t="s">
        <v>91</v>
      </c>
      <c r="K9" s="37" t="s">
        <v>92</v>
      </c>
      <c r="L9" s="37" t="s">
        <v>75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Available"")"),"Apple Inc")</f>
        <v>Apple Inc</v>
      </c>
      <c r="C10" s="1" t="s">
        <v>18</v>
      </c>
      <c r="D10" s="23">
        <v>20.748</v>
      </c>
      <c r="E10" s="17">
        <v>65.75718</v>
      </c>
      <c r="F10" s="38">
        <v>1364.33</v>
      </c>
      <c r="G10" s="17">
        <f>IFERROR(__xludf.DUMMYFUNCTION("IFERROR(GOOGLEFINANCE(C10,""price""),""Not Available)"")"),170.73)</f>
        <v>170.73</v>
      </c>
      <c r="H10" s="18">
        <f t="shared" ref="H10:H24" si="1">G10*D10</f>
        <v>3542.30604</v>
      </c>
      <c r="I10" s="19">
        <f t="shared" ref="I10:I24" si="2">G10/E10-1</f>
        <v>1.596370465</v>
      </c>
      <c r="J10" s="19">
        <f>IFERROR(__xludf.DUMMYFUNCTION("(G10-INDEX(GOOGLEFINANCE(C10,""price"",TODAY()-7),2,2))/(INDEX(GOOGLEFINANCE(C10,""price"",TODAY()-7),2,2))"),-0.024957167332952626)</f>
        <v>-0.02495716733</v>
      </c>
      <c r="K10" s="7">
        <f>IFERROR(__xludf.DUMMYFUNCTION("IFERROR((G10-INDEX(GOOGLEFINANCE(C10,""price"",TODAY()-365),2,2))/(INDEX(GOOGLEFINANCE(C10,""price"",TODAY()-365),2,2)),""Not Available"")"),0.13464477969030367)</f>
        <v>0.1346447797</v>
      </c>
      <c r="L10" s="7">
        <f>IFERROR(__xludf.DUMMYFUNCTION("IFERROR((G10-INDEX(GOOGLEFINANCE(C10,""price"",$R$6),2,2))/(INDEX(GOOGLEFINANCE(C10,""price"",$R$6),2,2)),""Not Available"")"),0.3650755576876949)</f>
        <v>0.3650755577</v>
      </c>
      <c r="M10" s="20">
        <f t="shared" ref="M10:M24" si="3">H10-F10</f>
        <v>2177.97604</v>
      </c>
      <c r="N10" s="21">
        <f>IFERROR(__xludf.DUMMYFUNCTION("IFERROR(GOOGLEFINANCE(C10,""pe""),""Not Available"")"),26.56)</f>
        <v>26.56</v>
      </c>
      <c r="O10" s="7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8" t="str">
        <f>IFERROR(__xludf.DUMMYFUNCTION("IFERROR(GOOGLEFINANCE(C11,""name""),""Not Available"")"),"Activision Blizzard Ord Shs")</f>
        <v>Activision Blizzard Ord Shs</v>
      </c>
      <c r="C11" s="1" t="s">
        <v>93</v>
      </c>
      <c r="D11" s="23">
        <v>31.595</v>
      </c>
      <c r="E11" s="17">
        <v>37.19734</v>
      </c>
      <c r="F11" s="38">
        <v>1175.25</v>
      </c>
      <c r="G11" s="17">
        <f>IFERROR(__xludf.DUMMYFUNCTION("IFERROR(GOOGLEFINANCE(C11,""price""),""Not Available)"")"),0.0)</f>
        <v>0</v>
      </c>
      <c r="H11" s="18">
        <f t="shared" si="1"/>
        <v>0</v>
      </c>
      <c r="I11" s="19">
        <f t="shared" si="2"/>
        <v>-1</v>
      </c>
      <c r="J11" s="19" t="str">
        <f>IFERROR(__xludf.DUMMYFUNCTION("(G11-INDEX(GOOGLEFINANCE(C11,""price"",TODAY()-7),2,2))/(INDEX(GOOGLEFINANCE(C11,""price"",TODAY()-7),2,2))"),"#N/A")</f>
        <v>#N/A</v>
      </c>
      <c r="K11" s="7" t="str">
        <f>IFERROR(__xludf.DUMMYFUNCTION("IFERROR((G11-INDEX(GOOGLEFINANCE(C11,""price"",TODAY()-365),2,2))/(INDEX(GOOGLEFINANCE(C11,""price"",TODAY()-365),2,2)),""Not Available"")"),"Not Available")</f>
        <v>Not Available</v>
      </c>
      <c r="L11" s="7" t="str">
        <f>IFERROR(__xludf.DUMMYFUNCTION("IFERROR((G11-INDEX(GOOGLEFINANCE(C11,""price"",$R$6),2,2))/(INDEX(GOOGLEFINANCE(C11,""price"",$R$6),2,2)),""Not Available"")"),"Not Available")</f>
        <v>Not Available</v>
      </c>
      <c r="M11" s="20">
        <f t="shared" si="3"/>
        <v>-1175.25</v>
      </c>
      <c r="N11" s="21" t="str">
        <f>IFERROR(__xludf.DUMMYFUNCTION("IFERROR(GOOGLEFINANCE(C11,""pe""),""Not Available"")"),"Not Available")</f>
        <v>Not Available</v>
      </c>
      <c r="O11" s="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Available"")"),"Dell Technologies Inc")</f>
        <v>Dell Technologies Inc</v>
      </c>
      <c r="C12" s="1" t="s">
        <v>30</v>
      </c>
      <c r="D12" s="23">
        <v>31.108</v>
      </c>
      <c r="E12" s="17">
        <v>20.668</v>
      </c>
      <c r="F12" s="39">
        <v>642.94</v>
      </c>
      <c r="G12" s="17">
        <f>IFERROR(__xludf.DUMMYFUNCTION("IFERROR(GOOGLEFINANCE(C12,""price""),""Not Available)"")"),116.25)</f>
        <v>116.25</v>
      </c>
      <c r="H12" s="18">
        <f t="shared" si="1"/>
        <v>3616.305</v>
      </c>
      <c r="I12" s="19">
        <f t="shared" si="2"/>
        <v>4.62463712</v>
      </c>
      <c r="J12" s="19">
        <f>IFERROR(__xludf.DUMMYFUNCTION("(G12-INDEX(GOOGLEFINANCE(C12,""price"",TODAY()-7),2,2))/(INDEX(GOOGLEFINANCE(C12,""price"",TODAY()-7),2,2))"),-0.045409755296436205)</f>
        <v>-0.0454097553</v>
      </c>
      <c r="K12" s="7">
        <f>IFERROR(__xludf.DUMMYFUNCTION("IFERROR((G12-INDEX(GOOGLEFINANCE(C12,""price"",TODAY()-365),2,2))/(INDEX(GOOGLEFINANCE(C12,""price"",TODAY()-365),2,2)),""Not Available"")"),2.1788351107465136)</f>
        <v>2.178835111</v>
      </c>
      <c r="L12" s="7">
        <f>IFERROR(__xludf.DUMMYFUNCTION("IFERROR((G12-INDEX(GOOGLEFINANCE(C12,""price"",$R$6),2,2))/(INDEX(GOOGLEFINANCE(C12,""price"",$R$6),2,2)),""Not Available"")"),1.8422982885085575)</f>
        <v>1.842298289</v>
      </c>
      <c r="M12" s="20">
        <f t="shared" si="3"/>
        <v>2973.365</v>
      </c>
      <c r="N12" s="21">
        <f>IFERROR(__xludf.DUMMYFUNCTION("IFERROR(GOOGLEFINANCE(C12,""pe""),""Not Available"")"),0.0)</f>
        <v>0</v>
      </c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 t="str">
        <f>IFERROR(__xludf.DUMMYFUNCTION("IFERROR(GOOGLEFINANCE(C13,""name""),""Not Available"")"),"Walt Disney Co")</f>
        <v>Walt Disney Co</v>
      </c>
      <c r="C13" s="1" t="s">
        <v>31</v>
      </c>
      <c r="D13" s="23">
        <v>12.44</v>
      </c>
      <c r="E13" s="17">
        <v>114.22106</v>
      </c>
      <c r="F13" s="38">
        <v>1420.91</v>
      </c>
      <c r="G13" s="17">
        <f>IFERROR(__xludf.DUMMYFUNCTION("IFERROR(GOOGLEFINANCE(C13,""price""),""Not Available)"")"),110.32)</f>
        <v>110.32</v>
      </c>
      <c r="H13" s="18">
        <f t="shared" si="1"/>
        <v>1372.3808</v>
      </c>
      <c r="I13" s="19">
        <f t="shared" si="2"/>
        <v>-0.03415359654</v>
      </c>
      <c r="J13" s="19">
        <f>IFERROR(__xludf.DUMMYFUNCTION("(G13-INDEX(GOOGLEFINANCE(C13,""price"",TODAY()-7),2,2))/(INDEX(GOOGLEFINANCE(C13,""price"",TODAY()-7),2,2))"),-0.029642008971765367)</f>
        <v>-0.02964200897</v>
      </c>
      <c r="K13" s="7">
        <f>IFERROR(__xludf.DUMMYFUNCTION("IFERROR((G13-INDEX(GOOGLEFINANCE(C13,""price"",TODAY()-365),2,2))/(INDEX(GOOGLEFINANCE(C13,""price"",TODAY()-365),2,2)),""Not Available"")"),0.1913606911447084)</f>
        <v>0.1913606911</v>
      </c>
      <c r="L13" s="7">
        <f>IFERROR(__xludf.DUMMYFUNCTION("IFERROR((G13-INDEX(GOOGLEFINANCE(C13,""price"",$R$6),2,2))/(INDEX(GOOGLEFINANCE(C13,""price"",$R$6),2,2)),""Not Available"")"),0.23996852871754518)</f>
        <v>0.2399685287</v>
      </c>
      <c r="M13" s="20">
        <f t="shared" si="3"/>
        <v>-48.5292</v>
      </c>
      <c r="N13" s="21">
        <f>IFERROR(__xludf.DUMMYFUNCTION("IFERROR(GOOGLEFINANCE(C13,""pe""),""Not Available"")"),67.76)</f>
        <v>67.76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tr">
        <f>IFERROR(__xludf.DUMMYFUNCTION("IFERROR(GOOGLEFINANCE(C14,""name""),""Not Available"")"),"Fortinet Inc")</f>
        <v>Fortinet Inc</v>
      </c>
      <c r="C14" s="1" t="s">
        <v>39</v>
      </c>
      <c r="D14" s="23">
        <v>14.0</v>
      </c>
      <c r="E14" s="17">
        <v>38.00643</v>
      </c>
      <c r="F14" s="39">
        <v>532.09</v>
      </c>
      <c r="G14" s="17">
        <f>IFERROR(__xludf.DUMMYFUNCTION("IFERROR(GOOGLEFINANCE(C14,""price""),""Not Available)"")"),71.35)</f>
        <v>71.35</v>
      </c>
      <c r="H14" s="18">
        <f t="shared" si="1"/>
        <v>998.9</v>
      </c>
      <c r="I14" s="19">
        <f t="shared" si="2"/>
        <v>0.8773139177</v>
      </c>
      <c r="J14" s="19">
        <f>IFERROR(__xludf.DUMMYFUNCTION("(G14-INDEX(GOOGLEFINANCE(C14,""price"",TODAY()-7),2,2))/(INDEX(GOOGLEFINANCE(C14,""price"",TODAY()-7),2,2))"),-5.60302563384315E-4)</f>
        <v>-0.0005603025634</v>
      </c>
      <c r="K14" s="7">
        <f>IFERROR(__xludf.DUMMYFUNCTION("IFERROR((G14-INDEX(GOOGLEFINANCE(C14,""price"",TODAY()-365),2,2))/(INDEX(GOOGLEFINANCE(C14,""price"",TODAY()-365),2,2)),""Not Available"")"),0.20381305888307727)</f>
        <v>0.2038130589</v>
      </c>
      <c r="L14" s="7">
        <f>IFERROR(__xludf.DUMMYFUNCTION("IFERROR((G14-INDEX(GOOGLEFINANCE(C14,""price"",$R$6),2,2))/(INDEX(GOOGLEFINANCE(C14,""price"",$R$6),2,2)),""Not Available"")"),0.47052761747732874)</f>
        <v>0.4705276175</v>
      </c>
      <c r="M14" s="20">
        <f t="shared" si="3"/>
        <v>466.81</v>
      </c>
      <c r="N14" s="21">
        <f>IFERROR(__xludf.DUMMYFUNCTION("IFERROR(GOOGLEFINANCE(C14,""pe""),""Not Available"")"),49.0)</f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 t="str">
        <f>IFERROR(__xludf.DUMMYFUNCTION("IFERROR(GOOGLEFINANCE(C15,""name""),""Not Available"")"),"Alphabet Inc Class C")</f>
        <v>Alphabet Inc Class C</v>
      </c>
      <c r="C15" s="1" t="s">
        <v>41</v>
      </c>
      <c r="D15" s="23">
        <v>19.0</v>
      </c>
      <c r="E15" s="17">
        <v>51.36632</v>
      </c>
      <c r="F15" s="39">
        <v>975.96</v>
      </c>
      <c r="G15" s="17">
        <f>IFERROR(__xludf.DUMMYFUNCTION("IFERROR(GOOGLEFINANCE(C15,""price""),""Not Available)"")"),136.29)</f>
        <v>136.29</v>
      </c>
      <c r="H15" s="18">
        <f t="shared" si="1"/>
        <v>2589.51</v>
      </c>
      <c r="I15" s="19">
        <f t="shared" si="2"/>
        <v>1.653295</v>
      </c>
      <c r="J15" s="19">
        <f>IFERROR(__xludf.DUMMYFUNCTION("(G15-INDEX(GOOGLEFINANCE(C15,""price"",TODAY()-7),2,2))/(INDEX(GOOGLEFINANCE(C15,""price"",TODAY()-7),2,2))"),0.015573770491803305)</f>
        <v>0.01557377049</v>
      </c>
      <c r="K15" s="7">
        <f>IFERROR(__xludf.DUMMYFUNCTION("IFERROR((G15-INDEX(GOOGLEFINANCE(C15,""price"",TODAY()-365),2,2))/(INDEX(GOOGLEFINANCE(C15,""price"",TODAY()-365),2,2)),""Not Available"")"),0.48690813877372896)</f>
        <v>0.4869081388</v>
      </c>
      <c r="L15" s="7">
        <f>IFERROR(__xludf.DUMMYFUNCTION("IFERROR((G15-INDEX(GOOGLEFINANCE(C15,""price"",$R$6),2,2))/(INDEX(GOOGLEFINANCE(C15,""price"",$R$6),2,2)),""Not Available"")"),0.5193979933110366)</f>
        <v>0.5193979933</v>
      </c>
      <c r="M15" s="20">
        <f t="shared" si="3"/>
        <v>1613.55</v>
      </c>
      <c r="N15" s="21">
        <f>IFERROR(__xludf.DUMMYFUNCTION("IFERROR(GOOGLEFINANCE(C15,""pe""),""Not Available"")"),25.12)</f>
        <v>25.12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8" t="str">
        <f>IFERROR(__xludf.DUMMYFUNCTION("IFERROR(GOOGLEFINANCE(C16,""name""),""Not Available"")"),"Jabil Inc")</f>
        <v>Jabil Inc</v>
      </c>
      <c r="C16" s="1" t="s">
        <v>45</v>
      </c>
      <c r="D16" s="23">
        <v>29.56</v>
      </c>
      <c r="E16" s="17">
        <v>38.22903</v>
      </c>
      <c r="F16" s="38">
        <v>1130.05</v>
      </c>
      <c r="G16" s="17">
        <f>IFERROR(__xludf.DUMMYFUNCTION("IFERROR(GOOGLEFINANCE(C16,""price""),""Not Available)"")"),151.24)</f>
        <v>151.24</v>
      </c>
      <c r="H16" s="18">
        <f t="shared" si="1"/>
        <v>4470.6544</v>
      </c>
      <c r="I16" s="19">
        <f t="shared" si="2"/>
        <v>2.956155832</v>
      </c>
      <c r="J16" s="19">
        <f>IFERROR(__xludf.DUMMYFUNCTION("(G16-INDEX(GOOGLEFINANCE(C16,""price"",TODAY()-7),2,2))/(INDEX(GOOGLEFINANCE(C16,""price"",TODAY()-7),2,2))"),0.017628852106042286)</f>
        <v>0.01762885211</v>
      </c>
      <c r="K16" s="7">
        <f>IFERROR(__xludf.DUMMYFUNCTION("IFERROR((G16-INDEX(GOOGLEFINANCE(C16,""price"",TODAY()-365),2,2))/(INDEX(GOOGLEFINANCE(C16,""price"",TODAY()-365),2,2)),""Not Available"")"),0.8591272280270439)</f>
        <v>0.859127228</v>
      </c>
      <c r="L16" s="7">
        <f>IFERROR(__xludf.DUMMYFUNCTION("IFERROR((G16-INDEX(GOOGLEFINANCE(C16,""price"",$R$6),2,2))/(INDEX(GOOGLEFINANCE(C16,""price"",$R$6),2,2)),""Not Available"")"),1.2512652575171181)</f>
        <v>1.251265258</v>
      </c>
      <c r="M16" s="20">
        <f t="shared" si="3"/>
        <v>3340.6044</v>
      </c>
      <c r="N16" s="21">
        <f>IFERROR(__xludf.DUMMYFUNCTION("IFERROR(GOOGLEFINANCE(C16,""pe""),""Not Available"")"),25.79)</f>
        <v>25.79</v>
      </c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 t="str">
        <f>IFERROR(__xludf.DUMMYFUNCTION("IFERROR(GOOGLEFINANCE(C17,""name""),""Not Available"")"),"LendingClub Corp")</f>
        <v>LendingClub Corp</v>
      </c>
      <c r="C17" s="1" t="s">
        <v>47</v>
      </c>
      <c r="D17" s="23">
        <v>54.0</v>
      </c>
      <c r="E17" s="17">
        <v>16.35574</v>
      </c>
      <c r="F17" s="39">
        <v>883.21</v>
      </c>
      <c r="G17" s="17">
        <f>IFERROR(__xludf.DUMMYFUNCTION("IFERROR(GOOGLEFINANCE(C17,""price""),""Not Available)"")"),8.07)</f>
        <v>8.07</v>
      </c>
      <c r="H17" s="18">
        <f t="shared" si="1"/>
        <v>435.78</v>
      </c>
      <c r="I17" s="19">
        <f t="shared" si="2"/>
        <v>-0.5065952381</v>
      </c>
      <c r="J17" s="19">
        <f>IFERROR(__xludf.DUMMYFUNCTION("(G17-INDEX(GOOGLEFINANCE(C17,""price"",TODAY()-7),2,2))/(INDEX(GOOGLEFINANCE(C17,""price"",TODAY()-7),2,2))"),0.0037313432835822313)</f>
        <v>0.003731343284</v>
      </c>
      <c r="K17" s="7">
        <f>IFERROR(__xludf.DUMMYFUNCTION("IFERROR((G17-INDEX(GOOGLEFINANCE(C17,""price"",TODAY()-365),2,2))/(INDEX(GOOGLEFINANCE(C17,""price"",TODAY()-365),2,2)),""Not Available"")"),0.10095497953615283)</f>
        <v>0.1009549795</v>
      </c>
      <c r="L17" s="7">
        <f>IFERROR(__xludf.DUMMYFUNCTION("IFERROR((G17-INDEX(GOOGLEFINANCE(C17,""price"",$R$6),2,2))/(INDEX(GOOGLEFINANCE(C17,""price"",$R$6),2,2)),""Not Available"")"),-0.046099290780141904)</f>
        <v>-0.04609929078</v>
      </c>
      <c r="M17" s="20">
        <f t="shared" si="3"/>
        <v>-447.43</v>
      </c>
      <c r="N17" s="21">
        <f>IFERROR(__xludf.DUMMYFUNCTION("IFERROR(GOOGLEFINANCE(C17,""pe""),""Not Available"")"),22.48)</f>
        <v>22.48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8" t="str">
        <f>IFERROR(__xludf.DUMMYFUNCTION("IFERROR(GOOGLEFINANCE(C18,""name""),""Not Available"")"),"Meta Platforms Inc")</f>
        <v>Meta Platforms Inc</v>
      </c>
      <c r="C18" s="1" t="s">
        <v>51</v>
      </c>
      <c r="D18" s="23">
        <v>11.0</v>
      </c>
      <c r="E18" s="17">
        <v>157.77455</v>
      </c>
      <c r="F18" s="38">
        <v>1735.52</v>
      </c>
      <c r="G18" s="17">
        <f>IFERROR(__xludf.DUMMYFUNCTION("IFERROR(GOOGLEFINANCE(C18,""price""),""Not Available)"")"),505.95)</f>
        <v>505.95</v>
      </c>
      <c r="H18" s="18">
        <f t="shared" si="1"/>
        <v>5565.45</v>
      </c>
      <c r="I18" s="19">
        <f t="shared" si="2"/>
        <v>2.206790956</v>
      </c>
      <c r="J18" s="19">
        <f>IFERROR(__xludf.DUMMYFUNCTION("(G18-INDEX(GOOGLEFINANCE(C18,""price"",TODAY()-7),2,2))/(INDEX(GOOGLEFINANCE(C18,""price"",TODAY()-7),2,2))"),0.015576386519199485)</f>
        <v>0.01557638652</v>
      </c>
      <c r="K18" s="7">
        <f>IFERROR(__xludf.DUMMYFUNCTION("IFERROR((G18-INDEX(GOOGLEFINANCE(C18,""price"",TODAY()-365),2,2))/(INDEX(GOOGLEFINANCE(C18,""price"",TODAY()-365),2,2)),""Not Available"")"),1.7968490878938637)</f>
        <v>1.796849088</v>
      </c>
      <c r="L18" s="7">
        <f>IFERROR(__xludf.DUMMYFUNCTION("IFERROR((G18-INDEX(GOOGLEFINANCE(C18,""price"",$R$6),2,2))/(INDEX(GOOGLEFINANCE(C18,""price"",$R$6),2,2)),""Not Available"")"),3.056036556036556)</f>
        <v>3.056036556</v>
      </c>
      <c r="M18" s="20">
        <f t="shared" si="3"/>
        <v>3829.93</v>
      </c>
      <c r="N18" s="21">
        <f>IFERROR(__xludf.DUMMYFUNCTION("IFERROR(GOOGLEFINANCE(C18,""pe""),""Not Available"")"),33.06)</f>
        <v>33.06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8" t="str">
        <f>IFERROR(__xludf.DUMMYFUNCTION("IFERROR(GOOGLEFINANCE(C19,""name""),""Not Available"")"),"Netflix Inc")</f>
        <v>Netflix Inc</v>
      </c>
      <c r="C19" s="1" t="s">
        <v>56</v>
      </c>
      <c r="D19" s="23">
        <v>2.0</v>
      </c>
      <c r="E19" s="17">
        <v>338.735</v>
      </c>
      <c r="F19" s="39">
        <v>677.47</v>
      </c>
      <c r="G19" s="17">
        <f>IFERROR(__xludf.DUMMYFUNCTION("IFERROR(GOOGLEFINANCE(C19,""price""),""Not Available)"")"),604.82)</f>
        <v>604.82</v>
      </c>
      <c r="H19" s="18">
        <f t="shared" si="1"/>
        <v>1209.64</v>
      </c>
      <c r="I19" s="19">
        <f t="shared" si="2"/>
        <v>0.7855255583</v>
      </c>
      <c r="J19" s="19">
        <f>IFERROR(__xludf.DUMMYFUNCTION("(G19-INDEX(GOOGLEFINANCE(C19,""price"",TODAY()-7),2,2))/(INDEX(GOOGLEFINANCE(C19,""price"",TODAY()-7),2,2))"),-0.017878310572722975)</f>
        <v>-0.01787831057</v>
      </c>
      <c r="K19" s="7">
        <f>IFERROR(__xludf.DUMMYFUNCTION("IFERROR((G19-INDEX(GOOGLEFINANCE(C19,""price"",TODAY()-365),2,2))/(INDEX(GOOGLEFINANCE(C19,""price"",TODAY()-365),2,2)),""Not Available"")"),1.0606452931757013)</f>
        <v>1.060645293</v>
      </c>
      <c r="L19" s="7">
        <f>IFERROR(__xludf.DUMMYFUNCTION("IFERROR((G19-INDEX(GOOGLEFINANCE(C19,""price"",$R$6),2,2))/(INDEX(GOOGLEFINANCE(C19,""price"",$R$6),2,2)),""Not Available"")"),1.0505848448889645)</f>
        <v>1.050584845</v>
      </c>
      <c r="M19" s="20">
        <f t="shared" si="3"/>
        <v>532.17</v>
      </c>
      <c r="N19" s="21">
        <f>IFERROR(__xludf.DUMMYFUNCTION("IFERROR(GOOGLEFINANCE(C19,""pe""),""Not Available"")"),50.27)</f>
        <v>50.27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8" t="str">
        <f>IFERROR(__xludf.DUMMYFUNCTION("IFERROR(GOOGLEFINANCE(C20,""name""),""Not Available"")"),"Oracle Corp")</f>
        <v>Oracle Corp</v>
      </c>
      <c r="C20" s="1" t="s">
        <v>59</v>
      </c>
      <c r="D20" s="23">
        <v>26.53</v>
      </c>
      <c r="E20" s="17">
        <v>48.95552</v>
      </c>
      <c r="F20" s="38">
        <v>1298.79</v>
      </c>
      <c r="G20" s="17">
        <f>IFERROR(__xludf.DUMMYFUNCTION("IFERROR(GOOGLEFINANCE(C20,""price""),""Not Available)"")"),112.42)</f>
        <v>112.42</v>
      </c>
      <c r="H20" s="18">
        <f t="shared" si="1"/>
        <v>2982.5026</v>
      </c>
      <c r="I20" s="19">
        <f t="shared" si="2"/>
        <v>1.296370256</v>
      </c>
      <c r="J20" s="19">
        <f>IFERROR(__xludf.DUMMYFUNCTION("(G20-INDEX(GOOGLEFINANCE(C20,""price"",TODAY()-7),2,2))/(INDEX(GOOGLEFINANCE(C20,""price"",TODAY()-7),2,2))"),-0.014378397334736108)</f>
        <v>-0.01437839733</v>
      </c>
      <c r="K20" s="7">
        <f>IFERROR(__xludf.DUMMYFUNCTION("IFERROR((G20-INDEX(GOOGLEFINANCE(C20,""price"",TODAY()-365),2,2))/(INDEX(GOOGLEFINANCE(C20,""price"",TODAY()-365),2,2)),""Not Available"")"),0.32367832332509117)</f>
        <v>0.3236783233</v>
      </c>
      <c r="L20" s="7">
        <f>IFERROR(__xludf.DUMMYFUNCTION("IFERROR((G20-INDEX(GOOGLEFINANCE(C20,""price"",$R$6),2,2))/(INDEX(GOOGLEFINANCE(C20,""price"",$R$6),2,2)),""Not Available"")"),0.34280936454849503)</f>
        <v>0.3428093645</v>
      </c>
      <c r="M20" s="20">
        <f t="shared" si="3"/>
        <v>1683.7126</v>
      </c>
      <c r="N20" s="21">
        <f>IFERROR(__xludf.DUMMYFUNCTION("IFERROR(GOOGLEFINANCE(C20,""pe""),""Not Available"")"),31.08)</f>
        <v>31.08</v>
      </c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8" t="str">
        <f>IFERROR(__xludf.DUMMYFUNCTION("IFERROR(GOOGLEFINANCE(C21,""name""),""Not Available"")"),"PayPal Holdings Inc")</f>
        <v>PayPal Holdings Inc</v>
      </c>
      <c r="C21" s="1" t="s">
        <v>62</v>
      </c>
      <c r="D21" s="23">
        <v>11.0</v>
      </c>
      <c r="E21" s="17">
        <v>47.71273</v>
      </c>
      <c r="F21" s="39">
        <v>524.84</v>
      </c>
      <c r="G21" s="17">
        <f>IFERROR(__xludf.DUMMYFUNCTION("IFERROR(GOOGLEFINANCE(C21,""price""),""Not Available)"")"),59.01)</f>
        <v>59.01</v>
      </c>
      <c r="H21" s="18">
        <f t="shared" si="1"/>
        <v>649.11</v>
      </c>
      <c r="I21" s="19">
        <f t="shared" si="2"/>
        <v>0.2367768518</v>
      </c>
      <c r="J21" s="19">
        <f>IFERROR(__xludf.DUMMYFUNCTION("(G21-INDEX(GOOGLEFINANCE(C21,""price"",TODAY()-7),2,2))/(INDEX(GOOGLEFINANCE(C21,""price"",TODAY()-7),2,2))"),-0.016172057352450798)</f>
        <v>-0.01617205735</v>
      </c>
      <c r="K21" s="7">
        <f>IFERROR(__xludf.DUMMYFUNCTION("IFERROR((G21-INDEX(GOOGLEFINANCE(C21,""price"",TODAY()-365),2,2))/(INDEX(GOOGLEFINANCE(C21,""price"",TODAY()-365),2,2)),""Not Available"")"),-0.1873020245145297)</f>
        <v>-0.1873020245</v>
      </c>
      <c r="L21" s="7">
        <f>IFERROR(__xludf.DUMMYFUNCTION("IFERROR((G21-INDEX(GOOGLEFINANCE(C21,""price"",$R$6),2,2))/(INDEX(GOOGLEFINANCE(C21,""price"",$R$6),2,2)),""Not Available"")"),-0.20876910699919551)</f>
        <v>-0.208769107</v>
      </c>
      <c r="M21" s="20">
        <f t="shared" si="3"/>
        <v>124.27</v>
      </c>
      <c r="N21" s="21">
        <f>IFERROR(__xludf.DUMMYFUNCTION("IFERROR(GOOGLEFINANCE(C21,""pe""),""Not Available"")"),15.38)</f>
        <v>15.38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8" t="str">
        <f>IFERROR(__xludf.DUMMYFUNCTION("IFERROR(GOOGLEFINANCE(C22,""name""),""Not Available"")"),"Qualcomm Inc")</f>
        <v>Qualcomm Inc</v>
      </c>
      <c r="C22" s="1" t="s">
        <v>63</v>
      </c>
      <c r="D22" s="23">
        <v>9.111</v>
      </c>
      <c r="E22" s="17">
        <v>122.216</v>
      </c>
      <c r="F22" s="38">
        <v>1113.51</v>
      </c>
      <c r="G22" s="17">
        <f>IFERROR(__xludf.DUMMYFUNCTION("IFERROR(GOOGLEFINANCE(C22,""price""),""Not Available)"")"),170.57)</f>
        <v>170.57</v>
      </c>
      <c r="H22" s="18">
        <f t="shared" si="1"/>
        <v>1554.06327</v>
      </c>
      <c r="I22" s="19">
        <f t="shared" si="2"/>
        <v>0.3956437782</v>
      </c>
      <c r="J22" s="19">
        <f>IFERROR(__xludf.DUMMYFUNCTION("(G22-INDEX(GOOGLEFINANCE(C22,""price"",TODAY()-7),2,2))/(INDEX(GOOGLEFINANCE(C22,""price"",TODAY()-7),2,2))"),0.02407540826128717)</f>
        <v>0.02407540826</v>
      </c>
      <c r="K22" s="7">
        <f>IFERROR(__xludf.DUMMYFUNCTION("IFERROR((G22-INDEX(GOOGLEFINANCE(C22,""price"",TODAY()-365),2,2))/(INDEX(GOOGLEFINANCE(C22,""price"",TODAY()-365),2,2)),""Not Available"")"),0.4906056104168486)</f>
        <v>0.4906056104</v>
      </c>
      <c r="L22" s="7">
        <f>IFERROR(__xludf.DUMMYFUNCTION("IFERROR((G22-INDEX(GOOGLEFINANCE(C22,""price"",$R$6),2,2))/(INDEX(GOOGLEFINANCE(C22,""price"",$R$6),2,2)),""Not Available"")"),0.5911380597014925)</f>
        <v>0.5911380597</v>
      </c>
      <c r="M22" s="20">
        <f t="shared" si="3"/>
        <v>440.55327</v>
      </c>
      <c r="N22" s="21">
        <f>IFERROR(__xludf.DUMMYFUNCTION("IFERROR(GOOGLEFINANCE(C22,""pe""),""Not Available"")"),24.72)</f>
        <v>24.72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8" t="str">
        <f>IFERROR(__xludf.DUMMYFUNCTION("IFERROR(GOOGLEFINANCE(C23,""name""),""Not Available"")"),"RingCentral Inc")</f>
        <v>RingCentral Inc</v>
      </c>
      <c r="C23" s="1" t="s">
        <v>64</v>
      </c>
      <c r="D23" s="23">
        <v>3.0</v>
      </c>
      <c r="E23" s="17">
        <v>236.77</v>
      </c>
      <c r="F23" s="39">
        <v>710.31</v>
      </c>
      <c r="G23" s="17">
        <f>IFERROR(__xludf.DUMMYFUNCTION("IFERROR(GOOGLEFINANCE(C23,""price""),""Not Available)"")"),36.01)</f>
        <v>36.01</v>
      </c>
      <c r="H23" s="18">
        <f t="shared" si="1"/>
        <v>108.03</v>
      </c>
      <c r="I23" s="19">
        <f t="shared" si="2"/>
        <v>-0.8479114753</v>
      </c>
      <c r="J23" s="19">
        <f>IFERROR(__xludf.DUMMYFUNCTION("(G23-INDEX(GOOGLEFINANCE(C23,""price"",TODAY()-7),2,2))/(INDEX(GOOGLEFINANCE(C23,""price"",TODAY()-7),2,2))"),0.08105673971780233)</f>
        <v>0.08105673972</v>
      </c>
      <c r="K23" s="7">
        <f>IFERROR(__xludf.DUMMYFUNCTION("IFERROR((G23-INDEX(GOOGLEFINANCE(C23,""price"",TODAY()-365),2,2))/(INDEX(GOOGLEFINANCE(C23,""price"",TODAY()-365),2,2)),""Not Available"")"),0.14462809917355363)</f>
        <v>0.1446280992</v>
      </c>
      <c r="L23" s="7">
        <f>IFERROR(__xludf.DUMMYFUNCTION("IFERROR((G23-INDEX(GOOGLEFINANCE(C23,""price"",$R$6),2,2))/(INDEX(GOOGLEFINANCE(C23,""price"",$R$6),2,2)),""Not Available"")"),0.04135338345864661)</f>
        <v>0.04135338346</v>
      </c>
      <c r="M23" s="20">
        <f t="shared" si="3"/>
        <v>-602.28</v>
      </c>
      <c r="N23" s="21" t="str">
        <f>IFERROR(__xludf.DUMMYFUNCTION("IFERROR(GOOGLEFINANCE(C23,""pe""),""Not Available"")"),"Not Available")</f>
        <v>Not Available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8" t="str">
        <f>IFERROR(__xludf.DUMMYFUNCTION("IFERROR(GOOGLEFINANCE(C24,""name""),""Not Available"")"),"VMware Class A Ord Shs")</f>
        <v>VMware Class A Ord Shs</v>
      </c>
      <c r="C24" s="1" t="s">
        <v>94</v>
      </c>
      <c r="D24" s="23">
        <v>11.0</v>
      </c>
      <c r="E24" s="17">
        <v>46.92182</v>
      </c>
      <c r="F24" s="39">
        <v>516.14</v>
      </c>
      <c r="G24" s="17">
        <f>IFERROR(__xludf.DUMMYFUNCTION("IFERROR(GOOGLEFINANCE(C24,""price""),""Not Available)"")"),0.0)</f>
        <v>0</v>
      </c>
      <c r="H24" s="18">
        <f t="shared" si="1"/>
        <v>0</v>
      </c>
      <c r="I24" s="19">
        <f t="shared" si="2"/>
        <v>-1</v>
      </c>
      <c r="J24" s="19" t="str">
        <f>IFERROR(__xludf.DUMMYFUNCTION("(G24-INDEX(GOOGLEFINANCE(C24,""price"",TODAY()-7),2,2))/(INDEX(GOOGLEFINANCE(C24,""price"",TODAY()-7),2,2))"),"#N/A")</f>
        <v>#N/A</v>
      </c>
      <c r="K24" s="7" t="str">
        <f>IFERROR(__xludf.DUMMYFUNCTION("IFERROR((G24-INDEX(GOOGLEFINANCE(C24,""price"",TODAY()-365),2,2))/(INDEX(GOOGLEFINANCE(C24,""price"",TODAY()-365),2,2)),""Not Available"")"),"Not Available")</f>
        <v>Not Available</v>
      </c>
      <c r="L24" s="7" t="str">
        <f>IFERROR(__xludf.DUMMYFUNCTION("IFERROR((G24-INDEX(GOOGLEFINANCE(C24,""price"",$R$6),2,2))/(INDEX(GOOGLEFINANCE(C24,""price"",$R$6),2,2)),""Not Available"")"),"Not Available")</f>
        <v>Not Available</v>
      </c>
      <c r="M24" s="20">
        <f t="shared" si="3"/>
        <v>-516.14</v>
      </c>
      <c r="N24" s="21" t="str">
        <f>IFERROR(__xludf.DUMMYFUNCTION("IFERROR(GOOGLEFINANCE(C24,""pe""),""Not Available"")"),"Not Available")</f>
        <v>Not Available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8" t="s">
        <v>95</v>
      </c>
      <c r="C26" s="8"/>
      <c r="D26" s="8"/>
      <c r="E26" s="8"/>
      <c r="F26" s="40">
        <f>SUM(F10:F24)</f>
        <v>14701.32</v>
      </c>
      <c r="G26" s="8"/>
      <c r="H26" s="40">
        <f>SUM(H10:H24)</f>
        <v>29094.63211</v>
      </c>
      <c r="I26" s="8"/>
      <c r="J26" s="8"/>
      <c r="K26" s="8"/>
      <c r="L26" s="8"/>
      <c r="M26" s="41">
        <f>SUM(M10:M24)</f>
        <v>14393.31211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</sheetData>
  <mergeCells count="2">
    <mergeCell ref="D8:F8"/>
    <mergeCell ref="G8:O8"/>
  </mergeCells>
  <conditionalFormatting sqref="I10:J24">
    <cfRule type="cellIs" dxfId="0" priority="1" operator="greaterThan">
      <formula>0</formula>
    </cfRule>
  </conditionalFormatting>
  <conditionalFormatting sqref="I10:J24">
    <cfRule type="cellIs" dxfId="1" priority="2" operator="lessThan">
      <formula>0</formula>
    </cfRule>
  </conditionalFormatting>
  <conditionalFormatting sqref="K10:M24">
    <cfRule type="cellIs" dxfId="1" priority="3" operator="lessThan">
      <formula>0</formula>
    </cfRule>
  </conditionalFormatting>
  <conditionalFormatting sqref="K10:L24">
    <cfRule type="cellIs" dxfId="0" priority="4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SUM(H10:H19)</f>
        <v>11487.20054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S6" s="1"/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COUNT(D10:D24)</f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37" t="s">
        <v>92</v>
      </c>
      <c r="L9" s="37" t="s">
        <v>75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Available"")"),"Archer-Daniels-Midland Co")</f>
        <v>Archer-Daniels-Midland Co</v>
      </c>
      <c r="C10" s="1" t="s">
        <v>20</v>
      </c>
      <c r="D10" s="23">
        <v>7.44</v>
      </c>
      <c r="E10" s="17">
        <v>66.70833</v>
      </c>
      <c r="F10" s="39">
        <v>496.31</v>
      </c>
      <c r="G10" s="17">
        <f>IFERROR(__xludf.DUMMYFUNCTION("IFERROR(GOOGLEFINANCE(C10,""price""),""Not Available)"")"),54.81)</f>
        <v>54.81</v>
      </c>
      <c r="H10" s="18">
        <f t="shared" ref="H10:H19" si="1">G10*D10</f>
        <v>407.7864</v>
      </c>
      <c r="I10" s="19">
        <f t="shared" ref="I10:I19" si="2">G10/E10-1</f>
        <v>-0.1783634817</v>
      </c>
      <c r="J10" s="19">
        <f>IFERROR(__xludf.DUMMYFUNCTION("(G10-INDEX(GOOGLEFINANCE(C10,""price"",TODAY()-7),2,2))/(INDEX(GOOGLEFINANCE(C10,""price"",TODAY()-7),2,2))"),0.029875986471251476)</f>
        <v>0.02987598647</v>
      </c>
      <c r="K10" s="7">
        <f>IFERROR(__xludf.DUMMYFUNCTION("IFERROR((G10-INDEX(GOOGLEFINANCE(C10,""price"",TODAY()-365),2,2))/(INDEX(GOOGLEFINANCE(C10,""price"",TODAY()-365),2,2)),""Not Available"")"),-0.29020979020979015)</f>
        <v>-0.2902097902</v>
      </c>
      <c r="L10" s="7">
        <f>IFERROR(__xludf.DUMMYFUNCTION("IFERROR((G10-INDEX(GOOGLEFINANCE(C10,""price"",$R$6),2,2))/(INDEX(GOOGLEFINANCE(C10,""price"",$R$6),2,2)),""Not Available"")"),-0.38862242052426105)</f>
        <v>-0.3886224205</v>
      </c>
      <c r="M10" s="20">
        <f t="shared" ref="M10:M19" si="3">H10-F10</f>
        <v>-88.5236</v>
      </c>
      <c r="N10" s="21">
        <f>IFERROR(__xludf.DUMMYFUNCTION("IFERROR(GOOGLEFINANCE(C10,""pe""),""Not Available"")"),7.63)</f>
        <v>7.63</v>
      </c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8" t="str">
        <f>IFERROR(__xludf.DUMMYFUNCTION("IFERROR(GOOGLEFINANCE(C11,""name""),""Not Available"")"),"BHP Group Ltd")</f>
        <v>BHP Group Ltd</v>
      </c>
      <c r="C11" s="1" t="s">
        <v>22</v>
      </c>
      <c r="D11" s="23">
        <v>8.891</v>
      </c>
      <c r="E11" s="17">
        <v>70.40603</v>
      </c>
      <c r="F11" s="39">
        <v>625.98</v>
      </c>
      <c r="G11" s="17">
        <f>IFERROR(__xludf.DUMMYFUNCTION("IFERROR(GOOGLEFINANCE(C11,""price""),""Not Available)"")"),57.3)</f>
        <v>57.3</v>
      </c>
      <c r="H11" s="18">
        <f t="shared" si="1"/>
        <v>509.4543</v>
      </c>
      <c r="I11" s="19">
        <f t="shared" si="2"/>
        <v>-0.1861492545</v>
      </c>
      <c r="J11" s="19">
        <f>IFERROR(__xludf.DUMMYFUNCTION("(G11-INDEX(GOOGLEFINANCE(C11,""price"",TODAY()-7),2,2))/(INDEX(GOOGLEFINANCE(C11,""price"",TODAY()-7),2,2))"),-0.013089906992766192)</f>
        <v>-0.01308990699</v>
      </c>
      <c r="K11" s="7">
        <f>IFERROR(__xludf.DUMMYFUNCTION("IFERROR((G11-INDEX(GOOGLEFINANCE(C11,""price"",TODAY()-365),2,2))/(INDEX(GOOGLEFINANCE(C11,""price"",TODAY()-365),2,2)),""Not Available"")"),-0.05632411067193679)</f>
        <v>-0.05632411067</v>
      </c>
      <c r="L11" s="7">
        <f>IFERROR(__xludf.DUMMYFUNCTION("IFERROR((G11-INDEX(GOOGLEFINANCE(C11,""price"",$R$6),2,2))/(INDEX(GOOGLEFINANCE(C11,""price"",$R$6),2,2)),""Not Available"")"),-0.0667752442996743)</f>
        <v>-0.0667752443</v>
      </c>
      <c r="M11" s="20">
        <f t="shared" si="3"/>
        <v>-116.5257</v>
      </c>
      <c r="N11" s="21">
        <f>IFERROR(__xludf.DUMMYFUNCTION("IFERROR(GOOGLEFINANCE(C11,""pe""),""Not Available"")"),19.67)</f>
        <v>19.67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Available"")"),"Constellation Energy Corp")</f>
        <v>Constellation Energy Corp</v>
      </c>
      <c r="C12" s="1" t="s">
        <v>25</v>
      </c>
      <c r="D12" s="23">
        <v>8.14</v>
      </c>
      <c r="E12" s="17">
        <v>42.2715</v>
      </c>
      <c r="F12" s="39">
        <v>344.09</v>
      </c>
      <c r="G12" s="17">
        <f>IFERROR(__xludf.DUMMYFUNCTION("IFERROR(GOOGLEFINANCE(C12,""price""),""Not Available)"")"),170.57)</f>
        <v>170.57</v>
      </c>
      <c r="H12" s="18">
        <f t="shared" si="1"/>
        <v>1388.4398</v>
      </c>
      <c r="I12" s="19">
        <f t="shared" si="2"/>
        <v>3.035106396</v>
      </c>
      <c r="J12" s="19">
        <f>IFERROR(__xludf.DUMMYFUNCTION("(G12-INDEX(GOOGLEFINANCE(C12,""price"",TODAY()-7),2,2))/(INDEX(GOOGLEFINANCE(C12,""price"",TODAY()-7),2,2))"),-0.030797204386612965)</f>
        <v>-0.03079720439</v>
      </c>
      <c r="K12" s="7">
        <f>IFERROR(__xludf.DUMMYFUNCTION("IFERROR((G12-INDEX(GOOGLEFINANCE(C12,""price"",TODAY()-365),2,2))/(INDEX(GOOGLEFINANCE(C12,""price"",TODAY()-365),2,2)),""Not Available"")"),1.2123216601815825)</f>
        <v>1.21232166</v>
      </c>
      <c r="L12" s="7">
        <f>IFERROR(__xludf.DUMMYFUNCTION("IFERROR((G12-INDEX(GOOGLEFINANCE(C12,""price"",$R$6),2,2))/(INDEX(GOOGLEFINANCE(C12,""price"",$R$6),2,2)),""Not Available"")"),1.0824075204492736)</f>
        <v>1.08240752</v>
      </c>
      <c r="M12" s="20">
        <f t="shared" si="3"/>
        <v>1044.3498</v>
      </c>
      <c r="N12" s="21">
        <f>IFERROR(__xludf.DUMMYFUNCTION("IFERROR(GOOGLEFINANCE(C12,""pe""),""Not Available"")"),34.05)</f>
        <v>34.05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 t="str">
        <f>IFERROR(__xludf.DUMMYFUNCTION("IFERROR(GOOGLEFINANCE(C13,""name""),""Not Available"")"),"Enphase Energy Inc")</f>
        <v>Enphase Energy Inc</v>
      </c>
      <c r="C13" s="1" t="s">
        <v>34</v>
      </c>
      <c r="D13" s="23">
        <v>6.0</v>
      </c>
      <c r="E13" s="17">
        <v>177.84</v>
      </c>
      <c r="F13" s="38">
        <v>1067.04</v>
      </c>
      <c r="G13" s="17">
        <f>IFERROR(__xludf.DUMMYFUNCTION("IFERROR(GOOGLEFINANCE(C13,""price""),""Not Available)"")"),130.28)</f>
        <v>130.28</v>
      </c>
      <c r="H13" s="18">
        <f t="shared" si="1"/>
        <v>781.68</v>
      </c>
      <c r="I13" s="19">
        <f t="shared" si="2"/>
        <v>-0.267431399</v>
      </c>
      <c r="J13" s="19">
        <f>IFERROR(__xludf.DUMMYFUNCTION("(G13-INDEX(GOOGLEFINANCE(C13,""price"",TODAY()-7),2,2))/(INDEX(GOOGLEFINANCE(C13,""price"",TODAY()-7),2,2))"),0.05089941114785837)</f>
        <v>0.05089941115</v>
      </c>
      <c r="K13" s="7">
        <f>IFERROR(__xludf.DUMMYFUNCTION("IFERROR((G13-INDEX(GOOGLEFINANCE(C13,""price"",TODAY()-365),2,2))/(INDEX(GOOGLEFINANCE(C13,""price"",TODAY()-365),2,2)),""Not Available"")"),-0.3841062733418428)</f>
        <v>-0.3841062733</v>
      </c>
      <c r="L13" s="7">
        <f>IFERROR(__xludf.DUMMYFUNCTION("IFERROR((G13-INDEX(GOOGLEFINANCE(C13,""price"",$R$6),2,2))/(INDEX(GOOGLEFINANCE(C13,""price"",$R$6),2,2)),""Not Available"")"),-0.48568947139868146)</f>
        <v>-0.4856894714</v>
      </c>
      <c r="M13" s="20">
        <f t="shared" si="3"/>
        <v>-285.36</v>
      </c>
      <c r="N13" s="21">
        <f>IFERROR(__xludf.DUMMYFUNCTION("IFERROR(GOOGLEFINANCE(C13,""pe""),""Not Available"")"),42.53)</f>
        <v>42.53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tr">
        <f>IFERROR(__xludf.DUMMYFUNCTION("IFERROR(GOOGLEFINANCE(C14,""name""),""Not Available"")"),"Enterprise Products Partners LP")</f>
        <v>Enterprise Products Partners LP</v>
      </c>
      <c r="C14" s="1" t="s">
        <v>35</v>
      </c>
      <c r="D14" s="23">
        <v>77.044</v>
      </c>
      <c r="E14" s="17">
        <v>18.86273</v>
      </c>
      <c r="F14" s="38">
        <v>1453.26</v>
      </c>
      <c r="G14" s="17">
        <f>IFERROR(__xludf.DUMMYFUNCTION("IFERROR(GOOGLEFINANCE(C14,""price""),""Not Available)"")"),28.0)</f>
        <v>28</v>
      </c>
      <c r="H14" s="18">
        <f t="shared" si="1"/>
        <v>2157.232</v>
      </c>
      <c r="I14" s="19">
        <f t="shared" si="2"/>
        <v>0.4844086726</v>
      </c>
      <c r="J14" s="19">
        <f>IFERROR(__xludf.DUMMYFUNCTION("(G14-INDEX(GOOGLEFINANCE(C14,""price"",TODAY()-7),2,2))/(INDEX(GOOGLEFINANCE(C14,""price"",TODAY()-7),2,2))"),0.012658227848101318)</f>
        <v>0.01265822785</v>
      </c>
      <c r="K14" s="7">
        <f>IFERROR(__xludf.DUMMYFUNCTION("IFERROR((G14-INDEX(GOOGLEFINANCE(C14,""price"",TODAY()-365),2,2))/(INDEX(GOOGLEFINANCE(C14,""price"",TODAY()-365),2,2)),""Not Available"")"),0.10236220472440952)</f>
        <v>0.1023622047</v>
      </c>
      <c r="L14" s="7">
        <f>IFERROR(__xludf.DUMMYFUNCTION("IFERROR((G14-INDEX(GOOGLEFINANCE(C14,""price"",$R$6),2,2))/(INDEX(GOOGLEFINANCE(C14,""price"",$R$6),2,2)),""Not Available"")"),0.15559224102352454)</f>
        <v>0.155592241</v>
      </c>
      <c r="M14" s="20">
        <f t="shared" si="3"/>
        <v>703.972</v>
      </c>
      <c r="N14" s="21">
        <f>IFERROR(__xludf.DUMMYFUNCTION("IFERROR(GOOGLEFINANCE(C14,""pe""),""Not Available"")"),11.11)</f>
        <v>11.11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 t="str">
        <f>IFERROR(__xludf.DUMMYFUNCTION("IFERROR(GOOGLEFINANCE(C15,""name""),""Not Available"")"),"Exelon Corp")</f>
        <v>Exelon Corp</v>
      </c>
      <c r="C15" s="1" t="s">
        <v>36</v>
      </c>
      <c r="D15" s="23">
        <v>28.107</v>
      </c>
      <c r="E15" s="17">
        <v>33.69552</v>
      </c>
      <c r="F15" s="39">
        <v>947.08</v>
      </c>
      <c r="G15" s="17">
        <f>IFERROR(__xludf.DUMMYFUNCTION("IFERROR(GOOGLEFINANCE(C15,""price""),""Not Available)"")"),36.96)</f>
        <v>36.96</v>
      </c>
      <c r="H15" s="18">
        <f t="shared" si="1"/>
        <v>1038.83472</v>
      </c>
      <c r="I15" s="19">
        <f t="shared" si="2"/>
        <v>0.09688172196</v>
      </c>
      <c r="J15" s="19">
        <f>IFERROR(__xludf.DUMMYFUNCTION("(G15-INDEX(GOOGLEFINANCE(C15,""price"",TODAY()-7),2,2))/(INDEX(GOOGLEFINANCE(C15,""price"",TODAY()-7),2,2))"),0.020994475138121492)</f>
        <v>0.02099447514</v>
      </c>
      <c r="K15" s="7">
        <f>IFERROR(__xludf.DUMMYFUNCTION("IFERROR((G15-INDEX(GOOGLEFINANCE(C15,""price"",TODAY()-365),2,2))/(INDEX(GOOGLEFINANCE(C15,""price"",TODAY()-365),2,2)),""Not Available"")"),-0.10703068374003381)</f>
        <v>-0.1070306837</v>
      </c>
      <c r="L15" s="7">
        <f>IFERROR(__xludf.DUMMYFUNCTION("IFERROR((G15-INDEX(GOOGLEFINANCE(C15,""price"",$R$6),2,2))/(INDEX(GOOGLEFINANCE(C15,""price"",$R$6),2,2)),""Not Available"")"),-0.14365152919369778)</f>
        <v>-0.1436515292</v>
      </c>
      <c r="M15" s="20">
        <f t="shared" si="3"/>
        <v>91.75472</v>
      </c>
      <c r="N15" s="21">
        <f>IFERROR(__xludf.DUMMYFUNCTION("IFERROR(GOOGLEFINANCE(C15,""pe""),""Not Available"")"),15.83)</f>
        <v>15.83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8" t="str">
        <f>IFERROR(__xludf.DUMMYFUNCTION("IFERROR(GOOGLEFINANCE(C16,""name""),""Not Available"")"),"Freeport-McMoRan Inc")</f>
        <v>Freeport-McMoRan Inc</v>
      </c>
      <c r="C16" s="1" t="s">
        <v>37</v>
      </c>
      <c r="D16" s="23">
        <v>63.04</v>
      </c>
      <c r="E16" s="17">
        <v>18.15292</v>
      </c>
      <c r="F16" s="38">
        <v>1144.36</v>
      </c>
      <c r="G16" s="17">
        <f>IFERROR(__xludf.DUMMYFUNCTION("IFERROR(GOOGLEFINANCE(C16,""price""),""Not Available)"")"),39.85)</f>
        <v>39.85</v>
      </c>
      <c r="H16" s="18">
        <f t="shared" si="1"/>
        <v>2512.144</v>
      </c>
      <c r="I16" s="19">
        <f t="shared" si="2"/>
        <v>1.195239113</v>
      </c>
      <c r="J16" s="19">
        <f>IFERROR(__xludf.DUMMYFUNCTION("(G16-INDEX(GOOGLEFINANCE(C16,""price"",TODAY()-7),2,2))/(INDEX(GOOGLEFINANCE(C16,""price"",TODAY()-7),2,2))"),0.039926931106471844)</f>
        <v>0.03992693111</v>
      </c>
      <c r="K16" s="7">
        <f>IFERROR(__xludf.DUMMYFUNCTION("IFERROR((G16-INDEX(GOOGLEFINANCE(C16,""price"",TODAY()-365),2,2))/(INDEX(GOOGLEFINANCE(C16,""price"",TODAY()-365),2,2)),""Not Available"")"),0.059558628024461636)</f>
        <v>0.05955862802</v>
      </c>
      <c r="L16" s="7">
        <f>IFERROR(__xludf.DUMMYFUNCTION("IFERROR((G16-INDEX(GOOGLEFINANCE(C16,""price"",$R$6),2,2))/(INDEX(GOOGLEFINANCE(C16,""price"",$R$6),2,2)),""Not Available"")"),0.05089662447257383)</f>
        <v>0.05089662447</v>
      </c>
      <c r="M16" s="20">
        <f t="shared" si="3"/>
        <v>1367.784</v>
      </c>
      <c r="N16" s="21">
        <f>IFERROR(__xludf.DUMMYFUNCTION("IFERROR(GOOGLEFINANCE(C16,""pe""),""Not Available"")"),31.22)</f>
        <v>31.22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 t="str">
        <f>IFERROR(__xludf.DUMMYFUNCTION("IFERROR(GOOGLEFINANCE(C17,""name""),""Not Available"")"),"Nutrien Ltd")</f>
        <v>Nutrien Ltd</v>
      </c>
      <c r="C17" s="1" t="s">
        <v>58</v>
      </c>
      <c r="D17" s="23">
        <v>28.911</v>
      </c>
      <c r="E17" s="17">
        <v>31.1608</v>
      </c>
      <c r="F17" s="39">
        <v>900.89</v>
      </c>
      <c r="G17" s="17">
        <f>IFERROR(__xludf.DUMMYFUNCTION("IFERROR(GOOGLEFINANCE(C17,""price""),""Not Available)"")"),52.9)</f>
        <v>52.9</v>
      </c>
      <c r="H17" s="18">
        <f t="shared" si="1"/>
        <v>1529.3919</v>
      </c>
      <c r="I17" s="19">
        <f t="shared" si="2"/>
        <v>0.6976457601</v>
      </c>
      <c r="J17" s="19">
        <f>IFERROR(__xludf.DUMMYFUNCTION("(G17-INDEX(GOOGLEFINANCE(C17,""price"",TODAY()-7),2,2))/(INDEX(GOOGLEFINANCE(C17,""price"",TODAY()-7),2,2))"),0.038069073783359456)</f>
        <v>0.03806907378</v>
      </c>
      <c r="K17" s="7">
        <f>IFERROR(__xludf.DUMMYFUNCTION("IFERROR((G17-INDEX(GOOGLEFINANCE(C17,""price"",TODAY()-365),2,2))/(INDEX(GOOGLEFINANCE(C17,""price"",TODAY()-365),2,2)),""Not Available"")"),-0.2858107195895774)</f>
        <v>-0.2858107196</v>
      </c>
      <c r="L17" s="7">
        <f>IFERROR(__xludf.DUMMYFUNCTION("IFERROR((G17-INDEX(GOOGLEFINANCE(C17,""price"",$R$6),2,2))/(INDEX(GOOGLEFINANCE(C17,""price"",$R$6),2,2)),""Not Available"")"),-0.2613795029321419)</f>
        <v>-0.2613795029</v>
      </c>
      <c r="M17" s="20">
        <f t="shared" si="3"/>
        <v>628.5019</v>
      </c>
      <c r="N17" s="21" t="str">
        <f>IFERROR(__xludf.DUMMYFUNCTION("IFERROR(GOOGLEFINANCE(C17,""pe""),""Not Available"")"),"Not Available")</f>
        <v>Not Available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8" t="str">
        <f>IFERROR(__xludf.DUMMYFUNCTION("IFERROR(GOOGLEFINANCE(C18,""name""),""Not Available"")"),"Rayonier Inc")</f>
        <v>Rayonier Inc</v>
      </c>
      <c r="C18" s="1" t="s">
        <v>66</v>
      </c>
      <c r="D18" s="23">
        <v>31.338</v>
      </c>
      <c r="E18" s="17">
        <v>29.48401</v>
      </c>
      <c r="F18" s="39">
        <v>923.97</v>
      </c>
      <c r="G18" s="17">
        <f>IFERROR(__xludf.DUMMYFUNCTION("IFERROR(GOOGLEFINANCE(C18,""price""),""Not Available)"")"),35.11)</f>
        <v>35.11</v>
      </c>
      <c r="H18" s="18">
        <f t="shared" si="1"/>
        <v>1100.27718</v>
      </c>
      <c r="I18" s="19">
        <f t="shared" si="2"/>
        <v>0.1908149536</v>
      </c>
      <c r="J18" s="19">
        <f>IFERROR(__xludf.DUMMYFUNCTION("(G18-INDEX(GOOGLEFINANCE(C18,""price"",TODAY()-7),2,2))/(INDEX(GOOGLEFINANCE(C18,""price"",TODAY()-7),2,2))"),-0.0025568181818182785)</f>
        <v>-0.002556818182</v>
      </c>
      <c r="K18" s="7">
        <f>IFERROR(__xludf.DUMMYFUNCTION("IFERROR((G18-INDEX(GOOGLEFINANCE(C18,""price"",TODAY()-365),2,2))/(INDEX(GOOGLEFINANCE(C18,""price"",TODAY()-365),2,2)),""Not Available"")"),0.07633353770692833)</f>
        <v>0.07633353771</v>
      </c>
      <c r="L18" s="7">
        <f>IFERROR(__xludf.DUMMYFUNCTION("IFERROR((G18-INDEX(GOOGLEFINANCE(C18,""price"",$R$6),2,2))/(INDEX(GOOGLEFINANCE(C18,""price"",$R$6),2,2)),""Not Available"")"),0.057848749623380595)</f>
        <v>0.05784874962</v>
      </c>
      <c r="M18" s="20">
        <f t="shared" si="3"/>
        <v>176.30718</v>
      </c>
      <c r="N18" s="21">
        <f>IFERROR(__xludf.DUMMYFUNCTION("IFERROR(GOOGLEFINANCE(C18,""pe""),""Not Available"")"),30.57)</f>
        <v>30.57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8" t="str">
        <f>IFERROR(__xludf.DUMMYFUNCTION("IFERROR(GOOGLEFINANCE(C19,""name""),""Not Available"")"),"Woodside Energy Group ADR")</f>
        <v>Woodside Energy Group ADR</v>
      </c>
      <c r="C19" s="1" t="s">
        <v>69</v>
      </c>
      <c r="D19" s="23">
        <v>3.142</v>
      </c>
      <c r="E19" s="17">
        <v>21.56906</v>
      </c>
      <c r="F19" s="39">
        <v>67.77</v>
      </c>
      <c r="G19" s="17">
        <f>IFERROR(__xludf.DUMMYFUNCTION("IFERROR(GOOGLEFINANCE(C19,""price""),""Not Available)"")"),19.72)</f>
        <v>19.72</v>
      </c>
      <c r="H19" s="18">
        <f t="shared" si="1"/>
        <v>61.96024</v>
      </c>
      <c r="I19" s="19">
        <f t="shared" si="2"/>
        <v>-0.08572742623</v>
      </c>
      <c r="J19" s="19">
        <f>IFERROR(__xludf.DUMMYFUNCTION("(G19-INDEX(GOOGLEFINANCE(C19,""price"",TODAY()-7),2,2))/(INDEX(GOOGLEFINANCE(C19,""price"",TODAY()-7),2,2))"),-0.0015189873417722096)</f>
        <v>-0.001518987342</v>
      </c>
      <c r="K19" s="7">
        <f>IFERROR(__xludf.DUMMYFUNCTION("IFERROR((G19-INDEX(GOOGLEFINANCE(C19,""price"",TODAY()-365),2,2))/(INDEX(GOOGLEFINANCE(C19,""price"",TODAY()-365),2,2)),""Not Available"")"),-0.10404361653793742)</f>
        <v>-0.1040436165</v>
      </c>
      <c r="L19" s="7">
        <f>IFERROR(__xludf.DUMMYFUNCTION("IFERROR((G19-INDEX(GOOGLEFINANCE(C19,""price"",$R$6),2,2))/(INDEX(GOOGLEFINANCE(C19,""price"",$R$6),2,2)),""Not Available"")"),-0.1514629948364888)</f>
        <v>-0.1514629948</v>
      </c>
      <c r="M19" s="20">
        <f t="shared" si="3"/>
        <v>-5.80976</v>
      </c>
      <c r="N19" s="21" t="str">
        <f>IFERROR(__xludf.DUMMYFUNCTION("IFERROR(GOOGLEFINANCE(C19,""pe""),""Not Available"")"),"Not Available")</f>
        <v>Not Available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8" t="s">
        <v>95</v>
      </c>
      <c r="C21" s="8"/>
      <c r="D21" s="8"/>
      <c r="E21" s="8"/>
      <c r="F21" s="40">
        <f>SUM(F10:F19)</f>
        <v>7970.75</v>
      </c>
      <c r="G21" s="8"/>
      <c r="H21" s="40">
        <f>sum(H10:H19)</f>
        <v>11487.20054</v>
      </c>
      <c r="I21" s="8"/>
      <c r="J21" s="8"/>
      <c r="K21" s="8"/>
      <c r="L21" s="7"/>
      <c r="M21" s="41">
        <f>sum(M10:M19)</f>
        <v>3516.45054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 t="s">
        <v>71</v>
      </c>
      <c r="D23" s="1"/>
      <c r="E23" s="1"/>
      <c r="F23" s="1"/>
      <c r="G23" s="1"/>
      <c r="H23" s="1"/>
      <c r="I23" s="1"/>
      <c r="J23" s="1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</sheetData>
  <mergeCells count="2">
    <mergeCell ref="D8:F8"/>
    <mergeCell ref="G8:O8"/>
  </mergeCells>
  <conditionalFormatting sqref="I10:J19 K10:K20 L10:L24 K22:K24">
    <cfRule type="cellIs" dxfId="0" priority="1" operator="greaterThan">
      <formula>0</formula>
    </cfRule>
  </conditionalFormatting>
  <conditionalFormatting sqref="I10:J12 K10:K20 L10:L24 M10:M19 K22:K24">
    <cfRule type="cellIs" dxfId="1" priority="2" operator="lessThan">
      <formula>0</formula>
    </cfRule>
  </conditionalFormatting>
  <conditionalFormatting sqref="K10:M12">
    <cfRule type="cellIs" dxfId="1" priority="3" operator="less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SUM(H10:H21)</f>
        <v>16008.09138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COUNT(D10:D25)</f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37" t="s">
        <v>92</v>
      </c>
      <c r="L9" s="37" t="s">
        <v>75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Available"")"),"BorgWarner Inc.")</f>
        <v>BorgWarner Inc.</v>
      </c>
      <c r="C10" s="1" t="s">
        <v>24</v>
      </c>
      <c r="D10" s="23">
        <v>12.478</v>
      </c>
      <c r="E10" s="17">
        <v>48.26414</v>
      </c>
      <c r="F10" s="39">
        <v>602.24</v>
      </c>
      <c r="G10" s="17">
        <f>IFERROR(__xludf.DUMMYFUNCTION("IFERROR(GOOGLEFINANCE(C10,""price""),""Not Available)"")"),32.04)</f>
        <v>32.04</v>
      </c>
      <c r="H10" s="18">
        <f t="shared" ref="H10:H21" si="1">G10*D10</f>
        <v>399.79512</v>
      </c>
      <c r="I10" s="19">
        <f t="shared" ref="I10:I21" si="2">G10/E10-1</f>
        <v>-0.3361530942</v>
      </c>
      <c r="J10" s="19">
        <f>IFERROR(__xludf.DUMMYFUNCTION("(G10-INDEX(GOOGLEFINANCE(C10,""price"",TODAY()-7),2,2))/(INDEX(GOOGLEFINANCE(C10,""price"",TODAY()-7),2,2))"),0.03924748621472594)</f>
        <v>0.03924748621</v>
      </c>
      <c r="K10" s="7">
        <f>IFERROR(__xludf.DUMMYFUNCTION("IFERROR((G10-INDEX(GOOGLEFINANCE(C10,""price"",TODAY()-365),2,2))/(INDEX(GOOGLEFINANCE(C10,""price"",TODAY()-365),2,2)),""Not Available"")"),-0.21451336111792108)</f>
        <v>-0.2145133611</v>
      </c>
      <c r="L10" s="7">
        <f>IFERROR(__xludf.DUMMYFUNCTION("IFERROR((G10-INDEX(GOOGLEFINANCE(C10,""price"",$R$6),2,2))/(INDEX(GOOGLEFINANCE(C10,""price"",$R$6),2,2)),""Not Available"")"),-0.09568162574089756)</f>
        <v>-0.09568162574</v>
      </c>
      <c r="M10" s="20">
        <f t="shared" ref="M10:M21" si="3">H10-F10</f>
        <v>-202.44488</v>
      </c>
      <c r="N10" s="21">
        <f>IFERROR(__xludf.DUMMYFUNCTION("IFERROR(GOOGLEFINANCE(C10,""pe""),""Not Available"")"),11.88)</f>
        <v>11.88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8" t="str">
        <f>IFERROR(__xludf.DUMMYFUNCTION("IFERROR(GOOGLEFINANCE(C11,""name""),""Not Available"")"),"Clean Harbors Inc")</f>
        <v>Clean Harbors Inc</v>
      </c>
      <c r="C11" s="1" t="s">
        <v>26</v>
      </c>
      <c r="D11" s="23">
        <v>6.0</v>
      </c>
      <c r="E11" s="17">
        <v>138.19</v>
      </c>
      <c r="F11" s="39">
        <v>829.14</v>
      </c>
      <c r="G11" s="17">
        <f>IFERROR(__xludf.DUMMYFUNCTION("IFERROR(GOOGLEFINANCE(C11,""price""),""Not Available)"")"),188.14)</f>
        <v>188.14</v>
      </c>
      <c r="H11" s="18">
        <f t="shared" si="1"/>
        <v>1128.84</v>
      </c>
      <c r="I11" s="19">
        <f t="shared" si="2"/>
        <v>0.361458861</v>
      </c>
      <c r="J11" s="19">
        <f>IFERROR(__xludf.DUMMYFUNCTION("(G11-INDEX(GOOGLEFINANCE(C11,""price"",TODAY()-7),2,2))/(INDEX(GOOGLEFINANCE(C11,""price"",TODAY()-7),2,2))"),0.015436096718480058)</f>
        <v>0.01543609672</v>
      </c>
      <c r="K11" s="7">
        <f>IFERROR(__xludf.DUMMYFUNCTION("IFERROR((G11-INDEX(GOOGLEFINANCE(C11,""price"",TODAY()-365),2,2))/(INDEX(GOOGLEFINANCE(C11,""price"",TODAY()-365),2,2)),""Not Available"")"),0.4454517516902273)</f>
        <v>0.4454517517</v>
      </c>
      <c r="L11" s="7">
        <f>IFERROR(__xludf.DUMMYFUNCTION("IFERROR((G11-INDEX(GOOGLEFINANCE(C11,""price"",$R$6),2,2))/(INDEX(GOOGLEFINANCE(C11,""price"",$R$6),2,2)),""Not Available"")"),0.6541234394232459)</f>
        <v>0.6541234394</v>
      </c>
      <c r="M11" s="20">
        <f t="shared" si="3"/>
        <v>299.7</v>
      </c>
      <c r="N11" s="21">
        <f>IFERROR(__xludf.DUMMYFUNCTION("IFERROR(GOOGLEFINANCE(C11,""pe""),""Not Available"")"),27.08)</f>
        <v>27.08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Available"")"),"FedEx Corp")</f>
        <v>FedEx Corp</v>
      </c>
      <c r="C12" s="1" t="s">
        <v>38</v>
      </c>
      <c r="D12" s="23">
        <v>8.195</v>
      </c>
      <c r="E12" s="17">
        <v>205.96095</v>
      </c>
      <c r="F12" s="38">
        <v>1687.85</v>
      </c>
      <c r="G12" s="17">
        <f>IFERROR(__xludf.DUMMYFUNCTION("IFERROR(GOOGLEFINANCE(C12,""price""),""Not Available)"")"),247.68)</f>
        <v>247.68</v>
      </c>
      <c r="H12" s="18">
        <f t="shared" si="1"/>
        <v>2029.7376</v>
      </c>
      <c r="I12" s="19">
        <f t="shared" si="2"/>
        <v>0.2025580577</v>
      </c>
      <c r="J12" s="19">
        <f>IFERROR(__xludf.DUMMYFUNCTION("(G12-INDEX(GOOGLEFINANCE(C12,""price"",TODAY()-7),2,2))/(INDEX(GOOGLEFINANCE(C12,""price"",TODAY()-7),2,2))"),0.003687644365198349)</f>
        <v>0.003687644365</v>
      </c>
      <c r="K12" s="7">
        <f>IFERROR(__xludf.DUMMYFUNCTION("IFERROR((G12-INDEX(GOOGLEFINANCE(C12,""price"",TODAY()-365),2,2))/(INDEX(GOOGLEFINANCE(C12,""price"",TODAY()-365),2,2)),""Not Available"")"),0.2547748112872994)</f>
        <v>0.2547748113</v>
      </c>
      <c r="L12" s="7">
        <f>IFERROR(__xludf.DUMMYFUNCTION("IFERROR((G12-INDEX(GOOGLEFINANCE(C12,""price"",$R$6),2,2))/(INDEX(GOOGLEFINANCE(C12,""price"",$R$6),2,2)),""Not Available"")"),0.39719072601116934)</f>
        <v>0.397190726</v>
      </c>
      <c r="M12" s="20">
        <f t="shared" si="3"/>
        <v>341.8876</v>
      </c>
      <c r="N12" s="21">
        <f>IFERROR(__xludf.DUMMYFUNCTION("IFERROR(GOOGLEFINANCE(C12,""pe""),""Not Available"")"),14.65)</f>
        <v>14.65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 t="str">
        <f>IFERROR(__xludf.DUMMYFUNCTION("IFERROR(GOOGLEFINANCE(C13,""name""),""Not Available"")"),"GXO Logistics Inc")</f>
        <v>GXO Logistics Inc</v>
      </c>
      <c r="C13" s="1" t="s">
        <v>42</v>
      </c>
      <c r="D13" s="23">
        <v>13.0</v>
      </c>
      <c r="E13" s="17">
        <v>33.56615</v>
      </c>
      <c r="F13" s="39">
        <v>436.36</v>
      </c>
      <c r="G13" s="17">
        <f>IFERROR(__xludf.DUMMYFUNCTION("IFERROR(GOOGLEFINANCE(C13,""price""),""Not Available)"")"),49.2)</f>
        <v>49.2</v>
      </c>
      <c r="H13" s="18">
        <f t="shared" si="1"/>
        <v>639.6</v>
      </c>
      <c r="I13" s="19">
        <f t="shared" si="2"/>
        <v>0.4657623826</v>
      </c>
      <c r="J13" s="19">
        <f>IFERROR(__xludf.DUMMYFUNCTION("(G13-INDEX(GOOGLEFINANCE(C13,""price"",TODAY()-7),2,2))/(INDEX(GOOGLEFINANCE(C13,""price"",TODAY()-7),2,2))"),-0.013434930820132236)</f>
        <v>-0.01343493082</v>
      </c>
      <c r="K13" s="7">
        <f>IFERROR(__xludf.DUMMYFUNCTION("IFERROR((G13-INDEX(GOOGLEFINANCE(C13,""price"",TODAY()-365),2,2))/(INDEX(GOOGLEFINANCE(C13,""price"",TODAY()-365),2,2)),""Not Available"")"),0.0933333333333334)</f>
        <v>0.09333333333</v>
      </c>
      <c r="L13" s="7">
        <f>IFERROR(__xludf.DUMMYFUNCTION("IFERROR((G13-INDEX(GOOGLEFINANCE(C13,""price"",$R$6),2,2))/(INDEX(GOOGLEFINANCE(C13,""price"",$R$6),2,2)),""Not Available"")"),0.17254528122020976)</f>
        <v>0.1725452812</v>
      </c>
      <c r="M13" s="20">
        <f t="shared" si="3"/>
        <v>203.24</v>
      </c>
      <c r="N13" s="21">
        <f>IFERROR(__xludf.DUMMYFUNCTION("IFERROR(GOOGLEFINANCE(C13,""pe""),""Not Available"")"),25.67)</f>
        <v>25.67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tr">
        <f>IFERROR(__xludf.DUMMYFUNCTION("IFERROR(GOOGLEFINANCE(C14,""name""),""Not Available"")"),"Huntington Ingalls Industries Inc")</f>
        <v>Huntington Ingalls Industries Inc</v>
      </c>
      <c r="C14" s="1" t="s">
        <v>43</v>
      </c>
      <c r="D14" s="23">
        <v>10.27</v>
      </c>
      <c r="E14" s="17">
        <v>157.70789</v>
      </c>
      <c r="F14" s="38">
        <v>1619.66</v>
      </c>
      <c r="G14" s="17">
        <f>IFERROR(__xludf.DUMMYFUNCTION("IFERROR(GOOGLEFINANCE(C14,""price""),""Not Available)"")"),293.32)</f>
        <v>293.32</v>
      </c>
      <c r="H14" s="18">
        <f t="shared" si="1"/>
        <v>3012.3964</v>
      </c>
      <c r="I14" s="19">
        <f t="shared" si="2"/>
        <v>0.859894264</v>
      </c>
      <c r="J14" s="19">
        <f>IFERROR(__xludf.DUMMYFUNCTION("(G14-INDEX(GOOGLEFINANCE(C14,""price"",TODAY()-7),2,2))/(INDEX(GOOGLEFINANCE(C14,""price"",TODAY()-7),2,2))"),-0.010491515703538824)</f>
        <v>-0.0104915157</v>
      </c>
      <c r="K14" s="7">
        <f>IFERROR(__xludf.DUMMYFUNCTION("IFERROR((G14-INDEX(GOOGLEFINANCE(C14,""price"",TODAY()-365),2,2))/(INDEX(GOOGLEFINANCE(C14,""price"",TODAY()-365),2,2)),""Not Available"")"),0.4023713903231975)</f>
        <v>0.4023713903</v>
      </c>
      <c r="L14" s="7">
        <f>IFERROR(__xludf.DUMMYFUNCTION("IFERROR((G14-INDEX(GOOGLEFINANCE(C14,""price"",$R$6),2,2))/(INDEX(GOOGLEFINANCE(C14,""price"",$R$6),2,2)),""Not Available"")"),0.2845193781475805)</f>
        <v>0.2845193781</v>
      </c>
      <c r="M14" s="20">
        <f t="shared" si="3"/>
        <v>1392.7364</v>
      </c>
      <c r="N14" s="21">
        <f>IFERROR(__xludf.DUMMYFUNCTION("IFERROR(GOOGLEFINANCE(C14,""pe""),""Not Available"")"),17.19)</f>
        <v>17.19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 t="str">
        <f>IFERROR(__xludf.DUMMYFUNCTION("IFERROR(GOOGLEFINANCE(C15,""name""),""Not Available"")"),"Jacobs Solutions Inc")</f>
        <v>Jacobs Solutions Inc</v>
      </c>
      <c r="C15" s="1" t="s">
        <v>44</v>
      </c>
      <c r="D15" s="23">
        <v>11.457</v>
      </c>
      <c r="E15" s="17">
        <v>93.15615</v>
      </c>
      <c r="F15" s="38">
        <v>1067.29</v>
      </c>
      <c r="G15" s="17">
        <f>IFERROR(__xludf.DUMMYFUNCTION("IFERROR(GOOGLEFINANCE(C15,""price""),""Not Available)"")"),146.93)</f>
        <v>146.93</v>
      </c>
      <c r="H15" s="18">
        <f t="shared" si="1"/>
        <v>1683.37701</v>
      </c>
      <c r="I15" s="19">
        <f t="shared" si="2"/>
        <v>0.5772442292</v>
      </c>
      <c r="J15" s="19">
        <f>IFERROR(__xludf.DUMMYFUNCTION("(G15-INDEX(GOOGLEFINANCE(C15,""price"",TODAY()-7),2,2))/(INDEX(GOOGLEFINANCE(C15,""price"",TODAY()-7),2,2))"),-0.0014272121788771208)</f>
        <v>-0.001427212179</v>
      </c>
      <c r="K15" s="7">
        <f>IFERROR(__xludf.DUMMYFUNCTION("IFERROR((G15-INDEX(GOOGLEFINANCE(C15,""price"",TODAY()-365),2,2))/(INDEX(GOOGLEFINANCE(C15,""price"",TODAY()-365),2,2)),""Not Available"")"),0.2638052640633064)</f>
        <v>0.2638052641</v>
      </c>
      <c r="L15" s="7">
        <f>IFERROR(__xludf.DUMMYFUNCTION("IFERROR((G15-INDEX(GOOGLEFINANCE(C15,""price"",$R$6),2,2))/(INDEX(GOOGLEFINANCE(C15,""price"",$R$6),2,2)),""Not Available"")"),0.2113941792398384)</f>
        <v>0.2113941792</v>
      </c>
      <c r="M15" s="20">
        <f t="shared" si="3"/>
        <v>616.08701</v>
      </c>
      <c r="N15" s="21">
        <f>IFERROR(__xludf.DUMMYFUNCTION("IFERROR(GOOGLEFINANCE(C15,""pe""),""Not Available"")"),26.23)</f>
        <v>26.23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8" t="str">
        <f>IFERROR(__xludf.DUMMYFUNCTION("IFERROR(GOOGLEFINANCE(C16,""name""),""Not Available"")"),"Lockheed Martin Corp")</f>
        <v>Lockheed Martin Corp</v>
      </c>
      <c r="C16" s="1" t="s">
        <v>48</v>
      </c>
      <c r="D16" s="23">
        <v>3.387</v>
      </c>
      <c r="E16" s="17">
        <v>367.8388</v>
      </c>
      <c r="F16" s="38">
        <v>1245.87</v>
      </c>
      <c r="G16" s="17">
        <f>IFERROR(__xludf.DUMMYFUNCTION("IFERROR(GOOGLEFINANCE(C16,""price""),""Not Available)"")"),432.9)</f>
        <v>432.9</v>
      </c>
      <c r="H16" s="18">
        <f t="shared" si="1"/>
        <v>1466.2323</v>
      </c>
      <c r="I16" s="19">
        <f t="shared" si="2"/>
        <v>0.1768742177</v>
      </c>
      <c r="J16" s="19">
        <f>IFERROR(__xludf.DUMMYFUNCTION("(G16-INDEX(GOOGLEFINANCE(C16,""price"",TODAY()-7),2,2))/(INDEX(GOOGLEFINANCE(C16,""price"",TODAY()-7),2,2))"),0.002222530907070379)</f>
        <v>0.002222530907</v>
      </c>
      <c r="K16" s="7">
        <f>IFERROR(__xludf.DUMMYFUNCTION("IFERROR((G16-INDEX(GOOGLEFINANCE(C16,""price"",TODAY()-365),2,2))/(INDEX(GOOGLEFINANCE(C16,""price"",TODAY()-365),2,2)),""Not Available"")"),-0.09308025894035575)</f>
        <v>-0.09308025894</v>
      </c>
      <c r="L16" s="7">
        <f>IFERROR(__xludf.DUMMYFUNCTION("IFERROR((G16-INDEX(GOOGLEFINANCE(C16,""price"",$R$6),2,2))/(INDEX(GOOGLEFINANCE(C16,""price"",$R$6),2,2)),""Not Available"")"),-0.0934600967478483)</f>
        <v>-0.09346009675</v>
      </c>
      <c r="M16" s="20">
        <f t="shared" si="3"/>
        <v>220.3623</v>
      </c>
      <c r="N16" s="21">
        <f>IFERROR(__xludf.DUMMYFUNCTION("IFERROR(GOOGLEFINANCE(C16,""pe""),""Not Available"")"),15.71)</f>
        <v>15.71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 t="str">
        <f>IFERROR(__xludf.DUMMYFUNCTION("IFERROR(GOOGLEFINANCE(C17,""name""),""Not Available"")"),"M/I Homes Inc")</f>
        <v>M/I Homes Inc</v>
      </c>
      <c r="C17" s="1" t="s">
        <v>52</v>
      </c>
      <c r="D17" s="23">
        <v>12.0</v>
      </c>
      <c r="E17" s="17">
        <v>45.0</v>
      </c>
      <c r="F17" s="39">
        <v>540.0</v>
      </c>
      <c r="G17" s="17">
        <f>IFERROR(__xludf.DUMMYFUNCTION("IFERROR(GOOGLEFINANCE(C17,""price""),""Not Available)"")"),126.83)</f>
        <v>126.83</v>
      </c>
      <c r="H17" s="18">
        <f t="shared" si="1"/>
        <v>1521.96</v>
      </c>
      <c r="I17" s="19">
        <f t="shared" si="2"/>
        <v>1.818444444</v>
      </c>
      <c r="J17" s="19">
        <f>IFERROR(__xludf.DUMMYFUNCTION("(G17-INDEX(GOOGLEFINANCE(C17,""price"",TODAY()-7),2,2))/(INDEX(GOOGLEFINANCE(C17,""price"",TODAY()-7),2,2))"),-0.00657946267721472)</f>
        <v>-0.006579462677</v>
      </c>
      <c r="K17" s="7">
        <f>IFERROR(__xludf.DUMMYFUNCTION("IFERROR((G17-INDEX(GOOGLEFINANCE(C17,""price"",TODAY()-365),2,2))/(INDEX(GOOGLEFINANCE(C17,""price"",TODAY()-365),2,2)),""Not Available"")"),1.2455736543909348)</f>
        <v>1.245573654</v>
      </c>
      <c r="L17" s="7">
        <f>IFERROR(__xludf.DUMMYFUNCTION("IFERROR((G17-INDEX(GOOGLEFINANCE(C17,""price"",$R$6),2,2))/(INDEX(GOOGLEFINANCE(C17,""price"",$R$6),2,2)),""Not Available"")"),1.6887852448590204)</f>
        <v>1.688785245</v>
      </c>
      <c r="M17" s="20">
        <f t="shared" si="3"/>
        <v>981.96</v>
      </c>
      <c r="N17" s="21">
        <f>IFERROR(__xludf.DUMMYFUNCTION("IFERROR(GOOGLEFINANCE(C17,""pe""),""Not Available"")"),7.83)</f>
        <v>7.83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8" t="str">
        <f>IFERROR(__xludf.DUMMYFUNCTION("IFERROR(GOOGLEFINANCE(C18,""name""),""Not Available"")"),"Northrop Grumman Corp")</f>
        <v>Northrop Grumman Corp</v>
      </c>
      <c r="C18" s="1" t="s">
        <v>57</v>
      </c>
      <c r="D18" s="23">
        <v>2.421</v>
      </c>
      <c r="E18" s="17">
        <v>283.62247</v>
      </c>
      <c r="F18" s="39">
        <v>686.65</v>
      </c>
      <c r="G18" s="17">
        <f>IFERROR(__xludf.DUMMYFUNCTION("IFERROR(GOOGLEFINANCE(C18,""price""),""Not Available)"")"),459.5)</f>
        <v>459.5</v>
      </c>
      <c r="H18" s="18">
        <f t="shared" si="1"/>
        <v>1112.4495</v>
      </c>
      <c r="I18" s="19">
        <f t="shared" si="2"/>
        <v>0.6201114108</v>
      </c>
      <c r="J18" s="19">
        <f>IFERROR(__xludf.DUMMYFUNCTION("(G18-INDEX(GOOGLEFINANCE(C18,""price"",TODAY()-7),2,2))/(INDEX(GOOGLEFINANCE(C18,""price"",TODAY()-7),2,2))"),-0.001260650321683151)</f>
        <v>-0.001260650322</v>
      </c>
      <c r="K18" s="7">
        <f>IFERROR(__xludf.DUMMYFUNCTION("IFERROR((G18-INDEX(GOOGLEFINANCE(C18,""price"",TODAY()-365),2,2))/(INDEX(GOOGLEFINANCE(C18,""price"",TODAY()-365),2,2)),""Not Available"")"),0.0038449774981430306)</f>
        <v>0.003844977498</v>
      </c>
      <c r="L18" s="7">
        <f>IFERROR(__xludf.DUMMYFUNCTION("IFERROR((G18-INDEX(GOOGLEFINANCE(C18,""price"",$R$6),2,2))/(INDEX(GOOGLEFINANCE(C18,""price"",$R$6),2,2)),""Not Available"")"),-0.14959376677215783)</f>
        <v>-0.1495937668</v>
      </c>
      <c r="M18" s="20">
        <f t="shared" si="3"/>
        <v>425.7995</v>
      </c>
      <c r="N18" s="21">
        <f>IFERROR(__xludf.DUMMYFUNCTION("IFERROR(GOOGLEFINANCE(C18,""pe""),""Not Available"")"),33.97)</f>
        <v>33.97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8" t="str">
        <f>IFERROR(__xludf.DUMMYFUNCTION("IFERROR(GOOGLEFINANCE(C19,""name""),""Not Available"")"),"PACCAR Inc")</f>
        <v>PACCAR Inc</v>
      </c>
      <c r="C19" s="1" t="s">
        <v>60</v>
      </c>
      <c r="D19" s="23">
        <v>10.033</v>
      </c>
      <c r="E19" s="17">
        <v>68.77205</v>
      </c>
      <c r="F19" s="39">
        <v>689.99</v>
      </c>
      <c r="G19" s="17">
        <f>IFERROR(__xludf.DUMMYFUNCTION("IFERROR(GOOGLEFINANCE(C19,""price""),""Not Available)"")"),114.65)</f>
        <v>114.65</v>
      </c>
      <c r="H19" s="18">
        <f t="shared" si="1"/>
        <v>1150.28345</v>
      </c>
      <c r="I19" s="19">
        <f t="shared" si="2"/>
        <v>0.6671016787</v>
      </c>
      <c r="J19" s="19">
        <f>IFERROR(__xludf.DUMMYFUNCTION("(G19-INDEX(GOOGLEFINANCE(C19,""price"",TODAY()-7),2,2))/(INDEX(GOOGLEFINANCE(C19,""price"",TODAY()-7),2,2))"),0.021017009528898383)</f>
        <v>0.02101700953</v>
      </c>
      <c r="K19" s="7">
        <f>IFERROR(__xludf.DUMMYFUNCTION("IFERROR((G19-INDEX(GOOGLEFINANCE(C19,""price"",TODAY()-365),2,2))/(INDEX(GOOGLEFINANCE(C19,""price"",TODAY()-365),2,2)),""Not Available"")"),0.605292635116214)</f>
        <v>0.6052926351</v>
      </c>
      <c r="L19" s="7">
        <f>IFERROR(__xludf.DUMMYFUNCTION("IFERROR((G19-INDEX(GOOGLEFINANCE(C19,""price"",$R$6),2,2))/(INDEX(GOOGLEFINANCE(C19,""price"",$R$6),2,2)),""Not Available"")"),0.747180737580006)</f>
        <v>0.7471807376</v>
      </c>
      <c r="M19" s="20">
        <f t="shared" si="3"/>
        <v>460.29345</v>
      </c>
      <c r="N19" s="21">
        <f>IFERROR(__xludf.DUMMYFUNCTION("IFERROR(GOOGLEFINANCE(C19,""pe""),""Not Available"")"),13.08)</f>
        <v>13.08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8" t="str">
        <f>IFERROR(__xludf.DUMMYFUNCTION("IFERROR(GOOGLEFINANCE(C20,""name""),""Not Available"")"),"RXO Inc")</f>
        <v>RXO Inc</v>
      </c>
      <c r="C20" s="1" t="s">
        <v>65</v>
      </c>
      <c r="D20" s="23">
        <v>13.0</v>
      </c>
      <c r="E20" s="17">
        <v>17.91538</v>
      </c>
      <c r="F20" s="39">
        <v>232.9</v>
      </c>
      <c r="G20" s="17">
        <f>IFERROR(__xludf.DUMMYFUNCTION("IFERROR(GOOGLEFINANCE(C20,""price""),""Not Available)"")"),20.91)</f>
        <v>20.91</v>
      </c>
      <c r="H20" s="18">
        <f t="shared" si="1"/>
        <v>271.83</v>
      </c>
      <c r="I20" s="19">
        <f t="shared" si="2"/>
        <v>0.1671535854</v>
      </c>
      <c r="J20" s="19">
        <f>IFERROR(__xludf.DUMMYFUNCTION("(G20-INDEX(GOOGLEFINANCE(C20,""price"",TODAY()-7),2,2))/(INDEX(GOOGLEFINANCE(C20,""price"",TODAY()-7),2,2))"),0.027518427518427455)</f>
        <v>0.02751842752</v>
      </c>
      <c r="K20" s="7">
        <f>IFERROR(__xludf.DUMMYFUNCTION("IFERROR((G20-INDEX(GOOGLEFINANCE(C20,""price"",TODAY()-365),2,2))/(INDEX(GOOGLEFINANCE(C20,""price"",TODAY()-365),2,2)),""Not Available"")"),0.05873417721518988)</f>
        <v>0.05873417722</v>
      </c>
      <c r="L20" s="7">
        <f>IFERROR(__xludf.DUMMYFUNCTION("IFERROR((G20-INDEX(GOOGLEFINANCE(C20,""price"",$R$6),2,2))/(INDEX(GOOGLEFINANCE(C20,""price"",$R$6),2,2)),""Not Available"")"),0.2156976744186047)</f>
        <v>0.2156976744</v>
      </c>
      <c r="M20" s="20">
        <f t="shared" si="3"/>
        <v>38.93</v>
      </c>
      <c r="N20" s="21">
        <f>IFERROR(__xludf.DUMMYFUNCTION("IFERROR(GOOGLEFINANCE(C20,""pe""),""Not Available"")"),624.37)</f>
        <v>624.37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8" t="str">
        <f>IFERROR(__xludf.DUMMYFUNCTION("IFERROR(GOOGLEFINANCE(C21,""name""),""Not Available"")"),"XPO Inc")</f>
        <v>XPO Inc</v>
      </c>
      <c r="C21" s="1" t="s">
        <v>70</v>
      </c>
      <c r="D21" s="23">
        <v>13.0</v>
      </c>
      <c r="E21" s="17">
        <v>30.54846</v>
      </c>
      <c r="F21" s="39">
        <v>397.13</v>
      </c>
      <c r="G21" s="17">
        <f>IFERROR(__xludf.DUMMYFUNCTION("IFERROR(GOOGLEFINANCE(C21,""price""),""Not Available)"")"),122.43)</f>
        <v>122.43</v>
      </c>
      <c r="H21" s="18">
        <f t="shared" si="1"/>
        <v>1591.59</v>
      </c>
      <c r="I21" s="19">
        <f t="shared" si="2"/>
        <v>3.007730668</v>
      </c>
      <c r="J21" s="19">
        <f>IFERROR(__xludf.DUMMYFUNCTION("(G21-INDEX(GOOGLEFINANCE(C21,""price"",TODAY()-7),2,2))/(INDEX(GOOGLEFINANCE(C21,""price"",TODAY()-7),2,2))"),0.008650519031141963)</f>
        <v>0.008650519031</v>
      </c>
      <c r="K21" s="7">
        <f>IFERROR(__xludf.DUMMYFUNCTION("IFERROR((G21-INDEX(GOOGLEFINANCE(C21,""price"",TODAY()-365),2,2))/(INDEX(GOOGLEFINANCE(C21,""price"",TODAY()-365),2,2)),""Not Available"")"),2.756673826327094)</f>
        <v>2.756673826</v>
      </c>
      <c r="L21" s="7">
        <f>IFERROR(__xludf.DUMMYFUNCTION("IFERROR((G21-INDEX(GOOGLEFINANCE(C21,""price"",$R$6),2,2))/(INDEX(GOOGLEFINANCE(C21,""price"",$R$6),2,2)),""Not Available"")"),2.784544049459042)</f>
        <v>2.784544049</v>
      </c>
      <c r="M21" s="20">
        <f t="shared" si="3"/>
        <v>1194.46</v>
      </c>
      <c r="N21" s="21">
        <f>IFERROR(__xludf.DUMMYFUNCTION("IFERROR(GOOGLEFINANCE(C21,""pe""),""Not Available"")"),75.24)</f>
        <v>75.24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K22" s="7"/>
      <c r="L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8" t="s">
        <v>95</v>
      </c>
      <c r="C23" s="8"/>
      <c r="D23" s="8"/>
      <c r="E23" s="8"/>
      <c r="F23" s="40">
        <f>SUM(F10:F21)</f>
        <v>10035.08</v>
      </c>
      <c r="G23" s="40"/>
      <c r="H23" s="40">
        <f>SUM(H10:H21)</f>
        <v>16008.09138</v>
      </c>
      <c r="I23" s="40"/>
      <c r="J23" s="40"/>
      <c r="K23" s="40"/>
      <c r="L23" s="40"/>
      <c r="M23" s="40">
        <f>SUM(M10:M21)</f>
        <v>5973.01138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</sheetData>
  <mergeCells count="2">
    <mergeCell ref="D8:F8"/>
    <mergeCell ref="G8:O8"/>
  </mergeCells>
  <conditionalFormatting sqref="I10:L22 K24:L24">
    <cfRule type="cellIs" dxfId="0" priority="1" operator="greaterThan">
      <formula>0</formula>
    </cfRule>
  </conditionalFormatting>
  <conditionalFormatting sqref="K10:M22 K24:L24">
    <cfRule type="cellIs" dxfId="1" priority="2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SUM(H10:H15)</f>
        <v>9811.52796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COUNT(D10:D24)</f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37" t="s">
        <v>92</v>
      </c>
      <c r="L9" s="37" t="s">
        <v>75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Available"")"),"Academy Sports and Outdoors Inc")</f>
        <v>Academy Sports and Outdoors Inc</v>
      </c>
      <c r="C10" s="1" t="s">
        <v>21</v>
      </c>
      <c r="D10" s="23">
        <v>5.007</v>
      </c>
      <c r="E10" s="17">
        <v>45.69003</v>
      </c>
      <c r="F10" s="39">
        <v>228.77</v>
      </c>
      <c r="G10" s="17">
        <f>IFERROR(__xludf.DUMMYFUNCTION("IFERROR(GOOGLEFINANCE(C10,""price""),""Not Available)"")"),70.2)</f>
        <v>70.2</v>
      </c>
      <c r="H10" s="18">
        <f t="shared" ref="H10:H15" si="1">G10*D10</f>
        <v>351.4914</v>
      </c>
      <c r="I10" s="19">
        <f t="shared" ref="I10:I15" si="2">G10/E10-1</f>
        <v>0.5364402256</v>
      </c>
      <c r="J10" s="19">
        <f>IFERROR(__xludf.DUMMYFUNCTION("(G10-INDEX(GOOGLEFINANCE(C10,""price"",TODAY()-7),2,2))/(INDEX(GOOGLEFINANCE(C10,""price"",TODAY()-7),2,2))"),-0.06124632254613531)</f>
        <v>-0.06124632255</v>
      </c>
      <c r="K10" s="7">
        <f>IFERROR(__xludf.DUMMYFUNCTION("IFERROR((G10-INDEX(GOOGLEFINANCE(C10,""price"",TODAY()-365),2,2))/(INDEX(GOOGLEFINANCE(C10,""price"",TODAY()-365),2,2)),""Not Available"")"),0.20102651839178784)</f>
        <v>0.2010265184</v>
      </c>
      <c r="L10" s="7">
        <f>IFERROR(__xludf.DUMMYFUNCTION("IFERROR((G10-INDEX(GOOGLEFINANCE(C10,""price"",$R$6),2,2))/(INDEX(GOOGLEFINANCE(C10,""price"",$R$6),2,2)),""Not Available"")"),0.3824340291453328)</f>
        <v>0.3824340291</v>
      </c>
      <c r="M10" s="20">
        <f t="shared" ref="M10:M15" si="3">H10-F10</f>
        <v>122.7214</v>
      </c>
      <c r="N10" s="21">
        <f>IFERROR(__xludf.DUMMYFUNCTION("IFERROR(GOOGLEFINANCE(C10,""pe""),""Not Available"")"),10.87)</f>
        <v>10.87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8" t="str">
        <f>IFERROR(__xludf.DUMMYFUNCTION("IFERROR(GOOGLEFINANCE(C11,""name""),""Not Available"")"),"Berkshire Hathaway Inc Class B")</f>
        <v>Berkshire Hathaway Inc Class B</v>
      </c>
      <c r="C11" s="1" t="s">
        <v>23</v>
      </c>
      <c r="D11" s="23">
        <v>6.0</v>
      </c>
      <c r="E11" s="17">
        <v>166.55167</v>
      </c>
      <c r="F11" s="39">
        <v>999.31</v>
      </c>
      <c r="G11" s="17">
        <f>IFERROR(__xludf.DUMMYFUNCTION("IFERROR(GOOGLEFINANCE(C11,""price""),""Not Available)"")"),403.15)</f>
        <v>403.15</v>
      </c>
      <c r="H11" s="18">
        <f t="shared" si="1"/>
        <v>2418.9</v>
      </c>
      <c r="I11" s="19">
        <f t="shared" si="2"/>
        <v>1.420570145</v>
      </c>
      <c r="J11" s="19">
        <f>IFERROR(__xludf.DUMMYFUNCTION("(G11-INDEX(GOOGLEFINANCE(C11,""price"",TODAY()-7),2,2))/(INDEX(GOOGLEFINANCE(C11,""price"",TODAY()-7),2,2))"),-5.94957733211059E-4)</f>
        <v>-0.0005949577332</v>
      </c>
      <c r="K11" s="7">
        <f>IFERROR(__xludf.DUMMYFUNCTION("IFERROR((G11-INDEX(GOOGLEFINANCE(C11,""price"",TODAY()-365),2,2))/(INDEX(GOOGLEFINANCE(C11,""price"",TODAY()-365),2,2)),""Not Available"")"),0.33105520338087685)</f>
        <v>0.3310552034</v>
      </c>
      <c r="L11" s="7">
        <f>IFERROR(__xludf.DUMMYFUNCTION("IFERROR((G11-INDEX(GOOGLEFINANCE(C11,""price"",$R$6),2,2))/(INDEX(GOOGLEFINANCE(C11,""price"",$R$6),2,2)),""Not Available"")"),0.30086154044722646)</f>
        <v>0.3008615404</v>
      </c>
      <c r="M11" s="20">
        <f t="shared" si="3"/>
        <v>1419.59</v>
      </c>
      <c r="N11" s="21">
        <f>IFERROR(__xludf.DUMMYFUNCTION("IFERROR(GOOGLEFINANCE(C11,""pe""),""Not Available"")"),0.01)</f>
        <v>0.01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Available"")"),"Costco Wholesale Corporation")</f>
        <v>Costco Wholesale Corporation</v>
      </c>
      <c r="C12" s="1" t="s">
        <v>27</v>
      </c>
      <c r="D12" s="23">
        <v>3.341</v>
      </c>
      <c r="E12" s="17">
        <v>313.55881</v>
      </c>
      <c r="F12" s="38">
        <v>1047.6</v>
      </c>
      <c r="G12" s="17">
        <f>IFERROR(__xludf.DUMMYFUNCTION("IFERROR(GOOGLEFINANCE(C12,""price""),""Not Available)"")"),725.56)</f>
        <v>725.56</v>
      </c>
      <c r="H12" s="18">
        <f t="shared" si="1"/>
        <v>2424.09596</v>
      </c>
      <c r="I12" s="19">
        <f t="shared" si="2"/>
        <v>1.313951887</v>
      </c>
      <c r="J12" s="19">
        <f>IFERROR(__xludf.DUMMYFUNCTION("(G12-INDEX(GOOGLEFINANCE(C12,""price"",TODAY()-7),2,2))/(INDEX(GOOGLEFINANCE(C12,""price"",TODAY()-7),2,2))"),-0.04428462288258385)</f>
        <v>-0.04428462288</v>
      </c>
      <c r="K12" s="7">
        <f>IFERROR(__xludf.DUMMYFUNCTION("IFERROR((G12-INDEX(GOOGLEFINANCE(C12,""price"",TODAY()-365),2,2))/(INDEX(GOOGLEFINANCE(C12,""price"",TODAY()-365),2,2)),""Not Available"")"),0.5372033898305083)</f>
        <v>0.5372033898</v>
      </c>
      <c r="L12" s="7">
        <f>IFERROR(__xludf.DUMMYFUNCTION("IFERROR((G12-INDEX(GOOGLEFINANCE(C12,""price"",$R$6),2,2))/(INDEX(GOOGLEFINANCE(C12,""price"",$R$6),2,2)),""Not Available"")"),0.6006883162725026)</f>
        <v>0.6006883163</v>
      </c>
      <c r="M12" s="20">
        <f t="shared" si="3"/>
        <v>1376.49596</v>
      </c>
      <c r="N12" s="21">
        <f>IFERROR(__xludf.DUMMYFUNCTION("IFERROR(GOOGLEFINANCE(C12,""pe""),""Not Available"")"),49.48)</f>
        <v>49.48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 t="str">
        <f>IFERROR(__xludf.DUMMYFUNCTION("IFERROR(GOOGLEFINANCE(C13,""name""),""Not Available"")"),"Capri Holdings Ltd")</f>
        <v>Capri Holdings Ltd</v>
      </c>
      <c r="C13" s="1" t="s">
        <v>28</v>
      </c>
      <c r="D13" s="23">
        <v>27.0</v>
      </c>
      <c r="E13" s="17">
        <v>43.82</v>
      </c>
      <c r="F13" s="38">
        <v>1183.14</v>
      </c>
      <c r="G13" s="17">
        <f>IFERROR(__xludf.DUMMYFUNCTION("IFERROR(GOOGLEFINANCE(C13,""price""),""Not Available)"")"),46.79)</f>
        <v>46.79</v>
      </c>
      <c r="H13" s="18">
        <f t="shared" si="1"/>
        <v>1263.33</v>
      </c>
      <c r="I13" s="19">
        <f t="shared" si="2"/>
        <v>0.06777727065</v>
      </c>
      <c r="J13" s="19">
        <f>IFERROR(__xludf.DUMMYFUNCTION("(G13-INDEX(GOOGLEFINANCE(C13,""price"",TODAY()-7),2,2))/(INDEX(GOOGLEFINANCE(C13,""price"",TODAY()-7),2,2))"),0.02094697796203362)</f>
        <v>0.02094697796</v>
      </c>
      <c r="K13" s="7">
        <f>IFERROR(__xludf.DUMMYFUNCTION("IFERROR((G13-INDEX(GOOGLEFINANCE(C13,""price"",TODAY()-365),2,2))/(INDEX(GOOGLEFINANCE(C13,""price"",TODAY()-365),2,2)),""Not Available"")"),0.14149792632349345)</f>
        <v>0.1414979263</v>
      </c>
      <c r="L13" s="7">
        <f>IFERROR(__xludf.DUMMYFUNCTION("IFERROR((G13-INDEX(GOOGLEFINANCE(C13,""price"",$R$6),2,2))/(INDEX(GOOGLEFINANCE(C13,""price"",$R$6),2,2)),""Not Available"")"),-0.19006404708326127)</f>
        <v>-0.1900640471</v>
      </c>
      <c r="M13" s="20">
        <f t="shared" si="3"/>
        <v>80.19</v>
      </c>
      <c r="N13" s="21">
        <f>IFERROR(__xludf.DUMMYFUNCTION("IFERROR(GOOGLEFINANCE(C13,""pe""),""Not Available"")"),26.22)</f>
        <v>26.22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tr">
        <f>IFERROR(__xludf.DUMMYFUNCTION("IFERROR(GOOGLEFINANCE(C14,""name""),""Not Available"")"),"CVS Health Corp")</f>
        <v>CVS Health Corp</v>
      </c>
      <c r="C14" s="1" t="s">
        <v>29</v>
      </c>
      <c r="D14" s="23">
        <v>15.926</v>
      </c>
      <c r="E14" s="17">
        <v>91.26899</v>
      </c>
      <c r="F14" s="38">
        <v>1453.55</v>
      </c>
      <c r="G14" s="17">
        <f>IFERROR(__xludf.DUMMYFUNCTION("IFERROR(GOOGLEFINANCE(C14,""price""),""Not Available)"")"),75.07)</f>
        <v>75.07</v>
      </c>
      <c r="H14" s="18">
        <f t="shared" si="1"/>
        <v>1195.56482</v>
      </c>
      <c r="I14" s="19">
        <f t="shared" si="2"/>
        <v>-0.1774862415</v>
      </c>
      <c r="J14" s="19">
        <f>IFERROR(__xludf.DUMMYFUNCTION("(G14-INDEX(GOOGLEFINANCE(C14,""price"",TODAY()-7),2,2))/(INDEX(GOOGLEFINANCE(C14,""price"",TODAY()-7),2,2))"),0.015969684666395895)</f>
        <v>0.01596968467</v>
      </c>
      <c r="K14" s="7">
        <f>IFERROR(__xludf.DUMMYFUNCTION("IFERROR((G14-INDEX(GOOGLEFINANCE(C14,""price"",TODAY()-365),2,2))/(INDEX(GOOGLEFINANCE(C14,""price"",TODAY()-365),2,2)),""Not Available"")"),-0.015862611431568013)</f>
        <v>-0.01586261143</v>
      </c>
      <c r="L14" s="7">
        <f>IFERROR(__xludf.DUMMYFUNCTION("IFERROR((G14-INDEX(GOOGLEFINANCE(C14,""price"",$R$6),2,2))/(INDEX(GOOGLEFINANCE(C14,""price"",$R$6),2,2)),""Not Available"")"),-0.19201377677322143)</f>
        <v>-0.1920137768</v>
      </c>
      <c r="M14" s="20">
        <f t="shared" si="3"/>
        <v>-257.98518</v>
      </c>
      <c r="N14" s="21">
        <f>IFERROR(__xludf.DUMMYFUNCTION("IFERROR(GOOGLEFINANCE(C14,""pe""),""Not Available"")"),11.61)</f>
        <v>11.61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 t="str">
        <f>IFERROR(__xludf.DUMMYFUNCTION("IFERROR(GOOGLEFINANCE(C15,""name""),""Not Available"")"),"PVH Corp")</f>
        <v>PVH Corp</v>
      </c>
      <c r="C15" s="1" t="s">
        <v>61</v>
      </c>
      <c r="D15" s="23">
        <v>16.066</v>
      </c>
      <c r="E15" s="17">
        <v>48.04058</v>
      </c>
      <c r="F15" s="39">
        <v>771.82</v>
      </c>
      <c r="G15" s="17">
        <f>IFERROR(__xludf.DUMMYFUNCTION("IFERROR(GOOGLEFINANCE(C15,""price""),""Not Available)"")"),134.33)</f>
        <v>134.33</v>
      </c>
      <c r="H15" s="18">
        <f t="shared" si="1"/>
        <v>2158.14578</v>
      </c>
      <c r="I15" s="19">
        <f t="shared" si="2"/>
        <v>1.796177731</v>
      </c>
      <c r="J15" s="19">
        <f>IFERROR(__xludf.DUMMYFUNCTION("(G15-INDEX(GOOGLEFINANCE(C15,""price"",TODAY()-7),2,2))/(INDEX(GOOGLEFINANCE(C15,""price"",TODAY()-7),2,2))"),-0.024048241790177085)</f>
        <v>-0.02404824179</v>
      </c>
      <c r="K15" s="7">
        <f>IFERROR(__xludf.DUMMYFUNCTION("IFERROR((G15-INDEX(GOOGLEFINANCE(C15,""price"",TODAY()-365),2,2))/(INDEX(GOOGLEFINANCE(C15,""price"",TODAY()-365),2,2)),""Not Available"")"),0.8482388552559164)</f>
        <v>0.8482388553</v>
      </c>
      <c r="L15" s="7">
        <f>IFERROR(__xludf.DUMMYFUNCTION("IFERROR((G15-INDEX(GOOGLEFINANCE(C15,""price"",$R$6),2,2))/(INDEX(GOOGLEFINANCE(C15,""price"",$R$6),2,2)),""Not Available"")"),0.8824271300448432)</f>
        <v>0.88242713</v>
      </c>
      <c r="M15" s="20">
        <f t="shared" si="3"/>
        <v>1386.32578</v>
      </c>
      <c r="N15" s="21">
        <f>IFERROR(__xludf.DUMMYFUNCTION("IFERROR(GOOGLEFINANCE(C15,""pe""),""Not Available"")"),15.81)</f>
        <v>15.81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 t="s">
        <v>95</v>
      </c>
      <c r="C17" s="8"/>
      <c r="D17" s="8"/>
      <c r="E17" s="8"/>
      <c r="F17" s="40">
        <f>SUM(F10:F15)</f>
        <v>5684.19</v>
      </c>
      <c r="G17" s="40"/>
      <c r="H17" s="40">
        <f>SUM(H10:H15)</f>
        <v>9811.52796</v>
      </c>
      <c r="I17" s="40"/>
      <c r="J17" s="40"/>
      <c r="K17" s="40"/>
      <c r="L17" s="7"/>
      <c r="M17" s="40">
        <f>SUM(M10:M15)</f>
        <v>4127.33796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</sheetData>
  <mergeCells count="2">
    <mergeCell ref="D8:F8"/>
    <mergeCell ref="G8:O8"/>
  </mergeCells>
  <conditionalFormatting sqref="I10:J15 K10:K16 L10:L24 K18:K24">
    <cfRule type="cellIs" dxfId="0" priority="1" operator="greaterThan">
      <formula>0</formula>
    </cfRule>
  </conditionalFormatting>
  <conditionalFormatting sqref="K10:K16 L10:L21 M10:M15 K18:K21">
    <cfRule type="cellIs" dxfId="1" priority="2" operator="lessThan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SUM(H10:H18)</f>
        <v>10203.94363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COUNT(D10:D24)</f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37" t="s">
        <v>92</v>
      </c>
      <c r="L9" s="37" t="s">
        <v>75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Available"")"),"AbbVie Inc")</f>
        <v>AbbVie Inc</v>
      </c>
      <c r="C10" s="42" t="s">
        <v>19</v>
      </c>
      <c r="D10" s="43">
        <v>6.198</v>
      </c>
      <c r="E10" s="44">
        <v>93.21878</v>
      </c>
      <c r="F10" s="45">
        <v>577.77</v>
      </c>
      <c r="G10" s="44">
        <f>IFERROR(__xludf.DUMMYFUNCTION("IFERROR(GOOGLEFINANCE(C10,""price""),""Not Available)"")"),178.85)</f>
        <v>178.85</v>
      </c>
      <c r="H10" s="44">
        <f t="shared" ref="H10:H18" si="1">G10*D10</f>
        <v>1108.5123</v>
      </c>
      <c r="I10" s="46">
        <f t="shared" ref="I10:I18" si="2">G10/E10-1</f>
        <v>0.9186048133</v>
      </c>
      <c r="J10" s="46">
        <f>IFERROR(__xludf.DUMMYFUNCTION("(G10-INDEX(GOOGLEFINANCE(C10,""price"",TODAY()-7),2,2))/(INDEX(GOOGLEFINANCE(C10,""price"",TODAY()-7),2,2))"),0.010166619598983241)</f>
        <v>0.0101666196</v>
      </c>
      <c r="K10" s="7">
        <f>IFERROR(__xludf.DUMMYFUNCTION("IFERROR((G10-INDEX(GOOGLEFINANCE(C10,""price"",TODAY()-365),2,2))/(INDEX(GOOGLEFINANCE(C10,""price"",TODAY()-365),2,2)),""Not Available"")"),0.17703191839420868)</f>
        <v>0.1770319184</v>
      </c>
      <c r="L10" s="7">
        <f>IFERROR(__xludf.DUMMYFUNCTION("IFERROR((G10-INDEX(GOOGLEFINANCE(C10,""price"",$R$6),2,2))/(INDEX(GOOGLEFINANCE(C10,""price"",$R$6),2,2)),""Not Available"")"),0.1014287473826826)</f>
        <v>0.1014287474</v>
      </c>
      <c r="M10" s="47">
        <f t="shared" ref="M10:M18" si="3">H10-F10</f>
        <v>530.7423</v>
      </c>
      <c r="N10" s="48">
        <f>IFERROR(__xludf.DUMMYFUNCTION("IFERROR(GOOGLEFINANCE(C10,""pe""),""Not Available"")"),65.79)</f>
        <v>65.79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8" t="str">
        <f>IFERROR(__xludf.DUMMYFUNCTION("IFERROR(GOOGLEFINANCE(C11,""name""),""Not Available"")"),"Enhabit Inc")</f>
        <v>Enhabit Inc</v>
      </c>
      <c r="C11" s="42" t="s">
        <v>32</v>
      </c>
      <c r="D11" s="43">
        <v>9.0</v>
      </c>
      <c r="E11" s="44">
        <v>23.57222</v>
      </c>
      <c r="F11" s="45">
        <v>212.15</v>
      </c>
      <c r="G11" s="44">
        <f>IFERROR(__xludf.DUMMYFUNCTION("IFERROR(GOOGLEFINANCE(C11,""price""),""Not Available)"")"),10.34)</f>
        <v>10.34</v>
      </c>
      <c r="H11" s="44">
        <f t="shared" si="1"/>
        <v>93.06</v>
      </c>
      <c r="I11" s="49">
        <f t="shared" si="2"/>
        <v>-0.5613480614</v>
      </c>
      <c r="J11" s="49">
        <f>IFERROR(__xludf.DUMMYFUNCTION("(G11-INDEX(GOOGLEFINANCE(C11,""price"",TODAY()-7),2,2))/(INDEX(GOOGLEFINANCE(C11,""price"",TODAY()-7),2,2))"),0.25790754257907533)</f>
        <v>0.2579075426</v>
      </c>
      <c r="K11" s="7">
        <f>IFERROR(__xludf.DUMMYFUNCTION("IFERROR((G11-INDEX(GOOGLEFINANCE(C11,""price"",TODAY()-365),2,2))/(INDEX(GOOGLEFINANCE(C11,""price"",TODAY()-365),2,2)),""Not Available"")"),-0.26142857142857145)</f>
        <v>-0.2614285714</v>
      </c>
      <c r="L11" s="7">
        <f>IFERROR(__xludf.DUMMYFUNCTION("IFERROR((G11-INDEX(GOOGLEFINANCE(C11,""price"",$R$6),2,2))/(INDEX(GOOGLEFINANCE(C11,""price"",$R$6),2,2)),""Not Available"")"),-0.20583717357910905)</f>
        <v>-0.2058371736</v>
      </c>
      <c r="M11" s="50">
        <f t="shared" si="3"/>
        <v>-119.09</v>
      </c>
      <c r="N11" s="48" t="str">
        <f>IFERROR(__xludf.DUMMYFUNCTION("IFERROR(GOOGLEFINANCE(C11,""pe""),""Not Available"")"),"Not Available")</f>
        <v>Not Available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Available"")"),"Encompass Health Corp")</f>
        <v>Encompass Health Corp</v>
      </c>
      <c r="C12" s="42" t="s">
        <v>33</v>
      </c>
      <c r="D12" s="43">
        <v>19.427</v>
      </c>
      <c r="E12" s="44">
        <v>47.7835</v>
      </c>
      <c r="F12" s="45">
        <v>928.29</v>
      </c>
      <c r="G12" s="44">
        <f>IFERROR(__xludf.DUMMYFUNCTION("IFERROR(GOOGLEFINANCE(C12,""price""),""Not Available)"")"),76.45)</f>
        <v>76.45</v>
      </c>
      <c r="H12" s="44">
        <f t="shared" si="1"/>
        <v>1485.19415</v>
      </c>
      <c r="I12" s="46">
        <f t="shared" si="2"/>
        <v>0.5999246602</v>
      </c>
      <c r="J12" s="46">
        <f>IFERROR(__xludf.DUMMYFUNCTION("(G12-INDEX(GOOGLEFINANCE(C12,""price"",TODAY()-7),2,2))/(INDEX(GOOGLEFINANCE(C12,""price"",TODAY()-7),2,2))"),0.02123964734170456)</f>
        <v>0.02123964734</v>
      </c>
      <c r="K12" s="7">
        <f>IFERROR(__xludf.DUMMYFUNCTION("IFERROR((G12-INDEX(GOOGLEFINANCE(C12,""price"",TODAY()-365),2,2))/(INDEX(GOOGLEFINANCE(C12,""price"",TODAY()-365),2,2)),""Not Available"")"),0.44764249195228173)</f>
        <v>0.447642492</v>
      </c>
      <c r="L12" s="7">
        <f>IFERROR(__xludf.DUMMYFUNCTION("IFERROR((G12-INDEX(GOOGLEFINANCE(C12,""price"",$R$6),2,2))/(INDEX(GOOGLEFINANCE(C12,""price"",$R$6),2,2)),""Not Available"")"),0.28573831146989576)</f>
        <v>0.2857383115</v>
      </c>
      <c r="M12" s="47">
        <f t="shared" si="3"/>
        <v>556.90415</v>
      </c>
      <c r="N12" s="48">
        <f>IFERROR(__xludf.DUMMYFUNCTION("IFERROR(GOOGLEFINANCE(C12,""pe""),""Not Available"")"),21.42)</f>
        <v>21.42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 t="str">
        <f>IFERROR(__xludf.DUMMYFUNCTION("IFERROR(GOOGLEFINANCE(C13,""name""),""Not Available"")"),"McKesson Corp")</f>
        <v>McKesson Corp</v>
      </c>
      <c r="C13" s="42" t="s">
        <v>50</v>
      </c>
      <c r="D13" s="43">
        <v>3.894</v>
      </c>
      <c r="E13" s="44">
        <v>180.44171</v>
      </c>
      <c r="F13" s="45">
        <v>702.64</v>
      </c>
      <c r="G13" s="44">
        <f>IFERROR(__xludf.DUMMYFUNCTION("IFERROR(GOOGLEFINANCE(C13,""price""),""Not Available)"")"),527.41)</f>
        <v>527.41</v>
      </c>
      <c r="H13" s="44">
        <f t="shared" si="1"/>
        <v>2053.73454</v>
      </c>
      <c r="I13" s="46">
        <f t="shared" si="2"/>
        <v>1.922882963</v>
      </c>
      <c r="J13" s="46">
        <f>IFERROR(__xludf.DUMMYFUNCTION("(G13-INDEX(GOOGLEFINANCE(C13,""price"",TODAY()-7),2,2))/(INDEX(GOOGLEFINANCE(C13,""price"",TODAY()-7),2,2))"),-0.012673630611404363)</f>
        <v>-0.01267363061</v>
      </c>
      <c r="K13" s="7">
        <f>IFERROR(__xludf.DUMMYFUNCTION("IFERROR((G13-INDEX(GOOGLEFINANCE(C13,""price"",TODAY()-365),2,2))/(INDEX(GOOGLEFINANCE(C13,""price"",TODAY()-365),2,2)),""Not Available"")"),0.5724806201550388)</f>
        <v>0.5724806202</v>
      </c>
      <c r="L13" s="7">
        <f>IFERROR(__xludf.DUMMYFUNCTION("IFERROR((G13-INDEX(GOOGLEFINANCE(C13,""price"",$R$6),2,2))/(INDEX(GOOGLEFINANCE(C13,""price"",$R$6),2,2)),""Not Available"")"),0.4089439799107739)</f>
        <v>0.4089439799</v>
      </c>
      <c r="M13" s="47">
        <f t="shared" si="3"/>
        <v>1351.09454</v>
      </c>
      <c r="N13" s="48">
        <f>IFERROR(__xludf.DUMMYFUNCTION("IFERROR(GOOGLEFINANCE(C13,""pe""),""Not Available"")"),23.89)</f>
        <v>23.89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tr">
        <f>IFERROR(__xludf.DUMMYFUNCTION("IFERROR(GOOGLEFINANCE(C14,""name""),""Not Available"")"),"Molina Healthcare Inc")</f>
        <v>Molina Healthcare Inc</v>
      </c>
      <c r="C14" s="1" t="s">
        <v>53</v>
      </c>
      <c r="D14" s="23">
        <v>4.0</v>
      </c>
      <c r="E14" s="17">
        <v>272.845</v>
      </c>
      <c r="F14" s="38">
        <v>1091.38</v>
      </c>
      <c r="G14" s="17">
        <f>IFERROR(__xludf.DUMMYFUNCTION("IFERROR(GOOGLEFINANCE(C14,""price""),""Not Available)"")"),392.63)</f>
        <v>392.63</v>
      </c>
      <c r="H14" s="18">
        <f t="shared" si="1"/>
        <v>1570.52</v>
      </c>
      <c r="I14" s="19">
        <f t="shared" si="2"/>
        <v>0.4390221554</v>
      </c>
      <c r="J14" s="19">
        <f>IFERROR(__xludf.DUMMYFUNCTION("(G14-INDEX(GOOGLEFINANCE(C14,""price"",TODAY()-7),2,2))/(INDEX(GOOGLEFINANCE(C14,""price"",TODAY()-7),2,2))"),0.01572888371491394)</f>
        <v>0.01572888371</v>
      </c>
      <c r="K14" s="7">
        <f>IFERROR(__xludf.DUMMYFUNCTION("IFERROR((G14-INDEX(GOOGLEFINANCE(C14,""price"",TODAY()-365),2,2))/(INDEX(GOOGLEFINANCE(C14,""price"",TODAY()-365),2,2)),""Not Available"")"),0.4889832758162994)</f>
        <v>0.4889832758</v>
      </c>
      <c r="L14" s="7">
        <f>IFERROR(__xludf.DUMMYFUNCTION("IFERROR((G14-INDEX(GOOGLEFINANCE(C14,""price"",$R$6),2,2))/(INDEX(GOOGLEFINANCE(C14,""price"",$R$6),2,2)),""Not Available"")"),0.2311237928007023)</f>
        <v>0.2311237928</v>
      </c>
      <c r="M14" s="20">
        <f t="shared" si="3"/>
        <v>479.14</v>
      </c>
      <c r="N14" s="21">
        <f>IFERROR(__xludf.DUMMYFUNCTION("IFERROR(GOOGLEFINANCE(C14,""pe""),""Not Available"")"),20.91)</f>
        <v>20.91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 t="str">
        <f>IFERROR(__xludf.DUMMYFUNCTION("IFERROR(GOOGLEFINANCE(C15,""name""),""Not Available"")"),"Merck &amp; Co Inc")</f>
        <v>Merck &amp; Co Inc</v>
      </c>
      <c r="C15" s="42" t="s">
        <v>54</v>
      </c>
      <c r="D15" s="43">
        <v>4.776</v>
      </c>
      <c r="E15" s="44">
        <v>79.43049</v>
      </c>
      <c r="F15" s="45">
        <v>379.36</v>
      </c>
      <c r="G15" s="44">
        <f>IFERROR(__xludf.DUMMYFUNCTION("IFERROR(GOOGLEFINANCE(C15,""price""),""Not Available)"")"),123.5)</f>
        <v>123.5</v>
      </c>
      <c r="H15" s="44">
        <f t="shared" si="1"/>
        <v>589.836</v>
      </c>
      <c r="I15" s="46">
        <f t="shared" si="2"/>
        <v>0.554818559</v>
      </c>
      <c r="J15" s="46">
        <f>IFERROR(__xludf.DUMMYFUNCTION("(G15-INDEX(GOOGLEFINANCE(C15,""price"",TODAY()-7),2,2))/(INDEX(GOOGLEFINANCE(C15,""price"",TODAY()-7),2,2))"),-0.004433696090286152)</f>
        <v>-0.00443369609</v>
      </c>
      <c r="K15" s="7">
        <f>IFERROR(__xludf.DUMMYFUNCTION("IFERROR((G15-INDEX(GOOGLEFINANCE(C15,""price"",TODAY()-365),2,2))/(INDEX(GOOGLEFINANCE(C15,""price"",TODAY()-365),2,2)),""Not Available"")"),0.16806961127399977)</f>
        <v>0.1680696113</v>
      </c>
      <c r="L15" s="7">
        <f>IFERROR(__xludf.DUMMYFUNCTION("IFERROR((G15-INDEX(GOOGLEFINANCE(C15,""price"",$R$6),2,2))/(INDEX(GOOGLEFINANCE(C15,""price"",$R$6),2,2)),""Not Available"")"),0.11121108511786935)</f>
        <v>0.1112110851</v>
      </c>
      <c r="M15" s="47">
        <f t="shared" si="3"/>
        <v>210.476</v>
      </c>
      <c r="N15" s="48">
        <f>IFERROR(__xludf.DUMMYFUNCTION("IFERROR(GOOGLEFINANCE(C15,""pe""),""Not Available"")"),861.77)</f>
        <v>861.77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8" t="str">
        <f>IFERROR(__xludf.DUMMYFUNCTION("IFERROR(GOOGLEFINANCE(C16,""name""),""Not Available"")"),"Neurocrine Biosciences, Inc.")</f>
        <v>Neurocrine Biosciences, Inc.</v>
      </c>
      <c r="C16" s="42" t="s">
        <v>55</v>
      </c>
      <c r="D16" s="43">
        <v>10.0</v>
      </c>
      <c r="E16" s="44">
        <v>101.2</v>
      </c>
      <c r="F16" s="45">
        <v>1012.0</v>
      </c>
      <c r="G16" s="44">
        <f>IFERROR(__xludf.DUMMYFUNCTION("IFERROR(GOOGLEFINANCE(C16,""price""),""Not Available)"")"),139.22)</f>
        <v>139.22</v>
      </c>
      <c r="H16" s="44">
        <f t="shared" si="1"/>
        <v>1392.2</v>
      </c>
      <c r="I16" s="46">
        <f t="shared" si="2"/>
        <v>0.3756916996</v>
      </c>
      <c r="J16" s="46">
        <f>IFERROR(__xludf.DUMMYFUNCTION("(G16-INDEX(GOOGLEFINANCE(C16,""price"",TODAY()-7),2,2))/(INDEX(GOOGLEFINANCE(C16,""price"",TODAY()-7),2,2))"),0.04582331730769226)</f>
        <v>0.04582331731</v>
      </c>
      <c r="K16" s="7">
        <f>IFERROR(__xludf.DUMMYFUNCTION("IFERROR((G16-INDEX(GOOGLEFINANCE(C16,""price"",TODAY()-365),2,2))/(INDEX(GOOGLEFINANCE(C16,""price"",TODAY()-365),2,2)),""Not Available"")"),0.4741634900465905)</f>
        <v>0.47416349</v>
      </c>
      <c r="L16" s="7">
        <f>IFERROR(__xludf.DUMMYFUNCTION("IFERROR((G16-INDEX(GOOGLEFINANCE(C16,""price"",$R$6),2,2))/(INDEX(GOOGLEFINANCE(C16,""price"",$R$6),2,2)),""Not Available"")"),0.15939373750832778)</f>
        <v>0.1593937375</v>
      </c>
      <c r="M16" s="47">
        <f t="shared" si="3"/>
        <v>380.2</v>
      </c>
      <c r="N16" s="48">
        <f>IFERROR(__xludf.DUMMYFUNCTION("IFERROR(GOOGLEFINANCE(C16,""pe""),""Not Available"")"),56.31)</f>
        <v>56.31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 t="str">
        <f>IFERROR(__xludf.DUMMYFUNCTION("IFERROR(GOOGLEFINANCE(C17,""name""),""Not Available"")"),"Takeda Pharmaceutical Co Ltd")</f>
        <v>Takeda Pharmaceutical Co Ltd</v>
      </c>
      <c r="C17" s="42" t="s">
        <v>67</v>
      </c>
      <c r="D17" s="43">
        <v>48.009</v>
      </c>
      <c r="E17" s="44">
        <v>18.43779</v>
      </c>
      <c r="F17" s="45">
        <v>885.18</v>
      </c>
      <c r="G17" s="44">
        <f>IFERROR(__xludf.DUMMYFUNCTION("IFERROR(GOOGLEFINANCE(C17,""price""),""Not Available)"")"),14.77)</f>
        <v>14.77</v>
      </c>
      <c r="H17" s="44">
        <f t="shared" si="1"/>
        <v>709.09293</v>
      </c>
      <c r="I17" s="49">
        <f t="shared" si="2"/>
        <v>-0.1989278542</v>
      </c>
      <c r="J17" s="46">
        <f>IFERROR(__xludf.DUMMYFUNCTION("(G17-INDEX(GOOGLEFINANCE(C17,""price"",TODAY()-7),2,2))/(INDEX(GOOGLEFINANCE(C17,""price"",TODAY()-7),2,2))"),0.020027624309392207)</f>
        <v>0.02002762431</v>
      </c>
      <c r="K17" s="7">
        <f>IFERROR(__xludf.DUMMYFUNCTION("IFERROR((G17-INDEX(GOOGLEFINANCE(C17,""price"",TODAY()-365),2,2))/(INDEX(GOOGLEFINANCE(C17,""price"",TODAY()-365),2,2)),""Not Available"")"),-0.07165304839723448)</f>
        <v>-0.0716530484</v>
      </c>
      <c r="L17" s="7">
        <f>IFERROR(__xludf.DUMMYFUNCTION("IFERROR((G17-INDEX(GOOGLEFINANCE(C17,""price"",$R$6),2,2))/(INDEX(GOOGLEFINANCE(C17,""price"",$R$6),2,2)),""Not Available"")"),-0.06281725888324874)</f>
        <v>-0.06281725888</v>
      </c>
      <c r="M17" s="50">
        <f t="shared" si="3"/>
        <v>-176.08707</v>
      </c>
      <c r="N17" s="48">
        <f>IFERROR(__xludf.DUMMYFUNCTION("IFERROR(GOOGLEFINANCE(C17,""pe""),""Not Available"")"),38.52)</f>
        <v>38.52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8" t="str">
        <f>IFERROR(__xludf.DUMMYFUNCTION("IFERROR(GOOGLEFINANCE(C18,""name""),""Not Available"")"),"Thermo Fisher Scientific Inc")</f>
        <v>Thermo Fisher Scientific Inc</v>
      </c>
      <c r="C18" s="42" t="s">
        <v>68</v>
      </c>
      <c r="D18" s="43">
        <v>2.011</v>
      </c>
      <c r="E18" s="44">
        <v>466.05172</v>
      </c>
      <c r="F18" s="45">
        <v>937.23</v>
      </c>
      <c r="G18" s="44">
        <f>IFERROR(__xludf.DUMMYFUNCTION("IFERROR(GOOGLEFINANCE(C18,""price""),""Not Available)"")"),597.61)</f>
        <v>597.61</v>
      </c>
      <c r="H18" s="44">
        <f t="shared" si="1"/>
        <v>1201.79371</v>
      </c>
      <c r="I18" s="46">
        <f t="shared" si="2"/>
        <v>0.2822825758</v>
      </c>
      <c r="J18" s="46">
        <f>IFERROR(__xludf.DUMMYFUNCTION("(G18-INDEX(GOOGLEFINANCE(C18,""price"",TODAY()-7),2,2))/(INDEX(GOOGLEFINANCE(C18,""price"",TODAY()-7),2,2))"),0.027456846159136284)</f>
        <v>0.02745684616</v>
      </c>
      <c r="K18" s="7">
        <f>IFERROR(__xludf.DUMMYFUNCTION("IFERROR((G18-INDEX(GOOGLEFINANCE(C18,""price"",TODAY()-365),2,2))/(INDEX(GOOGLEFINANCE(C18,""price"",TODAY()-365),2,2)),""Not Available"")"),0.10349730408449677)</f>
        <v>0.1034973041</v>
      </c>
      <c r="L18" s="7">
        <f>IFERROR(__xludf.DUMMYFUNCTION("IFERROR((G18-INDEX(GOOGLEFINANCE(C18,""price"",$R$6),2,2))/(INDEX(GOOGLEFINANCE(C18,""price"",$R$6),2,2)),""Not Available"")"),0.08031743736216072)</f>
        <v>0.08031743736</v>
      </c>
      <c r="M18" s="47">
        <f t="shared" si="3"/>
        <v>264.56371</v>
      </c>
      <c r="N18" s="48">
        <f>IFERROR(__xludf.DUMMYFUNCTION("IFERROR(GOOGLEFINANCE(C18,""pe""),""Not Available"")"),38.68)</f>
        <v>38.68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8" t="s">
        <v>95</v>
      </c>
      <c r="C20" s="8"/>
      <c r="D20" s="8"/>
      <c r="E20" s="8"/>
      <c r="F20" s="40">
        <f>SUM(F10:F18)</f>
        <v>6726</v>
      </c>
      <c r="G20" s="40"/>
      <c r="H20" s="40">
        <f>SUM(H10:H18)</f>
        <v>10203.94363</v>
      </c>
      <c r="I20" s="40"/>
      <c r="J20" s="40"/>
      <c r="K20" s="40"/>
      <c r="L20" s="40"/>
      <c r="M20" s="40">
        <f>SUM(M10:M18)</f>
        <v>3477.94363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</sheetData>
  <mergeCells count="2">
    <mergeCell ref="D8:F8"/>
    <mergeCell ref="G8:O8"/>
  </mergeCells>
  <conditionalFormatting sqref="I10:J10 L10:L19 K12:K19 I14:J14 K21:L26">
    <cfRule type="cellIs" dxfId="0" priority="1" operator="greaterThan">
      <formula>0</formula>
    </cfRule>
  </conditionalFormatting>
  <conditionalFormatting sqref="K10:L19 M10 M14 K21:L23">
    <cfRule type="cellIs" dxfId="1" priority="2" operator="less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4.43"/>
    <col customWidth="1" min="3" max="3" width="17.71"/>
    <col customWidth="1" min="4" max="4" width="12.57"/>
    <col customWidth="1" min="5" max="5" width="10.43"/>
    <col customWidth="1" min="6" max="6" width="10.86"/>
    <col customWidth="1" min="7" max="7" width="10.57"/>
    <col customWidth="1" min="8" max="8" width="9.57"/>
    <col customWidth="1" min="9" max="9" width="14.0"/>
    <col customWidth="1" min="10" max="10" width="15.86"/>
    <col customWidth="1" min="11" max="13" width="11.14"/>
    <col customWidth="1" min="14" max="14" width="17.43"/>
    <col customWidth="1" min="15" max="15" width="15.86"/>
    <col customWidth="1" min="16" max="28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2" t="s">
        <v>98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1"/>
      <c r="W2" s="1"/>
      <c r="X2" s="1"/>
      <c r="Y2" s="1"/>
      <c r="Z2" s="1"/>
      <c r="AA2" s="1"/>
      <c r="AB2" s="1"/>
    </row>
    <row r="3" ht="14.25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1"/>
      <c r="W3" s="1"/>
      <c r="X3" s="1"/>
      <c r="Y3" s="1"/>
      <c r="Z3" s="1"/>
      <c r="AA3" s="1"/>
      <c r="AB3" s="1"/>
    </row>
    <row r="4" ht="14.25" customHeight="1">
      <c r="A4" s="1"/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"/>
      <c r="W4" s="1"/>
      <c r="X4" s="1"/>
      <c r="Y4" s="1"/>
      <c r="Z4" s="1"/>
      <c r="AA4" s="1"/>
      <c r="AB4" s="1"/>
    </row>
    <row r="5" ht="14.25" customHeight="1">
      <c r="A5" s="1"/>
      <c r="B5" s="1"/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"/>
      <c r="W5" s="1"/>
      <c r="X5" s="1"/>
      <c r="Y5" s="1"/>
      <c r="Z5" s="1"/>
      <c r="AA5" s="1"/>
      <c r="AB5" s="1"/>
    </row>
    <row r="6" ht="14.25" customHeight="1">
      <c r="A6" s="1"/>
      <c r="B6" s="8" t="s">
        <v>3</v>
      </c>
      <c r="C6" s="9">
        <f>SUM(H10:H18)</f>
        <v>5525.44784</v>
      </c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8">
        <v>44927.0</v>
      </c>
      <c r="T6" s="1"/>
      <c r="V6" s="1"/>
      <c r="W6" s="1"/>
      <c r="X6" s="1"/>
      <c r="Y6" s="1"/>
      <c r="Z6" s="1"/>
      <c r="AA6" s="1"/>
      <c r="AB6" s="1"/>
    </row>
    <row r="7" ht="14.25" customHeight="1">
      <c r="A7" s="1"/>
      <c r="B7" s="1" t="s">
        <v>4</v>
      </c>
      <c r="C7" s="1">
        <f>COUNT(D10:D24)</f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customHeight="1">
      <c r="A8" s="1"/>
      <c r="B8" s="1"/>
      <c r="C8" s="1"/>
      <c r="D8" s="10" t="s">
        <v>5</v>
      </c>
      <c r="F8" s="11"/>
      <c r="G8" s="10" t="s">
        <v>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customHeight="1">
      <c r="A9" s="1"/>
      <c r="B9" s="12" t="s">
        <v>7</v>
      </c>
      <c r="C9" s="12" t="s">
        <v>8</v>
      </c>
      <c r="D9" s="12" t="s">
        <v>9</v>
      </c>
      <c r="E9" s="12" t="s">
        <v>10</v>
      </c>
      <c r="F9" s="13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37" t="s">
        <v>92</v>
      </c>
      <c r="L9" s="37" t="s">
        <v>100</v>
      </c>
      <c r="M9" s="12" t="s">
        <v>16</v>
      </c>
      <c r="N9" s="12" t="s">
        <v>17</v>
      </c>
      <c r="O9" s="1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customHeight="1">
      <c r="A10" s="1"/>
      <c r="B10" s="8" t="str">
        <f>IFERROR(__xludf.DUMMYFUNCTION("IFERROR(GOOGLEFINANCE(C10,""name""),""Not Available"")"),"SPDR Gold Trust")</f>
        <v>SPDR Gold Trust</v>
      </c>
      <c r="C10" s="1" t="s">
        <v>40</v>
      </c>
      <c r="D10" s="23">
        <v>8.0</v>
      </c>
      <c r="E10" s="17">
        <v>115.17875</v>
      </c>
      <c r="F10" s="39">
        <v>921.43</v>
      </c>
      <c r="G10" s="17">
        <f>IFERROR(__xludf.DUMMYFUNCTION("IFERROR(GOOGLEFINANCE(C10,""price""),""Not Available)"")"),201.63)</f>
        <v>201.63</v>
      </c>
      <c r="H10" s="18">
        <f t="shared" ref="H10:H12" si="1">G10*D10</f>
        <v>1613.04</v>
      </c>
      <c r="I10" s="19">
        <f t="shared" ref="I10:I12" si="2">G10/E10-1</f>
        <v>0.7505833324</v>
      </c>
      <c r="J10" s="19">
        <f>IFERROR(__xludf.DUMMYFUNCTION("(G10-INDEX(GOOGLEFINANCE(C10,""price"",TODAY()-7),2,2))/(INDEX(GOOGLEFINANCE(C10,""price"",TODAY()-7),2,2))"),0.02867200653027909)</f>
        <v>0.02867200653</v>
      </c>
      <c r="K10" s="7">
        <f>IFERROR(__xludf.DUMMYFUNCTION("IFERROR((G10-INDEX(GOOGLEFINANCE(C10,""price"",TODAY()-365),2,2))/(INDEX(GOOGLEFINANCE(C10,""price"",TODAY()-365),2,2)),""Not Available"")"),0.13364443944675578)</f>
        <v>0.1336444394</v>
      </c>
      <c r="L10" s="7">
        <f>IFERROR(__xludf.DUMMYFUNCTION("IFERROR((G10-INDEX(GOOGLEFINANCE(C10,""price"",$R$6),2,2))/(INDEX(GOOGLEFINANCE(C10,""price"",$R$6),2,2)),""Not Available"")"),0.17870922483339174)</f>
        <v>0.1787092248</v>
      </c>
      <c r="M10" s="20">
        <f t="shared" ref="M10:M12" si="3">H10-F10</f>
        <v>691.61</v>
      </c>
      <c r="N10" s="21">
        <f>IFERROR(__xludf.DUMMYFUNCTION("IFERROR(GOOGLEFINANCE(C10,""pe""),""Not Available"")"),9.06)</f>
        <v>9.06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51" t="str">
        <f>IFERROR(__xludf.DUMMYFUNCTION("IFERROR(GOOGLEFINANCE(C11,""name""),""Not Available"")"),"Invesco KBW Bank ETF")</f>
        <v>Invesco KBW Bank ETF</v>
      </c>
      <c r="C11" s="42" t="s">
        <v>46</v>
      </c>
      <c r="D11" s="43">
        <v>10.448</v>
      </c>
      <c r="E11" s="44">
        <v>67.93166</v>
      </c>
      <c r="F11" s="45">
        <v>709.75</v>
      </c>
      <c r="G11" s="44">
        <f>IFERROR(__xludf.DUMMYFUNCTION("IFERROR(GOOGLEFINANCE(C11,""price""),""Not Available)"")"),51.14)</f>
        <v>51.14</v>
      </c>
      <c r="H11" s="44">
        <f t="shared" si="1"/>
        <v>534.31072</v>
      </c>
      <c r="I11" s="49">
        <f t="shared" si="2"/>
        <v>-0.247184597</v>
      </c>
      <c r="J11" s="49">
        <f>IFERROR(__xludf.DUMMYFUNCTION("(G11-INDEX(GOOGLEFINANCE(C11,""price"",TODAY()-7),2,2))/(INDEX(GOOGLEFINANCE(C11,""price"",TODAY()-7),2,2))"),0.011271504844769633)</f>
        <v>0.01127150484</v>
      </c>
      <c r="K11" s="7">
        <f>IFERROR(__xludf.DUMMYFUNCTION("IFERROR((G11-INDEX(GOOGLEFINANCE(C11,""price"",TODAY()-365),2,2))/(INDEX(GOOGLEFINANCE(C11,""price"",TODAY()-365),2,2)),""Not Available"")"),0.22198327359617678)</f>
        <v>0.2219832736</v>
      </c>
      <c r="L11" s="7">
        <f>IFERROR(__xludf.DUMMYFUNCTION("IFERROR((G11-INDEX(GOOGLEFINANCE(C11,""price"",$R$6),2,2))/(INDEX(GOOGLEFINANCE(C11,""price"",$R$6),2,2)),""Not Available"")"),-0.015023112480739622)</f>
        <v>-0.01502311248</v>
      </c>
      <c r="M11" s="50">
        <f t="shared" si="3"/>
        <v>-175.43928</v>
      </c>
      <c r="N11" s="48" t="str">
        <f>IFERROR(__xludf.DUMMYFUNCTION("IFERROR(GOOGLEFINANCE(C11,""pe""),""Not Available"")"),"Not Available")</f>
        <v>Not Available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8" t="str">
        <f>IFERROR(__xludf.DUMMYFUNCTION("IFERROR(GOOGLEFINANCE(C12,""name""),""Not Available"")"),"iShares MSCI China ETF")</f>
        <v>iShares MSCI China ETF</v>
      </c>
      <c r="C12" s="1" t="s">
        <v>49</v>
      </c>
      <c r="D12" s="23">
        <v>15.795</v>
      </c>
      <c r="E12" s="17">
        <v>70.37164</v>
      </c>
      <c r="F12" s="38">
        <v>1111.52</v>
      </c>
      <c r="G12" s="17">
        <f>IFERROR(__xludf.DUMMYFUNCTION("IFERROR(GOOGLEFINANCE(C12,""price""),""Not Available)"")"),38.96)</f>
        <v>38.96</v>
      </c>
      <c r="H12" s="18">
        <f t="shared" si="1"/>
        <v>615.3732</v>
      </c>
      <c r="I12" s="19">
        <f t="shared" si="2"/>
        <v>-0.4463678834</v>
      </c>
      <c r="J12" s="19">
        <f>IFERROR(__xludf.DUMMYFUNCTION("(G12-INDEX(GOOGLEFINANCE(C12,""price"",TODAY()-7),2,2))/(INDEX(GOOGLEFINANCE(C12,""price"",TODAY()-7),2,2))"),0.0012850167052172775)</f>
        <v>0.001285016705</v>
      </c>
      <c r="K12" s="7">
        <f>IFERROR(__xludf.DUMMYFUNCTION("IFERROR((G12-INDEX(GOOGLEFINANCE(C12,""price"",TODAY()-365),2,2))/(INDEX(GOOGLEFINANCE(C12,""price"",TODAY()-365),2,2)),""Not Available"")"),-0.17335030765966478)</f>
        <v>-0.1733503077</v>
      </c>
      <c r="L12" s="7">
        <f>IFERROR(__xludf.DUMMYFUNCTION("IFERROR((G12-INDEX(GOOGLEFINANCE(C12,""price"",$R$6),2,2))/(INDEX(GOOGLEFINANCE(C12,""price"",$R$6),2,2)),""Not Available"")"),-0.20667888413765015)</f>
        <v>-0.2066788841</v>
      </c>
      <c r="M12" s="20">
        <f t="shared" si="3"/>
        <v>-496.1468</v>
      </c>
      <c r="N12" s="21" t="str">
        <f>IFERROR(__xludf.DUMMYFUNCTION("IFERROR(GOOGLEFINANCE(C12,""pe""),""Not Available"")"),"Not Available")</f>
        <v>Not Available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8"/>
      <c r="C13" s="42"/>
      <c r="D13" s="43"/>
      <c r="E13" s="44"/>
      <c r="F13" s="45"/>
      <c r="G13" s="44"/>
      <c r="H13" s="44"/>
      <c r="I13" s="46"/>
      <c r="J13" s="46"/>
      <c r="K13" s="7"/>
      <c r="L13" s="7"/>
      <c r="M13" s="47"/>
      <c r="N13" s="4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8" t="s">
        <v>95</v>
      </c>
      <c r="C14" s="8"/>
      <c r="D14" s="8"/>
      <c r="E14" s="8"/>
      <c r="F14" s="40">
        <f>SUM(F10:F12)</f>
        <v>2742.7</v>
      </c>
      <c r="G14" s="40"/>
      <c r="H14" s="40">
        <f>SUM(H10:H12)</f>
        <v>2762.72392</v>
      </c>
      <c r="I14" s="40"/>
      <c r="J14" s="40"/>
      <c r="K14" s="40"/>
      <c r="L14" s="40"/>
      <c r="M14" s="40">
        <f>SUM(M10:M12)</f>
        <v>20.02392</v>
      </c>
      <c r="N14" s="4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8"/>
      <c r="C15" s="42"/>
      <c r="D15" s="43"/>
      <c r="E15" s="44"/>
      <c r="F15" s="45"/>
      <c r="G15" s="44"/>
      <c r="H15" s="44"/>
      <c r="I15" s="46"/>
      <c r="J15" s="46"/>
      <c r="K15" s="7"/>
      <c r="L15" s="7"/>
      <c r="M15" s="47"/>
      <c r="N15" s="4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8"/>
      <c r="C16" s="42"/>
      <c r="D16" s="43"/>
      <c r="E16" s="44"/>
      <c r="F16" s="45"/>
      <c r="G16" s="44"/>
      <c r="H16" s="44"/>
      <c r="I16" s="46"/>
      <c r="J16" s="46"/>
      <c r="K16" s="7"/>
      <c r="L16" s="7"/>
      <c r="M16" s="47"/>
      <c r="N16" s="4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8"/>
      <c r="C17" s="42"/>
      <c r="D17" s="43"/>
      <c r="E17" s="44"/>
      <c r="F17" s="45"/>
      <c r="G17" s="44"/>
      <c r="H17" s="44"/>
      <c r="I17" s="49"/>
      <c r="J17" s="46"/>
      <c r="K17" s="7"/>
      <c r="L17" s="7"/>
      <c r="M17" s="50"/>
      <c r="N17" s="4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8"/>
      <c r="C18" s="42"/>
      <c r="D18" s="43"/>
      <c r="E18" s="44"/>
      <c r="F18" s="45"/>
      <c r="G18" s="44"/>
      <c r="H18" s="44"/>
      <c r="I18" s="46"/>
      <c r="J18" s="46"/>
      <c r="K18" s="7"/>
      <c r="L18" s="7"/>
      <c r="M18" s="47"/>
      <c r="N18" s="4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</sheetData>
  <mergeCells count="2">
    <mergeCell ref="D8:F8"/>
    <mergeCell ref="G8:O8"/>
  </mergeCells>
  <conditionalFormatting sqref="I10:J10 L10:L12 I12:J12">
    <cfRule type="cellIs" dxfId="0" priority="1" operator="greaterThan">
      <formula>0</formula>
    </cfRule>
  </conditionalFormatting>
  <conditionalFormatting sqref="K10:L13 M10 M12 K15:L21">
    <cfRule type="cellIs" dxfId="1" priority="2" operator="lessThan">
      <formula>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2023-04-05T02:29:37Z</dcterms:created>
  <dc:creator>Matthew Laborde</dc:creator>
</cp:coreProperties>
</file>