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urs\L3\Gestion\"/>
    </mc:Choice>
  </mc:AlternateContent>
  <xr:revisionPtr revIDLastSave="0" documentId="13_ncr:1_{216FD23E-B87A-40D2-ACEE-4C10F1EC95C6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Mars" sheetId="4" r:id="rId1"/>
    <sheet name="Avril" sheetId="6" r:id="rId2"/>
    <sheet name="Mai" sheetId="7" r:id="rId3"/>
    <sheet name="Juin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4" i="7" l="1"/>
  <c r="J14" i="7"/>
  <c r="O33" i="8" l="1"/>
  <c r="O32" i="8"/>
  <c r="B23" i="8"/>
  <c r="B16" i="6"/>
  <c r="B16" i="7"/>
  <c r="B11" i="8"/>
  <c r="E12" i="8" s="1"/>
  <c r="M34" i="8"/>
  <c r="N34" i="8" s="1"/>
  <c r="L34" i="8"/>
  <c r="J34" i="8"/>
  <c r="I34" i="8"/>
  <c r="K34" i="8" s="1"/>
  <c r="G34" i="8"/>
  <c r="F34" i="8"/>
  <c r="M33" i="8"/>
  <c r="L33" i="8"/>
  <c r="N33" i="8" s="1"/>
  <c r="J33" i="8"/>
  <c r="I33" i="8"/>
  <c r="G33" i="8"/>
  <c r="F33" i="8"/>
  <c r="M32" i="8"/>
  <c r="L32" i="8"/>
  <c r="K32" i="8"/>
  <c r="J32" i="8"/>
  <c r="I32" i="8"/>
  <c r="G32" i="8"/>
  <c r="F32" i="8"/>
  <c r="C28" i="8"/>
  <c r="B28" i="8"/>
  <c r="E19" i="8"/>
  <c r="E18" i="8"/>
  <c r="B18" i="8"/>
  <c r="E17" i="8"/>
  <c r="B17" i="8"/>
  <c r="E14" i="8"/>
  <c r="B13" i="8"/>
  <c r="E11" i="8"/>
  <c r="C6" i="8"/>
  <c r="B6" i="8"/>
  <c r="A6" i="8"/>
  <c r="D2" i="8"/>
  <c r="B23" i="7"/>
  <c r="E14" i="7"/>
  <c r="B18" i="7"/>
  <c r="E17" i="7" s="1"/>
  <c r="E11" i="7"/>
  <c r="B11" i="7"/>
  <c r="B10" i="7"/>
  <c r="M34" i="7"/>
  <c r="L34" i="7"/>
  <c r="J34" i="7"/>
  <c r="I34" i="7"/>
  <c r="K34" i="7" s="1"/>
  <c r="G34" i="7"/>
  <c r="F34" i="7"/>
  <c r="M33" i="7"/>
  <c r="L33" i="7"/>
  <c r="J33" i="7"/>
  <c r="I33" i="7"/>
  <c r="G33" i="7"/>
  <c r="F33" i="7"/>
  <c r="M32" i="7"/>
  <c r="L32" i="7"/>
  <c r="K32" i="7"/>
  <c r="J32" i="7"/>
  <c r="I32" i="7"/>
  <c r="G32" i="7"/>
  <c r="F32" i="7"/>
  <c r="C28" i="7"/>
  <c r="B28" i="7"/>
  <c r="E19" i="7"/>
  <c r="E18" i="7"/>
  <c r="B17" i="7"/>
  <c r="B13" i="7"/>
  <c r="C6" i="7"/>
  <c r="B6" i="7"/>
  <c r="A6" i="7"/>
  <c r="D2" i="7"/>
  <c r="M35" i="6"/>
  <c r="G35" i="6"/>
  <c r="J35" i="6"/>
  <c r="B11" i="6"/>
  <c r="E13" i="6" s="1"/>
  <c r="E8" i="6"/>
  <c r="E23" i="4"/>
  <c r="E22" i="4"/>
  <c r="E21" i="4"/>
  <c r="B11" i="4"/>
  <c r="E6" i="4"/>
  <c r="I14" i="6"/>
  <c r="H14" i="6"/>
  <c r="E16" i="6"/>
  <c r="H16" i="6"/>
  <c r="O35" i="6"/>
  <c r="H35" i="6"/>
  <c r="K35" i="6"/>
  <c r="N35" i="6"/>
  <c r="L34" i="6"/>
  <c r="K34" i="6"/>
  <c r="F34" i="6"/>
  <c r="L33" i="6"/>
  <c r="N33" i="6" s="1"/>
  <c r="L32" i="6"/>
  <c r="I33" i="6"/>
  <c r="N32" i="6"/>
  <c r="I32" i="6"/>
  <c r="K32" i="6" s="1"/>
  <c r="J34" i="6"/>
  <c r="G34" i="6"/>
  <c r="M34" i="6"/>
  <c r="H34" i="6"/>
  <c r="I34" i="6"/>
  <c r="K33" i="6"/>
  <c r="H33" i="6"/>
  <c r="H32" i="6"/>
  <c r="F33" i="6"/>
  <c r="F32" i="6"/>
  <c r="M33" i="6"/>
  <c r="M32" i="6"/>
  <c r="J33" i="6"/>
  <c r="J32" i="6"/>
  <c r="G33" i="6"/>
  <c r="G32" i="6"/>
  <c r="E19" i="6"/>
  <c r="B17" i="6"/>
  <c r="B13" i="6"/>
  <c r="E10" i="6"/>
  <c r="J26" i="6"/>
  <c r="E14" i="6" s="1"/>
  <c r="C28" i="6"/>
  <c r="B28" i="6"/>
  <c r="E28" i="4"/>
  <c r="H26" i="6"/>
  <c r="E18" i="6"/>
  <c r="E17" i="6"/>
  <c r="B18" i="6"/>
  <c r="C6" i="6"/>
  <c r="B6" i="6"/>
  <c r="A6" i="6"/>
  <c r="D6" i="6" s="1"/>
  <c r="E6" i="6" s="1"/>
  <c r="D2" i="6"/>
  <c r="N32" i="8" l="1"/>
  <c r="N35" i="8" s="1"/>
  <c r="K33" i="8"/>
  <c r="K35" i="8"/>
  <c r="J35" i="8" s="1"/>
  <c r="I14" i="8"/>
  <c r="H33" i="8"/>
  <c r="H35" i="8" s="1"/>
  <c r="G35" i="8" s="1"/>
  <c r="H32" i="8"/>
  <c r="H34" i="8"/>
  <c r="D28" i="8"/>
  <c r="E28" i="8" s="1"/>
  <c r="E10" i="8" s="1"/>
  <c r="D6" i="8"/>
  <c r="E6" i="8" s="1"/>
  <c r="E8" i="8" s="1"/>
  <c r="B16" i="8" s="1"/>
  <c r="E15" i="8" s="1"/>
  <c r="M35" i="8"/>
  <c r="H16" i="8"/>
  <c r="J16" i="8" s="1"/>
  <c r="E16" i="8" s="1"/>
  <c r="H14" i="8"/>
  <c r="J14" i="8" s="1"/>
  <c r="D6" i="7"/>
  <c r="E6" i="7" s="1"/>
  <c r="H26" i="7" s="1"/>
  <c r="J26" i="7" s="1"/>
  <c r="E13" i="7" s="1"/>
  <c r="N33" i="7"/>
  <c r="N35" i="7" s="1"/>
  <c r="N32" i="7"/>
  <c r="N34" i="7"/>
  <c r="I14" i="7"/>
  <c r="K33" i="7"/>
  <c r="H33" i="7"/>
  <c r="H14" i="7"/>
  <c r="H32" i="7"/>
  <c r="H34" i="7"/>
  <c r="H16" i="7"/>
  <c r="J16" i="7" s="1"/>
  <c r="E16" i="7" s="1"/>
  <c r="D28" i="7"/>
  <c r="E28" i="7" s="1"/>
  <c r="E10" i="7" s="1"/>
  <c r="E12" i="7"/>
  <c r="K35" i="7"/>
  <c r="J35" i="7" s="1"/>
  <c r="J14" i="6"/>
  <c r="N34" i="6"/>
  <c r="D28" i="6"/>
  <c r="E28" i="6" s="1"/>
  <c r="L2" i="4"/>
  <c r="H26" i="8" l="1"/>
  <c r="J26" i="8" s="1"/>
  <c r="E13" i="8" s="1"/>
  <c r="O35" i="8"/>
  <c r="E20" i="8"/>
  <c r="E8" i="7"/>
  <c r="E15" i="7" s="1"/>
  <c r="E20" i="7" s="1"/>
  <c r="E21" i="7" s="1"/>
  <c r="H35" i="7"/>
  <c r="G35" i="7" s="1"/>
  <c r="M35" i="7"/>
  <c r="E15" i="6"/>
  <c r="E15" i="4"/>
  <c r="D6" i="4"/>
  <c r="D2" i="4"/>
  <c r="E12" i="4"/>
  <c r="C28" i="4"/>
  <c r="D28" i="4" s="1"/>
  <c r="B28" i="4"/>
  <c r="E20" i="4"/>
  <c r="E19" i="4"/>
  <c r="B18" i="4"/>
  <c r="E18" i="4" s="1"/>
  <c r="C6" i="4"/>
  <c r="B6" i="4"/>
  <c r="A6" i="4"/>
  <c r="E20" i="6" l="1"/>
  <c r="E21" i="8"/>
  <c r="E22" i="8" s="1"/>
  <c r="E23" i="8" s="1"/>
  <c r="H20" i="8" s="1"/>
  <c r="H21" i="8" s="1"/>
  <c r="E22" i="7"/>
  <c r="E23" i="7" s="1"/>
  <c r="H20" i="7" s="1"/>
  <c r="H21" i="7" s="1"/>
  <c r="O35" i="7"/>
  <c r="E9" i="4"/>
  <c r="E17" i="4"/>
  <c r="E8" i="4"/>
  <c r="B16" i="4" s="1"/>
  <c r="E16" i="4" s="1"/>
  <c r="E22" i="6" l="1"/>
  <c r="E23" i="6" s="1"/>
  <c r="H20" i="6" s="1"/>
  <c r="H21" i="6" s="1"/>
  <c r="E21" i="6"/>
  <c r="J16" i="6" l="1"/>
  <c r="H16" i="4"/>
  <c r="J16" i="4" s="1"/>
  <c r="E24" i="4" s="1"/>
  <c r="H20" i="4" s="1"/>
  <c r="H21" i="4" s="1"/>
</calcChain>
</file>

<file path=xl/sharedStrings.xml><?xml version="1.0" encoding="utf-8"?>
<sst xmlns="http://schemas.openxmlformats.org/spreadsheetml/2006/main" count="319" uniqueCount="76">
  <si>
    <t>Nb utile 1 unité</t>
  </si>
  <si>
    <t>Prix</t>
  </si>
  <si>
    <t>nb unité bateau A</t>
  </si>
  <si>
    <t>nb unité bateau C</t>
  </si>
  <si>
    <t>nb unité bateau B</t>
  </si>
  <si>
    <t>nb heures utile</t>
  </si>
  <si>
    <t>Bois</t>
  </si>
  <si>
    <t>Plastique</t>
  </si>
  <si>
    <t>Cout unitaire</t>
  </si>
  <si>
    <t>Unitées bateau A vendues</t>
  </si>
  <si>
    <t>Unitées bateau B vendue</t>
  </si>
  <si>
    <t>Unitées bateau C vendues</t>
  </si>
  <si>
    <t>Total</t>
  </si>
  <si>
    <t>Fonds disponibles</t>
  </si>
  <si>
    <t>Découvert</t>
  </si>
  <si>
    <t>Emprunt</t>
  </si>
  <si>
    <t>Ventes 60 jours</t>
  </si>
  <si>
    <t>Ventes30 jours</t>
  </si>
  <si>
    <t>Matières premières</t>
  </si>
  <si>
    <t>Etude de marché</t>
  </si>
  <si>
    <t>Salaires</t>
  </si>
  <si>
    <t>Salaire secrétaires</t>
  </si>
  <si>
    <t>Salaire directeur financier</t>
  </si>
  <si>
    <t>Directeur commercial</t>
  </si>
  <si>
    <t>Directeur production</t>
  </si>
  <si>
    <t>Coût des postes</t>
  </si>
  <si>
    <t>Représentants</t>
  </si>
  <si>
    <t>Pub A</t>
  </si>
  <si>
    <t>Pub B</t>
  </si>
  <si>
    <t>Pub C</t>
  </si>
  <si>
    <t>Unités</t>
  </si>
  <si>
    <t>Prix unitaire</t>
  </si>
  <si>
    <t>Interet emprunt</t>
  </si>
  <si>
    <t>Cout HTM</t>
  </si>
  <si>
    <t>Production du mois HTM</t>
  </si>
  <si>
    <t>HTM</t>
  </si>
  <si>
    <t>Pub</t>
  </si>
  <si>
    <t>Cout fixe postes</t>
  </si>
  <si>
    <t>Etude</t>
  </si>
  <si>
    <t>intérêts agiots</t>
  </si>
  <si>
    <t>Matières premières M-2</t>
  </si>
  <si>
    <t>Intérêts totaux</t>
  </si>
  <si>
    <t>Trésorerie</t>
  </si>
  <si>
    <t>Cout main d'œuvre</t>
  </si>
  <si>
    <t>Administration</t>
  </si>
  <si>
    <t>TVA</t>
  </si>
  <si>
    <t>Due</t>
  </si>
  <si>
    <t>Perçue</t>
  </si>
  <si>
    <t>Objectif placement</t>
  </si>
  <si>
    <t>Total placement</t>
  </si>
  <si>
    <t>Placement actuel</t>
  </si>
  <si>
    <t>TOTAL VENDU M-1</t>
  </si>
  <si>
    <t>Intérêts agiots</t>
  </si>
  <si>
    <t>Total vendu +TVA</t>
  </si>
  <si>
    <t>Prix HM</t>
  </si>
  <si>
    <t>Total HT</t>
  </si>
  <si>
    <t>Total TTC</t>
  </si>
  <si>
    <t>Total dépenses</t>
  </si>
  <si>
    <t>Surplus HM</t>
  </si>
  <si>
    <t>Production du mois</t>
  </si>
  <si>
    <t>Bateau A</t>
  </si>
  <si>
    <t>Bateau B</t>
  </si>
  <si>
    <t>Bateau C</t>
  </si>
  <si>
    <t>Nombres unités</t>
  </si>
  <si>
    <t>Cout total</t>
  </si>
  <si>
    <t>HM</t>
  </si>
  <si>
    <t>Ventes30 jours HT</t>
  </si>
  <si>
    <t>TVA Due-Percue</t>
  </si>
  <si>
    <t>Salaires Repré + Admin</t>
  </si>
  <si>
    <t>HTM (Salaire Opé + Tech)</t>
  </si>
  <si>
    <t>Revient placement</t>
  </si>
  <si>
    <t>TVA sur charges d'exp</t>
  </si>
  <si>
    <t>Charges exploitation HT</t>
  </si>
  <si>
    <t>TVA Charge Exploitation</t>
  </si>
  <si>
    <t>Achat postes</t>
  </si>
  <si>
    <t>Achats postes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</si>
</sst>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#,##0.0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2" fillId="0" borderId="1" xfId="0" applyFont="1" applyBorder="1"/>
    <xf numFmtId="44" fontId="0" fillId="0" borderId="1" xfId="0" applyNumberFormat="1" applyBorder="1"/>
    <xf numFmtId="44" fontId="0" fillId="0" borderId="0" xfId="0" applyNumberFormat="1"/>
    <xf numFmtId="0" fontId="3" fillId="0" borderId="1" xfId="0" applyFont="1" applyBorder="1"/>
    <xf numFmtId="44" fontId="0" fillId="0" borderId="0" xfId="2" applyFont="1"/>
    <xf numFmtId="0" fontId="3" fillId="0" borderId="0" xfId="0" applyFont="1"/>
    <xf numFmtId="44" fontId="0" fillId="0" borderId="1" xfId="2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4" fontId="0" fillId="0" borderId="4" xfId="0" applyNumberFormat="1" applyBorder="1"/>
    <xf numFmtId="44" fontId="0" fillId="0" borderId="4" xfId="2" applyFont="1" applyBorder="1"/>
    <xf numFmtId="44" fontId="0" fillId="0" borderId="3" xfId="2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4" fontId="0" fillId="0" borderId="14" xfId="2" applyFont="1" applyBorder="1"/>
    <xf numFmtId="44" fontId="0" fillId="0" borderId="3" xfId="0" applyNumberFormat="1" applyBorder="1"/>
    <xf numFmtId="0" fontId="0" fillId="0" borderId="2" xfId="0" applyBorder="1"/>
    <xf numFmtId="165" fontId="0" fillId="0" borderId="1" xfId="0" applyNumberFormat="1" applyBorder="1"/>
    <xf numFmtId="44" fontId="0" fillId="0" borderId="15" xfId="0" applyNumberFormat="1" applyBorder="1"/>
  </cellXfs>
  <cellStyles count="3">
    <cellStyle name="Milliers 2" xfId="1" xr:uid="{00000000-0005-0000-0000-000001000000}"/>
    <cellStyle name="Monétaire" xfId="2" builtinId="4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0B547-C0F4-4CDC-9D1B-4EB2F2540174}">
  <dimension ref="A1:L28"/>
  <sheetViews>
    <sheetView workbookViewId="0">
      <selection activeCell="E23" sqref="E23"/>
    </sheetView>
  </sheetViews>
  <sheetFormatPr baseColWidth="10" defaultRowHeight="14.4" x14ac:dyDescent="0.3"/>
  <cols>
    <col min="1" max="4" width="23.21875" customWidth="1"/>
    <col min="5" max="5" width="12.6640625" bestFit="1" customWidth="1"/>
    <col min="6" max="6" width="14.88671875" customWidth="1"/>
    <col min="7" max="7" width="23.21875" customWidth="1"/>
    <col min="8" max="8" width="15.6640625" customWidth="1"/>
    <col min="9" max="9" width="17.109375" customWidth="1"/>
    <col min="10" max="10" width="12.6640625" bestFit="1" customWidth="1"/>
    <col min="11" max="12" width="18" customWidth="1"/>
  </cols>
  <sheetData>
    <row r="1" spans="1:12" ht="15" thickBot="1" x14ac:dyDescent="0.35">
      <c r="A1" s="10" t="s">
        <v>9</v>
      </c>
      <c r="B1" s="11" t="s">
        <v>10</v>
      </c>
      <c r="C1" s="11" t="s">
        <v>11</v>
      </c>
      <c r="D1" s="12" t="s">
        <v>51</v>
      </c>
    </row>
    <row r="2" spans="1:12" x14ac:dyDescent="0.3">
      <c r="A2" s="9">
        <v>19</v>
      </c>
      <c r="B2" s="9">
        <v>37</v>
      </c>
      <c r="C2" s="9">
        <v>22</v>
      </c>
      <c r="D2" s="9">
        <f>SUM(A2:C2)</f>
        <v>78</v>
      </c>
      <c r="G2" s="5" t="s">
        <v>2</v>
      </c>
      <c r="H2" s="5" t="s">
        <v>4</v>
      </c>
      <c r="I2" s="5" t="s">
        <v>3</v>
      </c>
      <c r="K2" s="7" t="s">
        <v>43</v>
      </c>
      <c r="L2" s="6">
        <f>(H3*H12+I3*I12+G3*G12)*40</f>
        <v>135200</v>
      </c>
    </row>
    <row r="3" spans="1:12" x14ac:dyDescent="0.3">
      <c r="A3" s="1" t="s">
        <v>1</v>
      </c>
      <c r="B3" s="1" t="s">
        <v>1</v>
      </c>
      <c r="C3" s="1" t="s">
        <v>1</v>
      </c>
      <c r="D3" s="1"/>
      <c r="G3" s="1">
        <v>20</v>
      </c>
      <c r="H3" s="1">
        <v>30</v>
      </c>
      <c r="I3" s="1">
        <v>40</v>
      </c>
    </row>
    <row r="4" spans="1:12" x14ac:dyDescent="0.3">
      <c r="A4" s="8">
        <v>2600</v>
      </c>
      <c r="B4" s="8">
        <v>5200</v>
      </c>
      <c r="C4" s="8">
        <v>13000</v>
      </c>
      <c r="D4" s="1"/>
      <c r="G4" s="1"/>
      <c r="H4" s="1"/>
      <c r="I4" s="1"/>
    </row>
    <row r="5" spans="1:12" x14ac:dyDescent="0.3">
      <c r="A5" s="1" t="s">
        <v>12</v>
      </c>
      <c r="B5" s="1" t="s">
        <v>12</v>
      </c>
      <c r="C5" s="1" t="s">
        <v>12</v>
      </c>
      <c r="D5" s="1"/>
      <c r="G5" s="5" t="s">
        <v>0</v>
      </c>
      <c r="H5" s="5" t="s">
        <v>0</v>
      </c>
      <c r="I5" s="5" t="s">
        <v>0</v>
      </c>
    </row>
    <row r="6" spans="1:12" x14ac:dyDescent="0.3">
      <c r="A6" s="8">
        <f>A4*A2</f>
        <v>49400</v>
      </c>
      <c r="B6" s="8">
        <f>B4*B2</f>
        <v>192400</v>
      </c>
      <c r="C6" s="8">
        <f>C4*C2</f>
        <v>286000</v>
      </c>
      <c r="D6" s="8">
        <f>SUM(A6:C6)</f>
        <v>527800</v>
      </c>
      <c r="E6" s="4">
        <f>D6*1.2</f>
        <v>633360</v>
      </c>
      <c r="G6" s="1">
        <v>0.2</v>
      </c>
      <c r="H6" s="1">
        <v>0.4</v>
      </c>
      <c r="I6" s="1">
        <v>1</v>
      </c>
    </row>
    <row r="7" spans="1:12" x14ac:dyDescent="0.3">
      <c r="D7" t="s">
        <v>42</v>
      </c>
      <c r="E7" s="6">
        <v>298753.78000000003</v>
      </c>
      <c r="G7" s="1">
        <v>0.1</v>
      </c>
      <c r="H7" s="1">
        <v>0.2</v>
      </c>
      <c r="I7" s="1">
        <v>0.5</v>
      </c>
    </row>
    <row r="8" spans="1:12" x14ac:dyDescent="0.3">
      <c r="D8" t="s">
        <v>17</v>
      </c>
      <c r="E8" s="6">
        <f>SUM(A6:C6)</f>
        <v>527800</v>
      </c>
      <c r="G8" s="1"/>
      <c r="H8" s="1"/>
      <c r="I8" s="1"/>
    </row>
    <row r="9" spans="1:12" x14ac:dyDescent="0.3">
      <c r="D9" t="s">
        <v>18</v>
      </c>
      <c r="E9" s="6">
        <f>-SUM(B28+C28)*1.2</f>
        <v>-292200</v>
      </c>
      <c r="G9" s="1"/>
      <c r="H9" s="1"/>
      <c r="I9" s="1"/>
    </row>
    <row r="10" spans="1:12" x14ac:dyDescent="0.3">
      <c r="A10" t="s">
        <v>39</v>
      </c>
      <c r="B10" s="6">
        <v>0</v>
      </c>
      <c r="C10" s="6"/>
      <c r="D10" t="s">
        <v>16</v>
      </c>
      <c r="E10" s="6">
        <v>0</v>
      </c>
      <c r="G10" s="1"/>
      <c r="H10" s="1"/>
      <c r="I10" s="1"/>
    </row>
    <row r="11" spans="1:12" x14ac:dyDescent="0.3">
      <c r="A11" t="s">
        <v>32</v>
      </c>
      <c r="B11" s="6">
        <f>(576000)*0.02/12</f>
        <v>960</v>
      </c>
      <c r="C11" s="6"/>
      <c r="D11" t="s">
        <v>15</v>
      </c>
      <c r="E11" s="6">
        <v>-12000</v>
      </c>
      <c r="G11" s="5" t="s">
        <v>5</v>
      </c>
      <c r="H11" s="5" t="s">
        <v>5</v>
      </c>
      <c r="I11" s="5" t="s">
        <v>5</v>
      </c>
    </row>
    <row r="12" spans="1:12" ht="15.6" x14ac:dyDescent="0.3">
      <c r="A12" t="s">
        <v>24</v>
      </c>
      <c r="B12" s="6">
        <v>4300</v>
      </c>
      <c r="C12" s="6"/>
      <c r="D12" t="s">
        <v>41</v>
      </c>
      <c r="E12" s="6">
        <f>-B10-B11</f>
        <v>-960</v>
      </c>
      <c r="G12" s="2">
        <v>18</v>
      </c>
      <c r="H12" s="2">
        <v>26</v>
      </c>
      <c r="I12" s="2">
        <v>56</v>
      </c>
    </row>
    <row r="13" spans="1:12" x14ac:dyDescent="0.3">
      <c r="A13" t="s">
        <v>21</v>
      </c>
      <c r="B13" s="6">
        <v>2700</v>
      </c>
      <c r="C13" s="6"/>
    </row>
    <row r="14" spans="1:12" x14ac:dyDescent="0.3">
      <c r="A14" t="s">
        <v>22</v>
      </c>
      <c r="B14" s="6">
        <v>3500</v>
      </c>
      <c r="C14" s="6"/>
    </row>
    <row r="15" spans="1:12" x14ac:dyDescent="0.3">
      <c r="A15" t="s">
        <v>23</v>
      </c>
      <c r="B15" s="6">
        <v>6000</v>
      </c>
      <c r="C15" s="6"/>
      <c r="D15" t="s">
        <v>45</v>
      </c>
      <c r="E15" s="6">
        <f>H26-G26</f>
        <v>-31099</v>
      </c>
      <c r="I15" t="s">
        <v>33</v>
      </c>
    </row>
    <row r="16" spans="1:12" x14ac:dyDescent="0.3">
      <c r="A16" t="s">
        <v>26</v>
      </c>
      <c r="B16" s="6">
        <f>3000*10+0.05*(E8+E10)</f>
        <v>56390</v>
      </c>
      <c r="C16" s="6"/>
      <c r="D16" t="s">
        <v>20</v>
      </c>
      <c r="E16" s="6">
        <f>-SUM(B16:B17)</f>
        <v>-86390</v>
      </c>
      <c r="G16" t="s">
        <v>34</v>
      </c>
      <c r="H16" t="e">
        <f>#REF!+#REF!</f>
        <v>#REF!</v>
      </c>
      <c r="I16" s="4">
        <v>40</v>
      </c>
      <c r="J16" s="6" t="e">
        <f>I16*H16</f>
        <v>#REF!</v>
      </c>
    </row>
    <row r="17" spans="1:8" x14ac:dyDescent="0.3">
      <c r="A17" t="s">
        <v>44</v>
      </c>
      <c r="B17" s="6">
        <v>30000</v>
      </c>
      <c r="C17" s="6"/>
      <c r="D17" t="s">
        <v>35</v>
      </c>
      <c r="E17" s="4">
        <f>-L2</f>
        <v>-135200</v>
      </c>
    </row>
    <row r="18" spans="1:8" x14ac:dyDescent="0.3">
      <c r="A18" t="s">
        <v>25</v>
      </c>
      <c r="B18" s="6">
        <f>20*2400</f>
        <v>48000</v>
      </c>
      <c r="C18" s="6"/>
      <c r="D18" t="s">
        <v>37</v>
      </c>
      <c r="E18" s="6">
        <f>-B18</f>
        <v>-48000</v>
      </c>
    </row>
    <row r="19" spans="1:8" x14ac:dyDescent="0.3">
      <c r="A19" t="s">
        <v>27</v>
      </c>
      <c r="B19" s="6">
        <v>1000</v>
      </c>
      <c r="C19" s="6"/>
      <c r="D19" t="s">
        <v>36</v>
      </c>
      <c r="E19" s="6">
        <f>-SUM(B19:B21)</f>
        <v>-47000</v>
      </c>
      <c r="G19" t="s">
        <v>50</v>
      </c>
      <c r="H19" s="6">
        <v>0</v>
      </c>
    </row>
    <row r="20" spans="1:8" x14ac:dyDescent="0.3">
      <c r="A20" t="s">
        <v>28</v>
      </c>
      <c r="B20" s="6">
        <v>6000</v>
      </c>
      <c r="C20" s="6"/>
      <c r="D20" t="s">
        <v>19</v>
      </c>
      <c r="E20" s="6">
        <f>-B22</f>
        <v>-10000</v>
      </c>
      <c r="G20" t="s">
        <v>48</v>
      </c>
      <c r="H20" s="4">
        <f>E24-F22</f>
        <v>-486639</v>
      </c>
    </row>
    <row r="21" spans="1:8" x14ac:dyDescent="0.3">
      <c r="A21" t="s">
        <v>29</v>
      </c>
      <c r="B21" s="6">
        <v>40000</v>
      </c>
      <c r="C21" s="6"/>
      <c r="E21" s="4">
        <f>SUM(E16:E20)</f>
        <v>-326590</v>
      </c>
      <c r="G21" t="s">
        <v>49</v>
      </c>
      <c r="H21" s="4">
        <f>SUM(H19:H20)</f>
        <v>-486639</v>
      </c>
    </row>
    <row r="22" spans="1:8" x14ac:dyDescent="0.3">
      <c r="A22" t="s">
        <v>38</v>
      </c>
      <c r="B22" s="6">
        <v>10000</v>
      </c>
      <c r="C22" s="6"/>
      <c r="D22" t="s">
        <v>71</v>
      </c>
      <c r="E22" s="4">
        <f>E21/2*0.2</f>
        <v>-32659</v>
      </c>
      <c r="F22">
        <v>25000</v>
      </c>
    </row>
    <row r="23" spans="1:8" x14ac:dyDescent="0.3">
      <c r="E23" s="4">
        <f>E21+E22</f>
        <v>-359249</v>
      </c>
    </row>
    <row r="24" spans="1:8" ht="15" thickBot="1" x14ac:dyDescent="0.35">
      <c r="D24" t="s">
        <v>13</v>
      </c>
      <c r="E24" s="6">
        <f>SUM(E8:E21)</f>
        <v>-461639</v>
      </c>
    </row>
    <row r="25" spans="1:8" x14ac:dyDescent="0.3">
      <c r="A25" s="13" t="s">
        <v>40</v>
      </c>
      <c r="B25" s="14" t="s">
        <v>7</v>
      </c>
      <c r="C25" s="14" t="s">
        <v>6</v>
      </c>
      <c r="D25" s="14" t="s">
        <v>55</v>
      </c>
      <c r="E25" s="15" t="s">
        <v>56</v>
      </c>
      <c r="F25" t="s">
        <v>45</v>
      </c>
      <c r="G25" t="s">
        <v>46</v>
      </c>
      <c r="H25" t="s">
        <v>47</v>
      </c>
    </row>
    <row r="26" spans="1:8" x14ac:dyDescent="0.3">
      <c r="A26" s="1" t="s">
        <v>30</v>
      </c>
      <c r="B26" s="1">
        <v>59</v>
      </c>
      <c r="C26" s="1">
        <v>5</v>
      </c>
      <c r="D26" s="1"/>
      <c r="E26" s="1"/>
      <c r="G26" s="6">
        <v>104040</v>
      </c>
      <c r="H26" s="6">
        <v>72941</v>
      </c>
    </row>
    <row r="27" spans="1:8" x14ac:dyDescent="0.3">
      <c r="A27" s="1" t="s">
        <v>31</v>
      </c>
      <c r="B27" s="8">
        <v>4000</v>
      </c>
      <c r="C27" s="8">
        <v>1500</v>
      </c>
      <c r="D27" s="1"/>
      <c r="E27" s="1"/>
    </row>
    <row r="28" spans="1:8" x14ac:dyDescent="0.3">
      <c r="A28" s="1" t="s">
        <v>12</v>
      </c>
      <c r="B28" s="8">
        <f>B27*B26</f>
        <v>236000</v>
      </c>
      <c r="C28" s="8">
        <f>C27*C26</f>
        <v>7500</v>
      </c>
      <c r="D28" s="3">
        <f>C28+B28</f>
        <v>243500</v>
      </c>
      <c r="E28" s="3">
        <f>D28*1.2</f>
        <v>292200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50D92-EB2D-48A8-BADE-88634E6C5F88}">
  <dimension ref="A1:O35"/>
  <sheetViews>
    <sheetView topLeftCell="A4" workbookViewId="0">
      <selection activeCell="B17" sqref="B17"/>
    </sheetView>
  </sheetViews>
  <sheetFormatPr baseColWidth="10" defaultRowHeight="14.4" x14ac:dyDescent="0.3"/>
  <cols>
    <col min="1" max="4" width="23.21875" customWidth="1"/>
    <col min="5" max="5" width="18.44140625" customWidth="1"/>
    <col min="6" max="6" width="14.88671875" customWidth="1"/>
    <col min="7" max="7" width="23.21875" customWidth="1"/>
    <col min="8" max="8" width="15.6640625" customWidth="1"/>
    <col min="9" max="9" width="17.109375" customWidth="1"/>
    <col min="10" max="10" width="12.6640625" bestFit="1" customWidth="1"/>
    <col min="11" max="12" width="18" customWidth="1"/>
    <col min="14" max="14" width="13.44140625" customWidth="1"/>
    <col min="15" max="15" width="12.6640625" bestFit="1" customWidth="1"/>
  </cols>
  <sheetData>
    <row r="1" spans="1:10" ht="15" thickBot="1" x14ac:dyDescent="0.35">
      <c r="A1" s="10" t="s">
        <v>9</v>
      </c>
      <c r="B1" s="11" t="s">
        <v>10</v>
      </c>
      <c r="C1" s="11" t="s">
        <v>11</v>
      </c>
      <c r="D1" s="11" t="s">
        <v>51</v>
      </c>
      <c r="E1" s="12" t="s">
        <v>53</v>
      </c>
    </row>
    <row r="2" spans="1:10" x14ac:dyDescent="0.3">
      <c r="A2" s="9">
        <v>20</v>
      </c>
      <c r="B2" s="9">
        <v>34</v>
      </c>
      <c r="C2" s="9">
        <v>38</v>
      </c>
      <c r="D2" s="9">
        <f>SUM(A2:C2)</f>
        <v>92</v>
      </c>
      <c r="E2" s="9"/>
    </row>
    <row r="3" spans="1:10" x14ac:dyDescent="0.3">
      <c r="A3" s="1" t="s">
        <v>1</v>
      </c>
      <c r="B3" s="1" t="s">
        <v>1</v>
      </c>
      <c r="C3" s="1" t="s">
        <v>1</v>
      </c>
      <c r="D3" s="1"/>
      <c r="E3" s="1"/>
    </row>
    <row r="4" spans="1:10" ht="15" thickBot="1" x14ac:dyDescent="0.35">
      <c r="A4" s="8">
        <v>2200</v>
      </c>
      <c r="B4" s="8">
        <v>5200</v>
      </c>
      <c r="C4" s="8">
        <v>14000</v>
      </c>
      <c r="D4" s="1"/>
      <c r="E4" s="1"/>
    </row>
    <row r="5" spans="1:10" ht="15" thickBot="1" x14ac:dyDescent="0.35">
      <c r="A5" s="1" t="s">
        <v>12</v>
      </c>
      <c r="B5" s="1" t="s">
        <v>12</v>
      </c>
      <c r="C5" s="1" t="s">
        <v>12</v>
      </c>
      <c r="D5" s="1"/>
      <c r="E5" s="1"/>
      <c r="G5" s="10" t="s">
        <v>0</v>
      </c>
      <c r="H5" s="11" t="s">
        <v>0</v>
      </c>
      <c r="I5" s="12" t="s">
        <v>0</v>
      </c>
    </row>
    <row r="6" spans="1:10" x14ac:dyDescent="0.3">
      <c r="A6" s="8">
        <f>A4*A2</f>
        <v>44000</v>
      </c>
      <c r="B6" s="8">
        <f>B4*B2</f>
        <v>176800</v>
      </c>
      <c r="C6" s="8">
        <f>C4*C2</f>
        <v>532000</v>
      </c>
      <c r="D6" s="8">
        <f>SUM(A6:C6)</f>
        <v>752800</v>
      </c>
      <c r="E6" s="3">
        <f>D6*1.2</f>
        <v>903360</v>
      </c>
      <c r="G6" s="9">
        <v>0.2</v>
      </c>
      <c r="H6" s="9">
        <v>0.4</v>
      </c>
      <c r="I6" s="9">
        <v>1</v>
      </c>
    </row>
    <row r="7" spans="1:10" ht="15" thickBot="1" x14ac:dyDescent="0.35">
      <c r="G7" s="1">
        <v>0.1</v>
      </c>
      <c r="H7" s="1">
        <v>0.2</v>
      </c>
      <c r="I7" s="1">
        <v>0.5</v>
      </c>
    </row>
    <row r="8" spans="1:10" x14ac:dyDescent="0.3">
      <c r="D8" s="19" t="s">
        <v>66</v>
      </c>
      <c r="E8" s="18">
        <f>E6</f>
        <v>903360</v>
      </c>
    </row>
    <row r="9" spans="1:10" ht="15" thickBot="1" x14ac:dyDescent="0.35">
      <c r="D9" s="20" t="s">
        <v>42</v>
      </c>
      <c r="E9" s="18">
        <v>87510.78</v>
      </c>
    </row>
    <row r="10" spans="1:10" ht="15" thickBot="1" x14ac:dyDescent="0.35">
      <c r="A10" s="19" t="s">
        <v>52</v>
      </c>
      <c r="B10" s="18">
        <v>0</v>
      </c>
      <c r="C10" s="6"/>
      <c r="D10" s="20" t="s">
        <v>18</v>
      </c>
      <c r="E10" s="18">
        <f>-E28</f>
        <v>-182400</v>
      </c>
    </row>
    <row r="11" spans="1:10" ht="15" thickBot="1" x14ac:dyDescent="0.35">
      <c r="A11" s="20" t="s">
        <v>32</v>
      </c>
      <c r="B11" s="18">
        <f>(576000-12000)*0.02/12</f>
        <v>940</v>
      </c>
      <c r="C11" s="6"/>
      <c r="D11" s="20" t="s">
        <v>16</v>
      </c>
      <c r="E11" s="18">
        <v>0</v>
      </c>
      <c r="G11" s="10" t="s">
        <v>5</v>
      </c>
      <c r="H11" s="11" t="s">
        <v>5</v>
      </c>
      <c r="I11" s="12" t="s">
        <v>5</v>
      </c>
    </row>
    <row r="12" spans="1:10" x14ac:dyDescent="0.3">
      <c r="A12" s="20" t="s">
        <v>24</v>
      </c>
      <c r="B12" s="18">
        <v>4300</v>
      </c>
      <c r="C12" s="6"/>
      <c r="D12" s="20" t="s">
        <v>15</v>
      </c>
      <c r="E12" s="18">
        <v>-12000</v>
      </c>
      <c r="G12" s="24">
        <v>18</v>
      </c>
      <c r="H12" s="24">
        <v>26</v>
      </c>
      <c r="I12" s="24">
        <v>56</v>
      </c>
    </row>
    <row r="13" spans="1:10" x14ac:dyDescent="0.3">
      <c r="A13" s="20" t="s">
        <v>21</v>
      </c>
      <c r="B13" s="18">
        <f>2700+2700</f>
        <v>5400</v>
      </c>
      <c r="C13" s="6"/>
      <c r="D13" s="20" t="s">
        <v>41</v>
      </c>
      <c r="E13" s="18">
        <f>-(B11+B10)</f>
        <v>-940</v>
      </c>
      <c r="G13" s="1" t="s">
        <v>54</v>
      </c>
      <c r="H13" s="25">
        <v>42</v>
      </c>
      <c r="I13" s="25">
        <v>40</v>
      </c>
      <c r="J13" s="1" t="s">
        <v>58</v>
      </c>
    </row>
    <row r="14" spans="1:10" x14ac:dyDescent="0.3">
      <c r="A14" s="20" t="s">
        <v>22</v>
      </c>
      <c r="B14" s="18">
        <v>3500</v>
      </c>
      <c r="C14" s="6"/>
      <c r="D14" s="20" t="s">
        <v>67</v>
      </c>
      <c r="E14" s="18">
        <f>J26</f>
        <v>-87376</v>
      </c>
      <c r="G14" s="5" t="s">
        <v>43</v>
      </c>
      <c r="H14" s="8">
        <f>(F34+I34+L34)*H13</f>
        <v>162960</v>
      </c>
      <c r="I14" s="8">
        <f>(F34+I34+L34)*I13</f>
        <v>155200</v>
      </c>
      <c r="J14" s="3">
        <f>H14-I14</f>
        <v>7760</v>
      </c>
    </row>
    <row r="15" spans="1:10" x14ac:dyDescent="0.3">
      <c r="A15" s="20" t="s">
        <v>23</v>
      </c>
      <c r="B15" s="18">
        <v>6000</v>
      </c>
      <c r="C15" s="6"/>
      <c r="D15" s="20" t="s">
        <v>68</v>
      </c>
      <c r="E15" s="18">
        <f>-SUM(B16:B17)</f>
        <v>-107868</v>
      </c>
      <c r="G15" s="1"/>
      <c r="H15" s="1"/>
      <c r="I15" s="1" t="s">
        <v>33</v>
      </c>
      <c r="J15" s="1"/>
    </row>
    <row r="16" spans="1:10" x14ac:dyDescent="0.3">
      <c r="A16" s="20" t="s">
        <v>26</v>
      </c>
      <c r="B16" s="18">
        <f>3000*10+0.05*(E8)</f>
        <v>75168</v>
      </c>
      <c r="C16" s="6"/>
      <c r="D16" s="20" t="s">
        <v>69</v>
      </c>
      <c r="E16" s="23">
        <f>-J16</f>
        <v>-162960</v>
      </c>
      <c r="G16" s="1" t="s">
        <v>34</v>
      </c>
      <c r="H16" s="1">
        <f>F34+I34+L34</f>
        <v>3880</v>
      </c>
      <c r="I16" s="3">
        <v>42</v>
      </c>
      <c r="J16" s="8">
        <f>I16*H16</f>
        <v>162960</v>
      </c>
    </row>
    <row r="17" spans="1:14" x14ac:dyDescent="0.3">
      <c r="A17" s="20" t="s">
        <v>44</v>
      </c>
      <c r="B17" s="18">
        <f>30000+2700</f>
        <v>32700</v>
      </c>
      <c r="C17" s="6"/>
      <c r="D17" s="20" t="s">
        <v>37</v>
      </c>
      <c r="E17" s="18">
        <f>-B18</f>
        <v>-48000</v>
      </c>
    </row>
    <row r="18" spans="1:14" ht="15" thickBot="1" x14ac:dyDescent="0.35">
      <c r="A18" s="20" t="s">
        <v>25</v>
      </c>
      <c r="B18" s="18">
        <f>20*2400</f>
        <v>48000</v>
      </c>
      <c r="C18" s="6"/>
      <c r="D18" s="20" t="s">
        <v>36</v>
      </c>
      <c r="E18" s="18">
        <f>-SUM(B19:B21)</f>
        <v>-82000</v>
      </c>
      <c r="I18" t="s">
        <v>70</v>
      </c>
    </row>
    <row r="19" spans="1:14" x14ac:dyDescent="0.3">
      <c r="A19" s="20" t="s">
        <v>27</v>
      </c>
      <c r="B19" s="18">
        <v>2000</v>
      </c>
      <c r="C19" s="6"/>
      <c r="D19" s="20" t="s">
        <v>19</v>
      </c>
      <c r="E19" s="18">
        <f>-B22</f>
        <v>-2000</v>
      </c>
      <c r="G19" s="19" t="s">
        <v>50</v>
      </c>
      <c r="H19" s="18">
        <v>138600</v>
      </c>
    </row>
    <row r="20" spans="1:14" x14ac:dyDescent="0.3">
      <c r="A20" s="20" t="s">
        <v>28</v>
      </c>
      <c r="B20" s="18">
        <v>10000</v>
      </c>
      <c r="C20" s="6"/>
      <c r="D20" s="20" t="s">
        <v>72</v>
      </c>
      <c r="E20" s="23">
        <f>SUM(E15:E19)</f>
        <v>-402828</v>
      </c>
      <c r="G20" s="20" t="s">
        <v>48</v>
      </c>
      <c r="H20" s="23">
        <f>E23-F23</f>
        <v>255043.97999999998</v>
      </c>
    </row>
    <row r="21" spans="1:14" ht="15" thickBot="1" x14ac:dyDescent="0.35">
      <c r="A21" s="20" t="s">
        <v>29</v>
      </c>
      <c r="B21" s="18">
        <v>70000</v>
      </c>
      <c r="C21" s="6"/>
      <c r="D21" s="20" t="s">
        <v>73</v>
      </c>
      <c r="E21" s="23">
        <f>E20/2*0.2</f>
        <v>-40282.800000000003</v>
      </c>
      <c r="G21" s="21" t="s">
        <v>49</v>
      </c>
      <c r="H21" s="23">
        <f>SUM(H19:H20)</f>
        <v>393643.98</v>
      </c>
    </row>
    <row r="22" spans="1:14" ht="15" thickBot="1" x14ac:dyDescent="0.35">
      <c r="A22" s="21" t="s">
        <v>38</v>
      </c>
      <c r="B22" s="18">
        <v>2000</v>
      </c>
      <c r="C22" s="6"/>
      <c r="D22" s="20" t="s">
        <v>57</v>
      </c>
      <c r="E22" s="23">
        <f>E20+E21+E14+E13+E12+E10</f>
        <v>-725826.8</v>
      </c>
    </row>
    <row r="23" spans="1:14" ht="15" thickBot="1" x14ac:dyDescent="0.35">
      <c r="D23" s="21" t="s">
        <v>13</v>
      </c>
      <c r="E23" s="18">
        <f>SUM(E8:E9)+E22</f>
        <v>265043.98</v>
      </c>
      <c r="F23">
        <v>10000</v>
      </c>
    </row>
    <row r="24" spans="1:14" ht="15" thickBot="1" x14ac:dyDescent="0.35"/>
    <row r="25" spans="1:14" ht="15" thickBot="1" x14ac:dyDescent="0.35">
      <c r="A25" s="13" t="s">
        <v>40</v>
      </c>
      <c r="B25" s="14" t="s">
        <v>7</v>
      </c>
      <c r="C25" s="14" t="s">
        <v>6</v>
      </c>
      <c r="D25" s="14" t="s">
        <v>55</v>
      </c>
      <c r="E25" s="15" t="s">
        <v>56</v>
      </c>
      <c r="G25" s="10" t="s">
        <v>45</v>
      </c>
      <c r="H25" s="11" t="s">
        <v>46</v>
      </c>
      <c r="I25" s="11" t="s">
        <v>47</v>
      </c>
      <c r="J25" s="12" t="s">
        <v>12</v>
      </c>
    </row>
    <row r="26" spans="1:14" x14ac:dyDescent="0.3">
      <c r="A26" s="1" t="s">
        <v>30</v>
      </c>
      <c r="B26" s="1">
        <v>32</v>
      </c>
      <c r="C26" s="1">
        <v>16</v>
      </c>
      <c r="D26" s="1"/>
      <c r="E26" s="1"/>
      <c r="G26" s="9"/>
      <c r="H26" s="26">
        <f>E6-D6</f>
        <v>150560</v>
      </c>
      <c r="I26" s="17">
        <v>63184</v>
      </c>
      <c r="J26" s="16">
        <f>I26-H26</f>
        <v>-87376</v>
      </c>
    </row>
    <row r="27" spans="1:14" x14ac:dyDescent="0.3">
      <c r="A27" s="1" t="s">
        <v>31</v>
      </c>
      <c r="B27" s="8">
        <v>4000</v>
      </c>
      <c r="C27" s="8">
        <v>1500</v>
      </c>
      <c r="D27" s="1"/>
      <c r="E27" s="1"/>
    </row>
    <row r="28" spans="1:14" x14ac:dyDescent="0.3">
      <c r="A28" s="1" t="s">
        <v>12</v>
      </c>
      <c r="B28" s="8">
        <f>B27*B26</f>
        <v>128000</v>
      </c>
      <c r="C28" s="8">
        <f>C27*C26</f>
        <v>24000</v>
      </c>
      <c r="D28" s="3">
        <f>C28+B28</f>
        <v>152000</v>
      </c>
      <c r="E28" s="3">
        <f>D28*1.2</f>
        <v>182400</v>
      </c>
    </row>
    <row r="29" spans="1:14" ht="15" thickBot="1" x14ac:dyDescent="0.35"/>
    <row r="30" spans="1:14" ht="15" thickBot="1" x14ac:dyDescent="0.35">
      <c r="A30" s="10" t="s">
        <v>8</v>
      </c>
      <c r="B30" s="11" t="s">
        <v>7</v>
      </c>
      <c r="C30" s="12" t="s">
        <v>6</v>
      </c>
      <c r="E30" s="10" t="s">
        <v>59</v>
      </c>
      <c r="F30" s="11" t="s">
        <v>60</v>
      </c>
      <c r="G30" s="11" t="s">
        <v>8</v>
      </c>
      <c r="H30" s="11" t="s">
        <v>64</v>
      </c>
      <c r="I30" s="11" t="s">
        <v>61</v>
      </c>
      <c r="J30" s="11" t="s">
        <v>8</v>
      </c>
      <c r="K30" s="11" t="s">
        <v>64</v>
      </c>
      <c r="L30" s="11" t="s">
        <v>62</v>
      </c>
      <c r="M30" s="11" t="s">
        <v>8</v>
      </c>
      <c r="N30" s="12" t="s">
        <v>64</v>
      </c>
    </row>
    <row r="31" spans="1:14" x14ac:dyDescent="0.3">
      <c r="A31" s="9"/>
      <c r="B31" s="9">
        <v>4000</v>
      </c>
      <c r="C31" s="9">
        <v>1500</v>
      </c>
      <c r="E31" s="9" t="s">
        <v>63</v>
      </c>
      <c r="F31" s="9">
        <v>25</v>
      </c>
      <c r="G31" s="9"/>
      <c r="H31" s="9"/>
      <c r="I31" s="9">
        <v>35</v>
      </c>
      <c r="J31" s="9"/>
      <c r="K31" s="9"/>
      <c r="L31" s="9">
        <v>45</v>
      </c>
      <c r="M31" s="9"/>
      <c r="N31" s="9"/>
    </row>
    <row r="32" spans="1:14" x14ac:dyDescent="0.3">
      <c r="E32" s="1" t="s">
        <v>7</v>
      </c>
      <c r="F32" s="1">
        <f>0.2*F31</f>
        <v>5</v>
      </c>
      <c r="G32" s="3">
        <f>B27</f>
        <v>4000</v>
      </c>
      <c r="H32" s="3">
        <f>G32*F32</f>
        <v>20000</v>
      </c>
      <c r="I32" s="1">
        <f>0.4*I31</f>
        <v>14</v>
      </c>
      <c r="J32" s="3">
        <f>B27</f>
        <v>4000</v>
      </c>
      <c r="K32" s="3">
        <f>J32*I32</f>
        <v>56000</v>
      </c>
      <c r="L32" s="1">
        <f>L31</f>
        <v>45</v>
      </c>
      <c r="M32" s="3">
        <f>B27</f>
        <v>4000</v>
      </c>
      <c r="N32" s="3">
        <f>M32*L32</f>
        <v>180000</v>
      </c>
    </row>
    <row r="33" spans="5:15" x14ac:dyDescent="0.3">
      <c r="E33" s="1" t="s">
        <v>6</v>
      </c>
      <c r="F33" s="1">
        <f>0.1*F31</f>
        <v>2.5</v>
      </c>
      <c r="G33" s="3">
        <f>C27</f>
        <v>1500</v>
      </c>
      <c r="H33" s="3">
        <f>G33*F33</f>
        <v>3750</v>
      </c>
      <c r="I33" s="1">
        <f>0.2*I31</f>
        <v>7</v>
      </c>
      <c r="J33" s="3">
        <f>C27</f>
        <v>1500</v>
      </c>
      <c r="K33" s="3">
        <f>J33*I33</f>
        <v>10500</v>
      </c>
      <c r="L33" s="1">
        <f>0.5*L31</f>
        <v>22.5</v>
      </c>
      <c r="M33" s="3">
        <f>C27</f>
        <v>1500</v>
      </c>
      <c r="N33" s="3">
        <f>M33*L33</f>
        <v>33750</v>
      </c>
    </row>
    <row r="34" spans="5:15" x14ac:dyDescent="0.3">
      <c r="E34" s="1" t="s">
        <v>65</v>
      </c>
      <c r="F34" s="1">
        <f>G12*F31</f>
        <v>450</v>
      </c>
      <c r="G34" s="25">
        <f>I16</f>
        <v>42</v>
      </c>
      <c r="H34" s="3">
        <f>G34*F34</f>
        <v>18900</v>
      </c>
      <c r="I34" s="1">
        <f>H12*I31</f>
        <v>910</v>
      </c>
      <c r="J34" s="25">
        <f>I16</f>
        <v>42</v>
      </c>
      <c r="K34" s="25">
        <f>J34*I34</f>
        <v>38220</v>
      </c>
      <c r="L34" s="1">
        <f>I12*L31</f>
        <v>2520</v>
      </c>
      <c r="M34" s="25">
        <f>H13</f>
        <v>42</v>
      </c>
      <c r="N34" s="3">
        <f>M34*L34</f>
        <v>105840</v>
      </c>
    </row>
    <row r="35" spans="5:15" x14ac:dyDescent="0.3">
      <c r="G35" s="4">
        <f>H35/F31</f>
        <v>1706</v>
      </c>
      <c r="H35" s="3">
        <f>SUM(H32:H34)</f>
        <v>42650</v>
      </c>
      <c r="J35" s="4">
        <f>K35/I31</f>
        <v>2992</v>
      </c>
      <c r="K35" s="3">
        <f>SUM(K32:K34)</f>
        <v>104720</v>
      </c>
      <c r="M35" s="4">
        <f>N35/L31</f>
        <v>7102</v>
      </c>
      <c r="N35" s="3">
        <f>SUM(N32:N34)</f>
        <v>319590</v>
      </c>
      <c r="O35" s="4">
        <f>N35+K35+H35</f>
        <v>466960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7478-FDBE-4187-B46C-9244D78E8097}">
  <dimension ref="A1:O35"/>
  <sheetViews>
    <sheetView tabSelected="1" workbookViewId="0">
      <selection activeCell="K15" sqref="K15"/>
    </sheetView>
  </sheetViews>
  <sheetFormatPr baseColWidth="10" defaultRowHeight="14.4" x14ac:dyDescent="0.3"/>
  <cols>
    <col min="1" max="4" width="23.21875" customWidth="1"/>
    <col min="5" max="5" width="18.44140625" customWidth="1"/>
    <col min="6" max="6" width="14.88671875" customWidth="1"/>
    <col min="7" max="7" width="23.21875" customWidth="1"/>
    <col min="8" max="8" width="15.6640625" customWidth="1"/>
    <col min="9" max="9" width="17.109375" customWidth="1"/>
    <col min="10" max="10" width="12.6640625" bestFit="1" customWidth="1"/>
    <col min="11" max="12" width="18" customWidth="1"/>
    <col min="14" max="14" width="13.44140625" customWidth="1"/>
    <col min="15" max="15" width="12.6640625" bestFit="1" customWidth="1"/>
  </cols>
  <sheetData>
    <row r="1" spans="1:11" ht="15" thickBot="1" x14ac:dyDescent="0.35">
      <c r="A1" s="10" t="s">
        <v>9</v>
      </c>
      <c r="B1" s="11" t="s">
        <v>10</v>
      </c>
      <c r="C1" s="11" t="s">
        <v>11</v>
      </c>
      <c r="D1" s="11" t="s">
        <v>51</v>
      </c>
      <c r="E1" s="12" t="s">
        <v>53</v>
      </c>
    </row>
    <row r="2" spans="1:11" x14ac:dyDescent="0.3">
      <c r="A2" s="9">
        <v>25</v>
      </c>
      <c r="B2" s="9">
        <v>70</v>
      </c>
      <c r="C2" s="9">
        <v>64</v>
      </c>
      <c r="D2" s="9">
        <f>SUM(A2:C2)</f>
        <v>159</v>
      </c>
      <c r="E2" s="9"/>
    </row>
    <row r="3" spans="1:11" x14ac:dyDescent="0.3">
      <c r="A3" s="1" t="s">
        <v>1</v>
      </c>
      <c r="B3" s="1" t="s">
        <v>1</v>
      </c>
      <c r="C3" s="1" t="s">
        <v>1</v>
      </c>
      <c r="D3" s="1"/>
      <c r="E3" s="1"/>
    </row>
    <row r="4" spans="1:11" ht="15" thickBot="1" x14ac:dyDescent="0.35">
      <c r="A4" s="8">
        <v>2200</v>
      </c>
      <c r="B4" s="8">
        <v>5500</v>
      </c>
      <c r="C4" s="8">
        <v>15000</v>
      </c>
      <c r="D4" s="1"/>
      <c r="E4" s="1"/>
    </row>
    <row r="5" spans="1:11" ht="15" thickBot="1" x14ac:dyDescent="0.35">
      <c r="A5" s="1" t="s">
        <v>12</v>
      </c>
      <c r="B5" s="1" t="s">
        <v>12</v>
      </c>
      <c r="C5" s="1" t="s">
        <v>12</v>
      </c>
      <c r="D5" s="1"/>
      <c r="E5" s="1"/>
      <c r="G5" s="10" t="s">
        <v>0</v>
      </c>
      <c r="H5" s="11" t="s">
        <v>0</v>
      </c>
      <c r="I5" s="12" t="s">
        <v>0</v>
      </c>
    </row>
    <row r="6" spans="1:11" x14ac:dyDescent="0.3">
      <c r="A6" s="8">
        <f>A4*A2</f>
        <v>55000</v>
      </c>
      <c r="B6" s="8">
        <f>B4*B2</f>
        <v>385000</v>
      </c>
      <c r="C6" s="8">
        <f>C4*C2</f>
        <v>960000</v>
      </c>
      <c r="D6" s="8">
        <f>SUM(A6:C6)</f>
        <v>1400000</v>
      </c>
      <c r="E6" s="3">
        <f>D6*1.2</f>
        <v>1680000</v>
      </c>
      <c r="G6" s="9">
        <v>0.2</v>
      </c>
      <c r="H6" s="9">
        <v>0.4</v>
      </c>
      <c r="I6" s="9">
        <v>1</v>
      </c>
    </row>
    <row r="7" spans="1:11" ht="15" thickBot="1" x14ac:dyDescent="0.35">
      <c r="G7" s="1">
        <v>0.1</v>
      </c>
      <c r="H7" s="1">
        <v>0.2</v>
      </c>
      <c r="I7" s="1">
        <v>0.5</v>
      </c>
    </row>
    <row r="8" spans="1:11" ht="15" thickBot="1" x14ac:dyDescent="0.35">
      <c r="D8" s="19" t="s">
        <v>66</v>
      </c>
      <c r="E8" s="18">
        <f>E6</f>
        <v>1680000</v>
      </c>
    </row>
    <row r="9" spans="1:11" x14ac:dyDescent="0.3">
      <c r="A9" s="19" t="s">
        <v>14</v>
      </c>
      <c r="B9" s="18">
        <v>16121.72</v>
      </c>
      <c r="D9" s="20" t="s">
        <v>42</v>
      </c>
      <c r="E9" s="18">
        <v>-16121.71</v>
      </c>
    </row>
    <row r="10" spans="1:11" ht="15" thickBot="1" x14ac:dyDescent="0.35">
      <c r="A10" s="20" t="s">
        <v>52</v>
      </c>
      <c r="B10" s="18">
        <f>B9*0.08/12</f>
        <v>107.47813333333333</v>
      </c>
      <c r="C10" s="6"/>
      <c r="D10" s="20" t="s">
        <v>18</v>
      </c>
      <c r="E10" s="18">
        <f>-E28</f>
        <v>-319200</v>
      </c>
    </row>
    <row r="11" spans="1:11" ht="15" thickBot="1" x14ac:dyDescent="0.35">
      <c r="A11" s="20" t="s">
        <v>32</v>
      </c>
      <c r="B11" s="18">
        <f>(552000-12000)*0.02/12</f>
        <v>900</v>
      </c>
      <c r="C11" s="6"/>
      <c r="D11" s="20" t="s">
        <v>15</v>
      </c>
      <c r="E11" s="18">
        <f>-12000</f>
        <v>-12000</v>
      </c>
      <c r="G11" s="10" t="s">
        <v>5</v>
      </c>
      <c r="H11" s="11" t="s">
        <v>5</v>
      </c>
      <c r="I11" s="12" t="s">
        <v>5</v>
      </c>
    </row>
    <row r="12" spans="1:11" x14ac:dyDescent="0.3">
      <c r="A12" s="20" t="s">
        <v>24</v>
      </c>
      <c r="B12" s="18">
        <v>4300</v>
      </c>
      <c r="C12" s="6"/>
      <c r="D12" s="20" t="s">
        <v>41</v>
      </c>
      <c r="E12" s="18">
        <f>-(B11+B10)</f>
        <v>-1007.4781333333333</v>
      </c>
      <c r="G12" s="24">
        <v>18</v>
      </c>
      <c r="H12" s="24">
        <v>26</v>
      </c>
      <c r="I12" s="24">
        <v>56</v>
      </c>
    </row>
    <row r="13" spans="1:11" x14ac:dyDescent="0.3">
      <c r="A13" s="20" t="s">
        <v>21</v>
      </c>
      <c r="B13" s="18">
        <f>2700+2700</f>
        <v>5400</v>
      </c>
      <c r="C13" s="6"/>
      <c r="D13" s="20" t="s">
        <v>67</v>
      </c>
      <c r="E13" s="18">
        <f>J26</f>
        <v>-184880</v>
      </c>
      <c r="G13" s="1" t="s">
        <v>54</v>
      </c>
      <c r="H13" s="25">
        <v>42</v>
      </c>
      <c r="I13" s="25">
        <v>40</v>
      </c>
      <c r="J13" s="1" t="s">
        <v>58</v>
      </c>
    </row>
    <row r="14" spans="1:11" x14ac:dyDescent="0.3">
      <c r="A14" s="20" t="s">
        <v>22</v>
      </c>
      <c r="B14" s="18">
        <v>3500</v>
      </c>
      <c r="C14" s="6"/>
      <c r="D14" s="20" t="s">
        <v>75</v>
      </c>
      <c r="E14" s="18">
        <f>-B23</f>
        <v>-768000</v>
      </c>
      <c r="G14" s="5" t="s">
        <v>43</v>
      </c>
      <c r="H14" s="8">
        <f>(F34+I34+L34)*H13</f>
        <v>224952</v>
      </c>
      <c r="I14" s="8">
        <f>(F34+I34+L34)*I13</f>
        <v>214240</v>
      </c>
      <c r="J14" s="3">
        <f>H14-I14</f>
        <v>10712</v>
      </c>
      <c r="K14" s="4">
        <f>J14+2700</f>
        <v>13412</v>
      </c>
    </row>
    <row r="15" spans="1:11" x14ac:dyDescent="0.3">
      <c r="A15" s="20" t="s">
        <v>23</v>
      </c>
      <c r="B15" s="18">
        <v>6000</v>
      </c>
      <c r="C15" s="6"/>
      <c r="D15" s="20" t="s">
        <v>68</v>
      </c>
      <c r="E15" s="18">
        <f>-SUM(B16:B17)</f>
        <v>-146700</v>
      </c>
      <c r="G15" s="1"/>
      <c r="H15" s="1"/>
      <c r="I15" s="1" t="s">
        <v>33</v>
      </c>
      <c r="J15" s="1"/>
    </row>
    <row r="16" spans="1:11" x14ac:dyDescent="0.3">
      <c r="A16" s="20" t="s">
        <v>26</v>
      </c>
      <c r="B16" s="18">
        <f>3000*10+0.05*(E8)</f>
        <v>114000</v>
      </c>
      <c r="C16" s="6"/>
      <c r="D16" s="20" t="s">
        <v>69</v>
      </c>
      <c r="E16" s="23">
        <f>-J16</f>
        <v>-224952</v>
      </c>
      <c r="G16" s="1" t="s">
        <v>34</v>
      </c>
      <c r="H16" s="1">
        <f>F34+I34+L34</f>
        <v>5356</v>
      </c>
      <c r="I16" s="3">
        <v>42</v>
      </c>
      <c r="J16" s="8">
        <f>I16*H16</f>
        <v>224952</v>
      </c>
    </row>
    <row r="17" spans="1:14" x14ac:dyDescent="0.3">
      <c r="A17" s="20" t="s">
        <v>44</v>
      </c>
      <c r="B17" s="18">
        <f>30000+2700</f>
        <v>32700</v>
      </c>
      <c r="C17" s="6"/>
      <c r="D17" s="20" t="s">
        <v>37</v>
      </c>
      <c r="E17" s="18">
        <f>-B18</f>
        <v>-67200</v>
      </c>
    </row>
    <row r="18" spans="1:14" ht="15" thickBot="1" x14ac:dyDescent="0.35">
      <c r="A18" s="20" t="s">
        <v>25</v>
      </c>
      <c r="B18" s="18">
        <f>28*2400</f>
        <v>67200</v>
      </c>
      <c r="C18" s="6"/>
      <c r="D18" s="20" t="s">
        <v>36</v>
      </c>
      <c r="E18" s="18">
        <f>-SUM(B19:B21)</f>
        <v>-71000</v>
      </c>
      <c r="I18" t="s">
        <v>70</v>
      </c>
    </row>
    <row r="19" spans="1:14" x14ac:dyDescent="0.3">
      <c r="A19" s="20" t="s">
        <v>27</v>
      </c>
      <c r="B19" s="18">
        <v>1000</v>
      </c>
      <c r="C19" s="6"/>
      <c r="D19" s="20" t="s">
        <v>19</v>
      </c>
      <c r="E19" s="18">
        <f>-B22</f>
        <v>-2000</v>
      </c>
      <c r="G19" s="19" t="s">
        <v>50</v>
      </c>
      <c r="H19" s="18">
        <v>393643</v>
      </c>
    </row>
    <row r="20" spans="1:14" x14ac:dyDescent="0.3">
      <c r="A20" s="20" t="s">
        <v>28</v>
      </c>
      <c r="B20" s="18">
        <v>10000</v>
      </c>
      <c r="C20" s="6"/>
      <c r="D20" s="20" t="s">
        <v>72</v>
      </c>
      <c r="E20" s="23">
        <f>SUM(E15:E19)</f>
        <v>-511852</v>
      </c>
      <c r="G20" s="20" t="s">
        <v>48</v>
      </c>
      <c r="H20" s="23">
        <f>E23-F23</f>
        <v>-209246.3881333333</v>
      </c>
    </row>
    <row r="21" spans="1:14" ht="15" thickBot="1" x14ac:dyDescent="0.35">
      <c r="A21" s="20" t="s">
        <v>29</v>
      </c>
      <c r="B21" s="18">
        <v>60000</v>
      </c>
      <c r="C21" s="6"/>
      <c r="D21" s="20" t="s">
        <v>73</v>
      </c>
      <c r="E21" s="23">
        <f>E20/2*0.2</f>
        <v>-51185.200000000004</v>
      </c>
      <c r="G21" s="21" t="s">
        <v>49</v>
      </c>
      <c r="H21" s="23">
        <f>SUM(H19:H20)</f>
        <v>184396.6118666667</v>
      </c>
    </row>
    <row r="22" spans="1:14" x14ac:dyDescent="0.3">
      <c r="A22" s="20" t="s">
        <v>38</v>
      </c>
      <c r="B22" s="22">
        <v>2000</v>
      </c>
      <c r="C22" s="6"/>
      <c r="D22" s="20" t="s">
        <v>57</v>
      </c>
      <c r="E22" s="23">
        <f>E20+E21+E13+E12+E11+E10+E14</f>
        <v>-1848124.6781333333</v>
      </c>
    </row>
    <row r="23" spans="1:14" ht="15" thickBot="1" x14ac:dyDescent="0.35">
      <c r="A23" s="21" t="s">
        <v>74</v>
      </c>
      <c r="B23" s="18">
        <f>8*80000*1.2</f>
        <v>768000</v>
      </c>
      <c r="D23" s="21" t="s">
        <v>13</v>
      </c>
      <c r="E23" s="18">
        <f>SUM(E8:E9)+E22</f>
        <v>-184246.3881333333</v>
      </c>
      <c r="F23">
        <v>25000</v>
      </c>
    </row>
    <row r="24" spans="1:14" ht="15" thickBot="1" x14ac:dyDescent="0.35"/>
    <row r="25" spans="1:14" ht="15" thickBot="1" x14ac:dyDescent="0.35">
      <c r="A25" s="13" t="s">
        <v>40</v>
      </c>
      <c r="B25" s="14" t="s">
        <v>7</v>
      </c>
      <c r="C25" s="14" t="s">
        <v>6</v>
      </c>
      <c r="D25" s="14" t="s">
        <v>55</v>
      </c>
      <c r="E25" s="15" t="s">
        <v>56</v>
      </c>
      <c r="G25" s="10" t="s">
        <v>45</v>
      </c>
      <c r="H25" s="11" t="s">
        <v>46</v>
      </c>
      <c r="I25" s="11" t="s">
        <v>47</v>
      </c>
      <c r="J25" s="12" t="s">
        <v>12</v>
      </c>
    </row>
    <row r="26" spans="1:14" x14ac:dyDescent="0.3">
      <c r="A26" s="1" t="s">
        <v>30</v>
      </c>
      <c r="B26" s="1">
        <v>56</v>
      </c>
      <c r="C26" s="1">
        <v>28</v>
      </c>
      <c r="D26" s="1"/>
      <c r="E26" s="1"/>
      <c r="G26" s="9"/>
      <c r="H26" s="26">
        <f>E6-D6</f>
        <v>280000</v>
      </c>
      <c r="I26" s="17">
        <v>95120</v>
      </c>
      <c r="J26" s="16">
        <f>I26-H26</f>
        <v>-184880</v>
      </c>
    </row>
    <row r="27" spans="1:14" x14ac:dyDescent="0.3">
      <c r="A27" s="1" t="s">
        <v>31</v>
      </c>
      <c r="B27" s="8">
        <v>4000</v>
      </c>
      <c r="C27" s="8">
        <v>1500</v>
      </c>
      <c r="D27" s="1"/>
      <c r="E27" s="1"/>
    </row>
    <row r="28" spans="1:14" x14ac:dyDescent="0.3">
      <c r="A28" s="1" t="s">
        <v>12</v>
      </c>
      <c r="B28" s="8">
        <f>B27*B26</f>
        <v>224000</v>
      </c>
      <c r="C28" s="8">
        <f>C27*C26</f>
        <v>42000</v>
      </c>
      <c r="D28" s="3">
        <f>C28+B28</f>
        <v>266000</v>
      </c>
      <c r="E28" s="3">
        <f>D28*1.2</f>
        <v>319200</v>
      </c>
    </row>
    <row r="29" spans="1:14" ht="15" thickBot="1" x14ac:dyDescent="0.35"/>
    <row r="30" spans="1:14" ht="15" thickBot="1" x14ac:dyDescent="0.35">
      <c r="A30" s="10" t="s">
        <v>8</v>
      </c>
      <c r="B30" s="11" t="s">
        <v>7</v>
      </c>
      <c r="C30" s="12" t="s">
        <v>6</v>
      </c>
      <c r="E30" s="10" t="s">
        <v>59</v>
      </c>
      <c r="F30" s="11" t="s">
        <v>60</v>
      </c>
      <c r="G30" s="11" t="s">
        <v>8</v>
      </c>
      <c r="H30" s="11" t="s">
        <v>64</v>
      </c>
      <c r="I30" s="11" t="s">
        <v>61</v>
      </c>
      <c r="J30" s="11" t="s">
        <v>8</v>
      </c>
      <c r="K30" s="11" t="s">
        <v>64</v>
      </c>
      <c r="L30" s="11" t="s">
        <v>62</v>
      </c>
      <c r="M30" s="11" t="s">
        <v>8</v>
      </c>
      <c r="N30" s="12" t="s">
        <v>64</v>
      </c>
    </row>
    <row r="31" spans="1:14" x14ac:dyDescent="0.3">
      <c r="A31" s="9"/>
      <c r="B31" s="9">
        <v>4000</v>
      </c>
      <c r="C31" s="9">
        <v>1500</v>
      </c>
      <c r="E31" s="9" t="s">
        <v>63</v>
      </c>
      <c r="F31" s="9">
        <v>20</v>
      </c>
      <c r="G31" s="9"/>
      <c r="H31" s="9"/>
      <c r="I31" s="9">
        <v>50</v>
      </c>
      <c r="J31" s="9"/>
      <c r="K31" s="9"/>
      <c r="L31" s="9">
        <v>66</v>
      </c>
      <c r="M31" s="9"/>
      <c r="N31" s="9"/>
    </row>
    <row r="32" spans="1:14" x14ac:dyDescent="0.3">
      <c r="E32" s="1" t="s">
        <v>7</v>
      </c>
      <c r="F32" s="1">
        <f>0.2*F31</f>
        <v>4</v>
      </c>
      <c r="G32" s="3">
        <f>B27</f>
        <v>4000</v>
      </c>
      <c r="H32" s="3">
        <f>G32*F32</f>
        <v>16000</v>
      </c>
      <c r="I32" s="1">
        <f>0.4*I31</f>
        <v>20</v>
      </c>
      <c r="J32" s="3">
        <f>B27</f>
        <v>4000</v>
      </c>
      <c r="K32" s="3">
        <f>J32*I32</f>
        <v>80000</v>
      </c>
      <c r="L32" s="1">
        <f>L31</f>
        <v>66</v>
      </c>
      <c r="M32" s="3">
        <f>B27</f>
        <v>4000</v>
      </c>
      <c r="N32" s="3">
        <f>M32*L32</f>
        <v>264000</v>
      </c>
    </row>
    <row r="33" spans="5:15" x14ac:dyDescent="0.3">
      <c r="E33" s="1" t="s">
        <v>6</v>
      </c>
      <c r="F33" s="1">
        <f>0.1*F31</f>
        <v>2</v>
      </c>
      <c r="G33" s="3">
        <f>C27</f>
        <v>1500</v>
      </c>
      <c r="H33" s="3">
        <f>G33*F33</f>
        <v>3000</v>
      </c>
      <c r="I33" s="1">
        <f>0.2*I31</f>
        <v>10</v>
      </c>
      <c r="J33" s="3">
        <f>C27</f>
        <v>1500</v>
      </c>
      <c r="K33" s="3">
        <f>J33*I33</f>
        <v>15000</v>
      </c>
      <c r="L33" s="1">
        <f>0.5*L31</f>
        <v>33</v>
      </c>
      <c r="M33" s="3">
        <f>C27</f>
        <v>1500</v>
      </c>
      <c r="N33" s="3">
        <f>M33*L33</f>
        <v>49500</v>
      </c>
    </row>
    <row r="34" spans="5:15" x14ac:dyDescent="0.3">
      <c r="E34" s="1" t="s">
        <v>65</v>
      </c>
      <c r="F34" s="1">
        <f>G12*F31</f>
        <v>360</v>
      </c>
      <c r="G34" s="25">
        <f>I16</f>
        <v>42</v>
      </c>
      <c r="H34" s="3">
        <f>G34*F34</f>
        <v>15120</v>
      </c>
      <c r="I34" s="1">
        <f>H12*I31</f>
        <v>1300</v>
      </c>
      <c r="J34" s="25">
        <f>I16</f>
        <v>42</v>
      </c>
      <c r="K34" s="25">
        <f>J34*I34</f>
        <v>54600</v>
      </c>
      <c r="L34" s="1">
        <f>I12*L31</f>
        <v>3696</v>
      </c>
      <c r="M34" s="25">
        <f>H13</f>
        <v>42</v>
      </c>
      <c r="N34" s="3">
        <f>M34*L34</f>
        <v>155232</v>
      </c>
    </row>
    <row r="35" spans="5:15" x14ac:dyDescent="0.3">
      <c r="G35" s="4">
        <f>H35/F31</f>
        <v>1706</v>
      </c>
      <c r="H35" s="3">
        <f>SUM(H32:H34)</f>
        <v>34120</v>
      </c>
      <c r="J35" s="4">
        <f>K35/I31</f>
        <v>2992</v>
      </c>
      <c r="K35" s="3">
        <f>SUM(K32:K34)</f>
        <v>149600</v>
      </c>
      <c r="M35" s="4">
        <f>N35/L31</f>
        <v>7102</v>
      </c>
      <c r="N35" s="3">
        <f>SUM(N32:N34)</f>
        <v>468732</v>
      </c>
      <c r="O35" s="4">
        <f>N35+K35+H35</f>
        <v>652452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7AD2-218C-40D7-A499-79A15617D5E7}">
  <dimension ref="A1:O35"/>
  <sheetViews>
    <sheetView topLeftCell="D10" workbookViewId="0">
      <selection activeCell="O34" sqref="O34"/>
    </sheetView>
  </sheetViews>
  <sheetFormatPr baseColWidth="10" defaultRowHeight="14.4" x14ac:dyDescent="0.3"/>
  <cols>
    <col min="1" max="4" width="23.21875" customWidth="1"/>
    <col min="5" max="5" width="18.44140625" customWidth="1"/>
    <col min="6" max="6" width="14.88671875" customWidth="1"/>
    <col min="7" max="7" width="23.21875" customWidth="1"/>
    <col min="8" max="8" width="15.6640625" customWidth="1"/>
    <col min="9" max="9" width="17.109375" customWidth="1"/>
    <col min="10" max="10" width="12.6640625" bestFit="1" customWidth="1"/>
    <col min="11" max="12" width="18" customWidth="1"/>
    <col min="14" max="14" width="13.44140625" customWidth="1"/>
    <col min="15" max="15" width="12.6640625" bestFit="1" customWidth="1"/>
  </cols>
  <sheetData>
    <row r="1" spans="1:10" ht="15" thickBot="1" x14ac:dyDescent="0.35">
      <c r="A1" s="10" t="s">
        <v>9</v>
      </c>
      <c r="B1" s="11" t="s">
        <v>10</v>
      </c>
      <c r="C1" s="11" t="s">
        <v>11</v>
      </c>
      <c r="D1" s="11" t="s">
        <v>51</v>
      </c>
      <c r="E1" s="12" t="s">
        <v>53</v>
      </c>
    </row>
    <row r="2" spans="1:10" x14ac:dyDescent="0.3">
      <c r="A2" s="9">
        <v>20</v>
      </c>
      <c r="B2" s="9">
        <v>50</v>
      </c>
      <c r="C2" s="9">
        <v>66</v>
      </c>
      <c r="D2" s="9">
        <f>SUM(A2:C2)</f>
        <v>136</v>
      </c>
      <c r="E2" s="9"/>
    </row>
    <row r="3" spans="1:10" x14ac:dyDescent="0.3">
      <c r="A3" s="1" t="s">
        <v>1</v>
      </c>
      <c r="B3" s="1" t="s">
        <v>1</v>
      </c>
      <c r="C3" s="1" t="s">
        <v>1</v>
      </c>
      <c r="D3" s="1"/>
      <c r="E3" s="1"/>
    </row>
    <row r="4" spans="1:10" ht="15" thickBot="1" x14ac:dyDescent="0.35">
      <c r="A4" s="8">
        <v>2200</v>
      </c>
      <c r="B4" s="8">
        <v>5500</v>
      </c>
      <c r="C4" s="8">
        <v>15000</v>
      </c>
      <c r="D4" s="1"/>
      <c r="E4" s="1"/>
    </row>
    <row r="5" spans="1:10" ht="15" thickBot="1" x14ac:dyDescent="0.35">
      <c r="A5" s="1" t="s">
        <v>12</v>
      </c>
      <c r="B5" s="1" t="s">
        <v>12</v>
      </c>
      <c r="C5" s="1" t="s">
        <v>12</v>
      </c>
      <c r="D5" s="1"/>
      <c r="E5" s="1"/>
      <c r="G5" s="10" t="s">
        <v>0</v>
      </c>
      <c r="H5" s="11" t="s">
        <v>0</v>
      </c>
      <c r="I5" s="12" t="s">
        <v>0</v>
      </c>
    </row>
    <row r="6" spans="1:10" x14ac:dyDescent="0.3">
      <c r="A6" s="8">
        <f>A4*A2</f>
        <v>44000</v>
      </c>
      <c r="B6" s="8">
        <f>B4*B2</f>
        <v>275000</v>
      </c>
      <c r="C6" s="8">
        <f>C4*C2</f>
        <v>990000</v>
      </c>
      <c r="D6" s="8">
        <f>SUM(A6:C6)</f>
        <v>1309000</v>
      </c>
      <c r="E6" s="3">
        <f>D6*1.2</f>
        <v>1570800</v>
      </c>
      <c r="G6" s="9">
        <v>0.2</v>
      </c>
      <c r="H6" s="9">
        <v>0.4</v>
      </c>
      <c r="I6" s="9">
        <v>1</v>
      </c>
    </row>
    <row r="7" spans="1:10" ht="15" thickBot="1" x14ac:dyDescent="0.35">
      <c r="G7" s="1">
        <v>0.1</v>
      </c>
      <c r="H7" s="1">
        <v>0.2</v>
      </c>
      <c r="I7" s="1">
        <v>0.5</v>
      </c>
    </row>
    <row r="8" spans="1:10" ht="15" thickBot="1" x14ac:dyDescent="0.35">
      <c r="D8" s="19" t="s">
        <v>66</v>
      </c>
      <c r="E8" s="18">
        <f>E6</f>
        <v>1570800</v>
      </c>
    </row>
    <row r="9" spans="1:10" x14ac:dyDescent="0.3">
      <c r="A9" s="19" t="s">
        <v>14</v>
      </c>
      <c r="B9" s="18">
        <v>0</v>
      </c>
      <c r="D9" s="20" t="s">
        <v>42</v>
      </c>
      <c r="E9" s="18">
        <v>0</v>
      </c>
    </row>
    <row r="10" spans="1:10" ht="15" thickBot="1" x14ac:dyDescent="0.35">
      <c r="A10" s="20" t="s">
        <v>52</v>
      </c>
      <c r="B10" s="18"/>
      <c r="C10" s="6"/>
      <c r="D10" s="20" t="s">
        <v>18</v>
      </c>
      <c r="E10" s="18">
        <f>-E28</f>
        <v>-478800</v>
      </c>
    </row>
    <row r="11" spans="1:10" ht="15" thickBot="1" x14ac:dyDescent="0.35">
      <c r="A11" s="20" t="s">
        <v>32</v>
      </c>
      <c r="B11" s="18">
        <f>(540000-12000)*0.02/12</f>
        <v>880</v>
      </c>
      <c r="C11" s="6"/>
      <c r="D11" s="20" t="s">
        <v>15</v>
      </c>
      <c r="E11" s="18">
        <f>-12000</f>
        <v>-12000</v>
      </c>
      <c r="G11" s="10" t="s">
        <v>5</v>
      </c>
      <c r="H11" s="11" t="s">
        <v>5</v>
      </c>
      <c r="I11" s="12" t="s">
        <v>5</v>
      </c>
    </row>
    <row r="12" spans="1:10" x14ac:dyDescent="0.3">
      <c r="A12" s="20" t="s">
        <v>24</v>
      </c>
      <c r="B12" s="18">
        <v>4300</v>
      </c>
      <c r="C12" s="6"/>
      <c r="D12" s="20" t="s">
        <v>41</v>
      </c>
      <c r="E12" s="18">
        <f>-(B11+B10)</f>
        <v>-880</v>
      </c>
      <c r="G12" s="24">
        <v>18</v>
      </c>
      <c r="H12" s="24">
        <v>26</v>
      </c>
      <c r="I12" s="24">
        <v>56</v>
      </c>
    </row>
    <row r="13" spans="1:10" x14ac:dyDescent="0.3">
      <c r="A13" s="20" t="s">
        <v>21</v>
      </c>
      <c r="B13" s="18">
        <f>2700+2700</f>
        <v>5400</v>
      </c>
      <c r="C13" s="6"/>
      <c r="D13" s="20" t="s">
        <v>67</v>
      </c>
      <c r="E13" s="18">
        <f>J26</f>
        <v>-166680</v>
      </c>
      <c r="G13" s="1" t="s">
        <v>54</v>
      </c>
      <c r="H13" s="25">
        <v>42</v>
      </c>
      <c r="I13" s="25">
        <v>40</v>
      </c>
      <c r="J13" s="1" t="s">
        <v>58</v>
      </c>
    </row>
    <row r="14" spans="1:10" x14ac:dyDescent="0.3">
      <c r="A14" s="20" t="s">
        <v>22</v>
      </c>
      <c r="B14" s="18">
        <v>3500</v>
      </c>
      <c r="C14" s="6"/>
      <c r="D14" s="20" t="s">
        <v>75</v>
      </c>
      <c r="E14" s="18">
        <f>-B23</f>
        <v>-288000</v>
      </c>
      <c r="G14" s="5" t="s">
        <v>43</v>
      </c>
      <c r="H14" s="8">
        <f>(F34+I34+L34)*H13</f>
        <v>258048</v>
      </c>
      <c r="I14" s="8">
        <f>(F34+I34+L34)*I13</f>
        <v>245760</v>
      </c>
      <c r="J14" s="3">
        <f>H14-I14</f>
        <v>12288</v>
      </c>
    </row>
    <row r="15" spans="1:10" x14ac:dyDescent="0.3">
      <c r="A15" s="20" t="s">
        <v>23</v>
      </c>
      <c r="B15" s="18">
        <v>6000</v>
      </c>
      <c r="C15" s="6"/>
      <c r="D15" s="20" t="s">
        <v>68</v>
      </c>
      <c r="E15" s="18">
        <f>-SUM(B16:B17)</f>
        <v>-126840</v>
      </c>
      <c r="G15" s="1"/>
      <c r="H15" s="1"/>
      <c r="I15" s="1" t="s">
        <v>33</v>
      </c>
      <c r="J15" s="1"/>
    </row>
    <row r="16" spans="1:10" x14ac:dyDescent="0.3">
      <c r="A16" s="20" t="s">
        <v>26</v>
      </c>
      <c r="B16" s="18">
        <f>3000*10+0.05*(E8+E14)</f>
        <v>94140</v>
      </c>
      <c r="C16" s="6"/>
      <c r="D16" s="20" t="s">
        <v>69</v>
      </c>
      <c r="E16" s="23">
        <f>-J16</f>
        <v>-258048</v>
      </c>
      <c r="G16" s="1" t="s">
        <v>34</v>
      </c>
      <c r="H16" s="1">
        <f>F34+I34+L34</f>
        <v>6144</v>
      </c>
      <c r="I16" s="3">
        <v>42</v>
      </c>
      <c r="J16" s="8">
        <f>I16*H16</f>
        <v>258048</v>
      </c>
    </row>
    <row r="17" spans="1:15" x14ac:dyDescent="0.3">
      <c r="A17" s="20" t="s">
        <v>44</v>
      </c>
      <c r="B17" s="18">
        <f>30000+2700</f>
        <v>32700</v>
      </c>
      <c r="C17" s="6"/>
      <c r="D17" s="20" t="s">
        <v>37</v>
      </c>
      <c r="E17" s="18">
        <f>-B18</f>
        <v>-67200</v>
      </c>
    </row>
    <row r="18" spans="1:15" ht="15" thickBot="1" x14ac:dyDescent="0.35">
      <c r="A18" s="20" t="s">
        <v>25</v>
      </c>
      <c r="B18" s="18">
        <f>28*2400</f>
        <v>67200</v>
      </c>
      <c r="C18" s="6"/>
      <c r="D18" s="20" t="s">
        <v>36</v>
      </c>
      <c r="E18" s="18">
        <f>-SUM(B19:B21)</f>
        <v>-71000</v>
      </c>
      <c r="I18" t="s">
        <v>70</v>
      </c>
    </row>
    <row r="19" spans="1:15" x14ac:dyDescent="0.3">
      <c r="A19" s="20" t="s">
        <v>27</v>
      </c>
      <c r="B19" s="18">
        <v>1000</v>
      </c>
      <c r="C19" s="6"/>
      <c r="D19" s="20" t="s">
        <v>19</v>
      </c>
      <c r="E19" s="18">
        <f>-B22</f>
        <v>-2000</v>
      </c>
      <c r="G19" s="19" t="s">
        <v>50</v>
      </c>
      <c r="H19" s="18">
        <v>225000</v>
      </c>
    </row>
    <row r="20" spans="1:15" x14ac:dyDescent="0.3">
      <c r="A20" s="20" t="s">
        <v>28</v>
      </c>
      <c r="B20" s="18">
        <v>10000</v>
      </c>
      <c r="C20" s="6"/>
      <c r="D20" s="20" t="s">
        <v>72</v>
      </c>
      <c r="E20" s="23">
        <f>SUM(E15:E19)</f>
        <v>-525088</v>
      </c>
      <c r="G20" s="20" t="s">
        <v>48</v>
      </c>
      <c r="H20" s="23">
        <f>E23-F23</f>
        <v>21843.199999999953</v>
      </c>
    </row>
    <row r="21" spans="1:15" ht="15" thickBot="1" x14ac:dyDescent="0.35">
      <c r="A21" s="20" t="s">
        <v>29</v>
      </c>
      <c r="B21" s="18">
        <v>60000</v>
      </c>
      <c r="C21" s="6"/>
      <c r="D21" s="20" t="s">
        <v>73</v>
      </c>
      <c r="E21" s="23">
        <f>E20/2*0.2</f>
        <v>-52508.800000000003</v>
      </c>
      <c r="G21" s="21" t="s">
        <v>49</v>
      </c>
      <c r="H21" s="23">
        <f>SUM(H19:H20)</f>
        <v>246843.19999999995</v>
      </c>
    </row>
    <row r="22" spans="1:15" x14ac:dyDescent="0.3">
      <c r="A22" s="20" t="s">
        <v>38</v>
      </c>
      <c r="B22" s="22">
        <v>2000</v>
      </c>
      <c r="C22" s="6"/>
      <c r="D22" s="20" t="s">
        <v>57</v>
      </c>
      <c r="E22" s="23">
        <f>E20+E21+E13+E12+E11+E10+E14</f>
        <v>-1523956.8</v>
      </c>
    </row>
    <row r="23" spans="1:15" ht="15" thickBot="1" x14ac:dyDescent="0.35">
      <c r="A23" s="21" t="s">
        <v>74</v>
      </c>
      <c r="B23" s="18">
        <f>3*80000*1.2</f>
        <v>288000</v>
      </c>
      <c r="D23" s="21" t="s">
        <v>13</v>
      </c>
      <c r="E23" s="18">
        <f>SUM(E8:E9)+E22</f>
        <v>46843.199999999953</v>
      </c>
      <c r="F23">
        <v>25000</v>
      </c>
    </row>
    <row r="24" spans="1:15" ht="15" thickBot="1" x14ac:dyDescent="0.35"/>
    <row r="25" spans="1:15" ht="15" thickBot="1" x14ac:dyDescent="0.35">
      <c r="A25" s="13" t="s">
        <v>40</v>
      </c>
      <c r="B25" s="14" t="s">
        <v>7</v>
      </c>
      <c r="C25" s="14" t="s">
        <v>6</v>
      </c>
      <c r="D25" s="14" t="s">
        <v>55</v>
      </c>
      <c r="E25" s="15" t="s">
        <v>56</v>
      </c>
      <c r="G25" s="10" t="s">
        <v>45</v>
      </c>
      <c r="H25" s="11" t="s">
        <v>46</v>
      </c>
      <c r="I25" s="11" t="s">
        <v>47</v>
      </c>
      <c r="J25" s="12" t="s">
        <v>12</v>
      </c>
    </row>
    <row r="26" spans="1:15" x14ac:dyDescent="0.3">
      <c r="A26" s="1" t="s">
        <v>30</v>
      </c>
      <c r="B26" s="1">
        <v>84</v>
      </c>
      <c r="C26" s="1">
        <v>42</v>
      </c>
      <c r="D26" s="1"/>
      <c r="E26" s="1"/>
      <c r="G26" s="9"/>
      <c r="H26" s="26">
        <f>E6-D6</f>
        <v>261800</v>
      </c>
      <c r="I26" s="17">
        <v>95120</v>
      </c>
      <c r="J26" s="16">
        <f>I26-H26</f>
        <v>-166680</v>
      </c>
    </row>
    <row r="27" spans="1:15" x14ac:dyDescent="0.3">
      <c r="A27" s="1" t="s">
        <v>31</v>
      </c>
      <c r="B27" s="8">
        <v>4000</v>
      </c>
      <c r="C27" s="8">
        <v>1500</v>
      </c>
      <c r="D27" s="1"/>
      <c r="E27" s="1"/>
    </row>
    <row r="28" spans="1:15" x14ac:dyDescent="0.3">
      <c r="A28" s="1" t="s">
        <v>12</v>
      </c>
      <c r="B28" s="8">
        <f>B27*B26</f>
        <v>336000</v>
      </c>
      <c r="C28" s="8">
        <f>C27*C26</f>
        <v>63000</v>
      </c>
      <c r="D28" s="3">
        <f>C28+B28</f>
        <v>399000</v>
      </c>
      <c r="E28" s="3">
        <f>D28*1.2</f>
        <v>478800</v>
      </c>
    </row>
    <row r="29" spans="1:15" ht="15" thickBot="1" x14ac:dyDescent="0.35"/>
    <row r="30" spans="1:15" ht="15" thickBot="1" x14ac:dyDescent="0.35">
      <c r="A30" s="10" t="s">
        <v>8</v>
      </c>
      <c r="B30" s="11" t="s">
        <v>7</v>
      </c>
      <c r="C30" s="12" t="s">
        <v>6</v>
      </c>
      <c r="E30" s="10" t="s">
        <v>59</v>
      </c>
      <c r="F30" s="11" t="s">
        <v>60</v>
      </c>
      <c r="G30" s="11" t="s">
        <v>8</v>
      </c>
      <c r="H30" s="11" t="s">
        <v>64</v>
      </c>
      <c r="I30" s="11" t="s">
        <v>61</v>
      </c>
      <c r="J30" s="11" t="s">
        <v>8</v>
      </c>
      <c r="K30" s="11" t="s">
        <v>64</v>
      </c>
      <c r="L30" s="11" t="s">
        <v>62</v>
      </c>
      <c r="M30" s="11" t="s">
        <v>8</v>
      </c>
      <c r="N30" s="12" t="s">
        <v>64</v>
      </c>
    </row>
    <row r="31" spans="1:15" x14ac:dyDescent="0.3">
      <c r="A31" s="9"/>
      <c r="B31" s="9">
        <v>4000</v>
      </c>
      <c r="C31" s="9">
        <v>1500</v>
      </c>
      <c r="E31" s="9" t="s">
        <v>63</v>
      </c>
      <c r="F31" s="9">
        <v>28</v>
      </c>
      <c r="G31" s="9"/>
      <c r="H31" s="9"/>
      <c r="I31" s="9">
        <v>92</v>
      </c>
      <c r="J31" s="9"/>
      <c r="K31" s="9"/>
      <c r="L31" s="9">
        <v>58</v>
      </c>
      <c r="M31" s="9"/>
      <c r="N31" s="9"/>
    </row>
    <row r="32" spans="1:15" x14ac:dyDescent="0.3">
      <c r="E32" s="1" t="s">
        <v>7</v>
      </c>
      <c r="F32" s="1">
        <f>0.2*F31</f>
        <v>5.6000000000000005</v>
      </c>
      <c r="G32" s="3">
        <f>B27</f>
        <v>4000</v>
      </c>
      <c r="H32" s="3">
        <f>G32*F32</f>
        <v>22400.000000000004</v>
      </c>
      <c r="I32" s="1">
        <f>0.4*I31</f>
        <v>36.800000000000004</v>
      </c>
      <c r="J32" s="3">
        <f>B27</f>
        <v>4000</v>
      </c>
      <c r="K32" s="3">
        <f>J32*I32</f>
        <v>147200.00000000003</v>
      </c>
      <c r="L32" s="1">
        <f>L31</f>
        <v>58</v>
      </c>
      <c r="M32" s="3">
        <f>B27</f>
        <v>4000</v>
      </c>
      <c r="N32" s="3">
        <f>M32*L32</f>
        <v>232000</v>
      </c>
      <c r="O32">
        <f>F32+I32+L32</f>
        <v>100.4</v>
      </c>
    </row>
    <row r="33" spans="5:15" x14ac:dyDescent="0.3">
      <c r="E33" s="1" t="s">
        <v>6</v>
      </c>
      <c r="F33" s="1">
        <f>0.1*F31</f>
        <v>2.8000000000000003</v>
      </c>
      <c r="G33" s="3">
        <f>C27</f>
        <v>1500</v>
      </c>
      <c r="H33" s="3">
        <f>G33*F33</f>
        <v>4200</v>
      </c>
      <c r="I33" s="1">
        <f>0.2*I31</f>
        <v>18.400000000000002</v>
      </c>
      <c r="J33" s="3">
        <f>C27</f>
        <v>1500</v>
      </c>
      <c r="K33" s="3">
        <f>J33*I33</f>
        <v>27600.000000000004</v>
      </c>
      <c r="L33" s="1">
        <f>0.5*L31</f>
        <v>29</v>
      </c>
      <c r="M33" s="3">
        <f>C27</f>
        <v>1500</v>
      </c>
      <c r="N33" s="3">
        <f>M33*L33</f>
        <v>43500</v>
      </c>
      <c r="O33">
        <f>F33+I33+L33</f>
        <v>50.2</v>
      </c>
    </row>
    <row r="34" spans="5:15" x14ac:dyDescent="0.3">
      <c r="E34" s="1" t="s">
        <v>65</v>
      </c>
      <c r="F34" s="1">
        <f>G12*F31</f>
        <v>504</v>
      </c>
      <c r="G34" s="25">
        <f>I16</f>
        <v>42</v>
      </c>
      <c r="H34" s="3">
        <f>G34*F34</f>
        <v>21168</v>
      </c>
      <c r="I34" s="1">
        <f>H12*I31</f>
        <v>2392</v>
      </c>
      <c r="J34" s="25">
        <f>I16</f>
        <v>42</v>
      </c>
      <c r="K34" s="25">
        <f>J34*I34</f>
        <v>100464</v>
      </c>
      <c r="L34" s="1">
        <f>I12*L31</f>
        <v>3248</v>
      </c>
      <c r="M34" s="25">
        <f>H13</f>
        <v>42</v>
      </c>
      <c r="N34" s="3">
        <f>M34*L34</f>
        <v>136416</v>
      </c>
    </row>
    <row r="35" spans="5:15" x14ac:dyDescent="0.3">
      <c r="G35" s="4">
        <f>H35/F31</f>
        <v>1706</v>
      </c>
      <c r="H35" s="3">
        <f>SUM(H32:H34)</f>
        <v>47768</v>
      </c>
      <c r="J35" s="4">
        <f>K35/I31</f>
        <v>2992</v>
      </c>
      <c r="K35" s="3">
        <f>SUM(K32:K34)</f>
        <v>275264</v>
      </c>
      <c r="M35" s="4">
        <f>N35/L31</f>
        <v>7102</v>
      </c>
      <c r="N35" s="3">
        <f>SUM(N32:N34)</f>
        <v>411916</v>
      </c>
      <c r="O35" s="4">
        <f>N35+K35+H35</f>
        <v>734948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Mars</vt:lpstr>
      <vt:lpstr>Avril</vt:lpstr>
      <vt:lpstr>Mai</vt:lpstr>
      <vt:lpstr>Juin</vt:lpstr>
    </vt:vector>
  </TitlesOfParts>
  <Company>Université de Bretagne Sud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Baudont</dc:creator>
  <cp:lastModifiedBy>Tristan Furno</cp:lastModifiedBy>
  <cp:lastPrinted>2018-05-31T09:04:33Z</cp:lastPrinted>
  <dcterms:created xsi:type="dcterms:W3CDTF">2015-11-10T14:15:01Z</dcterms:created>
  <dcterms:modified xsi:type="dcterms:W3CDTF">2019-03-15T07:27:55Z</dcterms:modified>
</cp:coreProperties>
</file>