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oren\OneDrive\Desktop\Data Science\Integrated Project\"/>
    </mc:Choice>
  </mc:AlternateContent>
  <xr:revisionPtr revIDLastSave="0" documentId="13_ncr:1_{12081AE7-7159-4635-9112-784F6368B6F2}" xr6:coauthVersionLast="47" xr6:coauthVersionMax="47" xr10:uidLastSave="{00000000-0000-0000-0000-000000000000}"/>
  <bookViews>
    <workbookView xWindow="28680" yWindow="-30" windowWidth="29040" windowHeight="15720" activeTab="1" xr2:uid="{00000000-000D-0000-FFFF-FFFF00000000}"/>
  </bookViews>
  <sheets>
    <sheet name="insurance_claims" sheetId="1" r:id="rId1"/>
    <sheet name="insurance_claims_cleaned" sheetId="2" r:id="rId2"/>
    <sheet name="Pivot" sheetId="5" r:id="rId3"/>
    <sheet name="data_cleaning" sheetId="3" r:id="rId4"/>
  </sheets>
  <calcPr calcId="191029"/>
  <pivotCaches>
    <pivotCache cacheId="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62" i="2" l="1"/>
  <c r="AH477" i="2"/>
  <c r="AG389" i="2"/>
  <c r="AG308" i="2"/>
  <c r="AG211" i="2"/>
  <c r="AG3" i="2" s="1"/>
  <c r="AG116" i="2"/>
  <c r="AO116" i="2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I6" i="2"/>
  <c r="AJ6" i="2"/>
  <c r="AK6" i="2"/>
  <c r="AL6" i="2"/>
  <c r="AM6" i="2"/>
  <c r="AN6" i="2"/>
  <c r="B6" i="2"/>
  <c r="G4" i="2"/>
  <c r="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I5" i="2"/>
  <c r="AJ5" i="2"/>
  <c r="AK5" i="2"/>
  <c r="AL5" i="2"/>
  <c r="AM5" i="2"/>
  <c r="AN5" i="2"/>
  <c r="C4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I4" i="2"/>
  <c r="AJ4" i="2"/>
  <c r="AK4" i="2"/>
  <c r="AL4" i="2"/>
  <c r="AM4" i="2"/>
  <c r="AN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I2" i="2"/>
  <c r="AJ2" i="2"/>
  <c r="AK2" i="2"/>
  <c r="AL2" i="2"/>
  <c r="AM2" i="2"/>
  <c r="AN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I1" i="2"/>
  <c r="AJ1" i="2"/>
  <c r="AK1" i="2"/>
  <c r="AL1" i="2"/>
  <c r="AM1" i="2"/>
  <c r="AN1" i="2"/>
  <c r="B1" i="2"/>
  <c r="B3" i="3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G6" i="2" l="1"/>
  <c r="AG4" i="2"/>
  <c r="AG1" i="2"/>
  <c r="AG2" i="2"/>
  <c r="AO477" i="2"/>
  <c r="AO2" i="2" s="1"/>
  <c r="AO5" i="2"/>
  <c r="AH2" i="2"/>
  <c r="AH3" i="2"/>
  <c r="AH1" i="2"/>
  <c r="AH6" i="2"/>
  <c r="AH5" i="2"/>
  <c r="AH4" i="2"/>
  <c r="AO4" i="2" l="1"/>
  <c r="AO6" i="2"/>
  <c r="AO3" i="2"/>
  <c r="AO1" i="2"/>
</calcChain>
</file>

<file path=xl/sharedStrings.xml><?xml version="1.0" encoding="utf-8"?>
<sst xmlns="http://schemas.openxmlformats.org/spreadsheetml/2006/main" count="38371" uniqueCount="1203">
  <si>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</si>
  <si>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</si>
  <si>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</si>
  <si>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</si>
  <si>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</si>
  <si>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</si>
  <si>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</si>
  <si>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</si>
  <si>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</si>
  <si>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</si>
  <si>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</si>
  <si>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</si>
  <si>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</si>
  <si>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</si>
  <si>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</si>
  <si>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</si>
  <si>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</si>
  <si>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</si>
  <si>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</si>
  <si>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</si>
  <si>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</si>
  <si>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</si>
  <si>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</si>
  <si>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</si>
  <si>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</si>
  <si>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</si>
  <si>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</si>
  <si>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</si>
  <si>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</si>
  <si>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</si>
  <si>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</si>
  <si>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</si>
  <si>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</si>
  <si>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</si>
  <si>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</si>
  <si>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</si>
  <si>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</si>
  <si>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</si>
  <si>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</si>
  <si>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</si>
  <si>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</si>
  <si>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</si>
  <si>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</si>
  <si>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</si>
  <si>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</si>
  <si>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</si>
  <si>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</si>
  <si>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</si>
  <si>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</si>
  <si>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</si>
  <si>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</si>
  <si>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</si>
  <si>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</si>
  <si>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</si>
  <si>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</si>
  <si>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</si>
  <si>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</si>
  <si>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</si>
  <si>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</si>
  <si>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</si>
  <si>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</si>
  <si>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</si>
  <si>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</si>
  <si>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</si>
  <si>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</si>
  <si>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</si>
  <si>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</si>
  <si>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</si>
  <si>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</si>
  <si>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</si>
  <si>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</si>
  <si>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</si>
  <si>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</si>
  <si>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</si>
  <si>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</si>
  <si>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</si>
  <si>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</si>
  <si>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</si>
  <si>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</si>
  <si>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</si>
  <si>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</si>
  <si>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</si>
  <si>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</si>
  <si>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</si>
  <si>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</si>
  <si>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</si>
  <si>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</si>
  <si>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</si>
  <si>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</si>
  <si>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</si>
  <si>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</si>
  <si>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</si>
  <si>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</si>
  <si>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</si>
  <si>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</si>
  <si>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</si>
  <si>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</si>
  <si>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</si>
  <si>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</si>
  <si>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</si>
  <si>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</si>
  <si>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</si>
  <si>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</si>
  <si>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</si>
  <si>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</si>
  <si>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</si>
  <si>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</si>
  <si>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</si>
  <si>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</si>
  <si>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</si>
  <si>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</si>
  <si>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</si>
  <si>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</si>
  <si>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</si>
  <si>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</si>
  <si>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</si>
  <si>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</si>
  <si>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</si>
  <si>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</si>
  <si>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</si>
  <si>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</si>
  <si>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</si>
  <si>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</si>
  <si>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</si>
  <si>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</si>
  <si>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</si>
  <si>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</si>
  <si>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</si>
  <si>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</si>
  <si>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</si>
  <si>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</si>
  <si>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</si>
  <si>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</si>
  <si>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</si>
  <si>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</si>
  <si>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</si>
  <si>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</si>
  <si>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</si>
  <si>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</si>
  <si>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</si>
  <si>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</si>
  <si>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</si>
  <si>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</si>
  <si>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</si>
  <si>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</si>
  <si>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</si>
  <si>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</si>
  <si>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</si>
  <si>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</si>
  <si>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</si>
  <si>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</si>
  <si>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</si>
  <si>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</si>
  <si>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</si>
  <si>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</si>
  <si>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</si>
  <si>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</si>
  <si>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</si>
  <si>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</si>
  <si>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</si>
  <si>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</si>
  <si>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</si>
  <si>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</si>
  <si>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</si>
  <si>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</si>
  <si>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</si>
  <si>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</si>
  <si>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</si>
  <si>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</si>
  <si>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</si>
  <si>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</si>
  <si>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</si>
  <si>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</si>
  <si>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</si>
  <si>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</si>
  <si>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</si>
  <si>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</si>
  <si>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</si>
  <si>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</si>
  <si>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</si>
  <si>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</si>
  <si>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</si>
  <si>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</si>
  <si>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</si>
  <si>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</si>
  <si>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</si>
  <si>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</si>
  <si>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</si>
  <si>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</si>
  <si>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</si>
  <si>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</si>
  <si>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</si>
  <si>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</si>
  <si>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</si>
  <si>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</si>
  <si>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</si>
  <si>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</si>
  <si>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</si>
  <si>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</si>
  <si>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</si>
  <si>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</si>
  <si>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</si>
  <si>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</si>
  <si>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</si>
  <si>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</si>
  <si>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</si>
  <si>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</si>
  <si>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</si>
  <si>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</si>
  <si>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</si>
  <si>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</si>
  <si>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</si>
  <si>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</si>
  <si>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</si>
  <si>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</si>
  <si>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</si>
  <si>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</si>
  <si>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</si>
  <si>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</si>
  <si>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</si>
  <si>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</si>
  <si>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</si>
  <si>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</si>
  <si>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</si>
  <si>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</si>
  <si>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</si>
  <si>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</si>
  <si>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</si>
  <si>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</si>
  <si>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</si>
  <si>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</si>
  <si>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</si>
  <si>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</si>
  <si>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</si>
  <si>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</si>
  <si>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</si>
  <si>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</si>
  <si>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</si>
  <si>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</si>
  <si>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</si>
  <si>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</si>
  <si>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</si>
  <si>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</si>
  <si>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</si>
  <si>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</si>
  <si>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</si>
  <si>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</si>
  <si>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</si>
  <si>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</si>
  <si>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</si>
  <si>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</si>
  <si>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</si>
  <si>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</si>
  <si>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</si>
  <si>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</si>
  <si>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</si>
  <si>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</si>
  <si>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</si>
  <si>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</si>
  <si>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</si>
  <si>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</si>
  <si>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</si>
  <si>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</si>
  <si>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</si>
  <si>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</si>
  <si>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</si>
  <si>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</si>
  <si>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</si>
  <si>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</si>
  <si>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</si>
  <si>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</si>
  <si>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</si>
  <si>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</si>
  <si>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</si>
  <si>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</si>
  <si>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</si>
  <si>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</si>
  <si>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</si>
  <si>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</si>
  <si>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</si>
  <si>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</si>
  <si>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</si>
  <si>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</si>
  <si>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</si>
  <si>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</si>
  <si>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</si>
  <si>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</si>
  <si>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</si>
  <si>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</si>
  <si>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</si>
  <si>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</si>
  <si>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</si>
  <si>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</si>
  <si>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</si>
  <si>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</si>
  <si>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</si>
  <si>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</si>
  <si>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</si>
  <si>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</si>
  <si>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</si>
  <si>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</si>
  <si>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</si>
  <si>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</si>
  <si>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</si>
  <si>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</si>
  <si>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</si>
  <si>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</si>
  <si>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</si>
  <si>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</si>
  <si>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</si>
  <si>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</si>
  <si>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</si>
  <si>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</si>
  <si>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</si>
  <si>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</si>
  <si>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</si>
  <si>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</si>
  <si>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</si>
  <si>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</si>
  <si>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</si>
  <si>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</si>
  <si>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</si>
  <si>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</si>
  <si>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</si>
  <si>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</si>
  <si>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</si>
  <si>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</si>
  <si>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</si>
  <si>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</si>
  <si>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</si>
  <si>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</si>
  <si>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</si>
  <si>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</si>
  <si>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</si>
  <si>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</si>
  <si>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</si>
  <si>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</si>
  <si>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</si>
  <si>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</si>
  <si>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</si>
  <si>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</si>
  <si>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</si>
  <si>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</si>
  <si>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</si>
  <si>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</si>
  <si>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</si>
  <si>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</si>
  <si>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</si>
  <si>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</si>
  <si>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</si>
  <si>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</si>
  <si>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</si>
  <si>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</si>
  <si>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</si>
  <si>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</si>
  <si>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</si>
  <si>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</si>
  <si>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</si>
  <si>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</si>
  <si>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</si>
  <si>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</si>
  <si>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</si>
  <si>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</si>
  <si>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</si>
  <si>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</si>
  <si>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</si>
  <si>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</si>
  <si>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</si>
  <si>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</si>
  <si>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</si>
  <si>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</si>
  <si>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</si>
  <si>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</si>
  <si>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</si>
  <si>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</si>
  <si>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</si>
  <si>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</si>
  <si>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</si>
  <si>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</si>
  <si>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</si>
  <si>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</si>
  <si>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</si>
  <si>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</si>
  <si>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</si>
  <si>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</si>
  <si>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</si>
  <si>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</si>
  <si>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</si>
  <si>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</si>
  <si>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</si>
  <si>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</si>
  <si>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</si>
  <si>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</si>
  <si>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</si>
  <si>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</si>
  <si>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</si>
  <si>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</si>
  <si>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</si>
  <si>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</si>
  <si>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</si>
  <si>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</si>
  <si>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</si>
  <si>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</si>
  <si>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</si>
  <si>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</si>
  <si>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</si>
  <si>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</si>
  <si>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</si>
  <si>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</si>
  <si>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</si>
  <si>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</si>
  <si>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</si>
  <si>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</si>
  <si>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</si>
  <si>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</si>
  <si>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</si>
  <si>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</si>
  <si>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</si>
  <si>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</si>
  <si>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</si>
  <si>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</si>
  <si>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</si>
  <si>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</si>
  <si>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</si>
  <si>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</si>
  <si>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</si>
  <si>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</si>
  <si>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</si>
  <si>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</si>
  <si>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</si>
  <si>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</si>
  <si>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</si>
  <si>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</si>
  <si>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</si>
  <si>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</si>
  <si>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</si>
  <si>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</si>
  <si>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</si>
  <si>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</si>
  <si>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</si>
  <si>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</si>
  <si>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</si>
  <si>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</si>
  <si>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</si>
  <si>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</si>
  <si>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</si>
  <si>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</si>
  <si>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</si>
  <si>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</si>
  <si>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</si>
  <si>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</si>
  <si>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</si>
  <si>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</si>
  <si>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</si>
  <si>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</si>
  <si>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</si>
  <si>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</si>
  <si>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</si>
  <si>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</si>
  <si>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</si>
  <si>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</si>
  <si>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</si>
  <si>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</si>
  <si>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</si>
  <si>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</si>
  <si>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</si>
  <si>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</si>
  <si>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</si>
  <si>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</si>
  <si>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</si>
  <si>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</si>
  <si>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</si>
  <si>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</si>
  <si>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</si>
  <si>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</si>
  <si>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</si>
  <si>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</si>
  <si>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</si>
  <si>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</si>
  <si>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</si>
  <si>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</si>
  <si>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</si>
  <si>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</si>
  <si>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</si>
  <si>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</si>
  <si>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</si>
  <si>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</si>
  <si>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</si>
  <si>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</si>
  <si>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</si>
  <si>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</si>
  <si>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</si>
  <si>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</si>
  <si>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</si>
  <si>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</si>
  <si>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</si>
  <si>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</si>
  <si>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</si>
  <si>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</si>
  <si>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</si>
  <si>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</si>
  <si>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</si>
  <si>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</si>
  <si>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</si>
  <si>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</si>
  <si>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</si>
  <si>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</si>
  <si>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</si>
  <si>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</si>
  <si>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</si>
  <si>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</si>
  <si>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</si>
  <si>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</si>
  <si>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</si>
  <si>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</si>
  <si>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</si>
  <si>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</si>
  <si>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</si>
  <si>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</si>
  <si>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</si>
  <si>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</si>
  <si>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</si>
  <si>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</si>
  <si>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</si>
  <si>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</si>
  <si>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</si>
  <si>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</si>
  <si>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</si>
  <si>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</si>
  <si>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</si>
  <si>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</si>
  <si>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</si>
  <si>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</si>
  <si>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</si>
  <si>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</si>
  <si>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</si>
  <si>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</si>
  <si>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</si>
  <si>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</si>
  <si>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</si>
  <si>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</si>
  <si>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</si>
  <si>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</si>
  <si>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</si>
  <si>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</si>
  <si>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</si>
  <si>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</si>
  <si>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</si>
  <si>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</si>
  <si>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</si>
  <si>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</si>
  <si>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</si>
  <si>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</si>
  <si>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</si>
  <si>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</si>
  <si>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</si>
  <si>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</si>
  <si>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</si>
  <si>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</si>
  <si>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</si>
  <si>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</si>
  <si>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</si>
  <si>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</si>
  <si>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</si>
  <si>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</si>
  <si>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</si>
  <si>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</si>
  <si>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</si>
  <si>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</si>
  <si>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</si>
  <si>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</si>
  <si>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</si>
  <si>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</si>
  <si>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</si>
  <si>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</si>
  <si>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</si>
  <si>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</si>
  <si>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</si>
  <si>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</si>
  <si>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</si>
  <si>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</si>
  <si>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</si>
  <si>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</si>
  <si>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</si>
  <si>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</si>
  <si>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</si>
  <si>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</si>
  <si>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</si>
  <si>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</si>
  <si>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</si>
  <si>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</si>
  <si>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</si>
  <si>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</si>
  <si>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</si>
  <si>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</si>
  <si>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</si>
  <si>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</si>
  <si>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</si>
  <si>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</si>
  <si>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</si>
  <si>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</si>
  <si>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</si>
  <si>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</si>
  <si>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</si>
  <si>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</si>
  <si>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</si>
  <si>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</si>
  <si>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</si>
  <si>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</si>
  <si>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</si>
  <si>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</si>
  <si>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</si>
  <si>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</si>
  <si>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</si>
  <si>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</si>
  <si>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</si>
  <si>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</si>
  <si>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</si>
  <si>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</si>
  <si>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</si>
  <si>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</si>
  <si>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</si>
  <si>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</si>
  <si>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</si>
  <si>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</si>
  <si>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</si>
  <si>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</si>
  <si>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</si>
  <si>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</si>
  <si>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</si>
  <si>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</si>
  <si>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</si>
  <si>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</si>
  <si>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</si>
  <si>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</si>
  <si>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</si>
  <si>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</si>
  <si>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</si>
  <si>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</si>
  <si>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</si>
  <si>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</si>
  <si>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</si>
  <si>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</si>
  <si>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</si>
  <si>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</si>
  <si>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</si>
  <si>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</si>
  <si>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</si>
  <si>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</si>
  <si>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</si>
  <si>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</si>
  <si>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</si>
  <si>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</si>
  <si>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</si>
  <si>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</si>
  <si>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</si>
  <si>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</si>
  <si>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</si>
  <si>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</si>
  <si>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</si>
  <si>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</si>
  <si>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</si>
  <si>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</si>
  <si>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</si>
  <si>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</si>
  <si>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</si>
  <si>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</si>
  <si>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</si>
  <si>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</si>
  <si>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</si>
  <si>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</si>
  <si>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</si>
  <si>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</si>
  <si>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</si>
  <si>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</si>
  <si>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</si>
  <si>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</si>
  <si>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</si>
  <si>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</si>
  <si>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</si>
  <si>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</si>
  <si>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</si>
  <si>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</si>
  <si>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</si>
  <si>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</si>
  <si>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</si>
  <si>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</si>
  <si>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</si>
  <si>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</si>
  <si>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</si>
  <si>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</si>
  <si>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</si>
  <si>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</si>
  <si>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</si>
  <si>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</si>
  <si>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</si>
  <si>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</si>
  <si>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</si>
  <si>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</si>
  <si>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</si>
  <si>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</si>
  <si>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</si>
  <si>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</si>
  <si>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</si>
  <si>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</si>
  <si>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</si>
  <si>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</si>
  <si>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</si>
  <si>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</si>
  <si>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</si>
  <si>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</si>
  <si>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</si>
  <si>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</si>
  <si>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</si>
  <si>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</si>
  <si>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</si>
  <si>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</si>
  <si>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</si>
  <si>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</si>
  <si>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</si>
  <si>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</si>
  <si>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</si>
  <si>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</si>
  <si>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</si>
  <si>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</si>
  <si>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</si>
  <si>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</si>
  <si>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</si>
  <si>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</si>
  <si>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</si>
  <si>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</si>
  <si>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</si>
  <si>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</si>
  <si>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</si>
  <si>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</si>
  <si>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</si>
  <si>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</si>
  <si>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</si>
  <si>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</si>
  <si>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</si>
  <si>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</si>
  <si>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</si>
  <si>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</si>
  <si>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</si>
  <si>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</si>
  <si>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</si>
  <si>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</si>
  <si>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</si>
  <si>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</si>
  <si>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</si>
  <si>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</si>
  <si>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</si>
  <si>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</si>
  <si>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</si>
  <si>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</si>
  <si>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</si>
  <si>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</si>
  <si>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</si>
  <si>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</si>
  <si>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</si>
  <si>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</si>
  <si>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</si>
  <si>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</si>
  <si>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</si>
  <si>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</si>
  <si>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</si>
  <si>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</si>
  <si>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</si>
  <si>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</si>
  <si>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</si>
  <si>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</si>
  <si>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</si>
  <si>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</si>
  <si>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</si>
  <si>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</si>
  <si>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</si>
  <si>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</si>
  <si>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</si>
  <si>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</si>
  <si>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</si>
  <si>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</si>
  <si>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</si>
  <si>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</si>
  <si>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</si>
  <si>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</si>
  <si>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</si>
  <si>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</si>
  <si>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</si>
  <si>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</si>
  <si>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</si>
  <si>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</si>
  <si>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</si>
  <si>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</si>
  <si>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</si>
  <si>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</si>
  <si>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</si>
  <si>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</si>
  <si>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</si>
  <si>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</si>
  <si>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</si>
  <si>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</si>
  <si>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</si>
  <si>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</si>
  <si>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</si>
  <si>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</si>
  <si>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</si>
  <si>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</si>
  <si>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</si>
  <si>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</si>
  <si>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</si>
  <si>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</si>
  <si>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</si>
  <si>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</si>
  <si>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</si>
  <si>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</si>
  <si>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</si>
  <si>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</si>
  <si>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</si>
  <si>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</si>
  <si>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</si>
  <si>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</si>
  <si>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</si>
  <si>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</si>
  <si>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</si>
  <si>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</si>
  <si>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</si>
  <si>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</si>
  <si>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</si>
  <si>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</si>
  <si>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</si>
  <si>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</si>
  <si>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</si>
  <si>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</si>
  <si>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</si>
  <si>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</si>
  <si>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</si>
  <si>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</si>
  <si>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</si>
  <si>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</si>
  <si>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</si>
  <si>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</si>
  <si>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</si>
  <si>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</si>
  <si>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</si>
  <si>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</si>
  <si>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</si>
  <si>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</si>
  <si>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</si>
  <si>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</si>
  <si>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</si>
  <si>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</si>
  <si>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</si>
  <si>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</si>
  <si>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</si>
  <si>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</si>
  <si>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</si>
  <si>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</si>
  <si>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</si>
  <si>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</si>
  <si>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</si>
  <si>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</si>
  <si>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</si>
  <si>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</si>
  <si>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</si>
  <si>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</si>
  <si>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</si>
  <si>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</si>
  <si>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</si>
  <si>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</si>
  <si>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</si>
  <si>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</si>
  <si>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</si>
  <si>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</si>
  <si>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</si>
  <si>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</si>
  <si>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</si>
  <si>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</si>
  <si>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</si>
  <si>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</si>
  <si>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</si>
  <si>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</si>
  <si>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</si>
  <si>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</si>
  <si>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</si>
  <si>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</si>
  <si>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</si>
  <si>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</si>
  <si>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</si>
  <si>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</si>
  <si>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</si>
  <si>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</si>
  <si>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</si>
  <si>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</si>
  <si>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</si>
  <si>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</si>
  <si>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</si>
  <si>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</si>
  <si>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</si>
  <si>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</si>
  <si>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</si>
  <si>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</si>
  <si>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</si>
  <si>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</si>
  <si>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</si>
  <si>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</si>
  <si>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</si>
  <si>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</si>
  <si>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</si>
  <si>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</si>
  <si>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</si>
  <si>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</si>
  <si>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</si>
  <si>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</si>
  <si>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</si>
  <si>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</si>
  <si>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</si>
  <si>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</si>
  <si>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</si>
  <si>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</si>
  <si>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</si>
  <si>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</si>
  <si>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</si>
  <si>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</si>
  <si>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</si>
  <si>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</si>
  <si>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</si>
  <si>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</si>
  <si>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</si>
  <si>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</si>
  <si>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</si>
  <si>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</si>
  <si>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</si>
  <si>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</si>
  <si>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</si>
  <si>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</si>
  <si>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</si>
  <si>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</si>
  <si>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</si>
  <si>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</si>
  <si>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</si>
  <si>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</si>
  <si>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</si>
  <si>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</si>
  <si>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</si>
  <si>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</si>
  <si>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</si>
  <si>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</si>
  <si>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</si>
  <si>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</si>
  <si>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</si>
  <si>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</si>
  <si>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</si>
  <si>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</si>
  <si>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</si>
  <si>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</si>
  <si>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</si>
  <si>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</si>
  <si>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</si>
  <si>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</si>
  <si>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</si>
  <si>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</si>
  <si>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</si>
  <si>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</si>
  <si>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</si>
  <si>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</si>
  <si>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</si>
  <si>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</si>
  <si>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</si>
  <si>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</si>
  <si>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</si>
  <si>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</si>
  <si>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</si>
  <si>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</si>
  <si>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</si>
  <si>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</si>
  <si>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</si>
  <si>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</si>
  <si>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</si>
  <si>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</si>
  <si>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</si>
  <si>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</si>
  <si>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</si>
  <si>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</si>
  <si>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</si>
  <si>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</si>
  <si>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</si>
  <si>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</si>
  <si>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</si>
  <si>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</si>
  <si>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</si>
  <si>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</si>
  <si>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</si>
  <si>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</si>
  <si>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</si>
  <si>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</si>
  <si>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</si>
  <si>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</si>
  <si>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</si>
  <si>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</si>
  <si>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</si>
  <si>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</si>
  <si>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</si>
  <si>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</si>
  <si>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</si>
  <si>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</si>
  <si>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</si>
  <si>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</si>
  <si>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</si>
  <si>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</si>
  <si>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</si>
  <si>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</si>
  <si>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</si>
  <si>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</si>
  <si>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</si>
  <si>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</si>
  <si>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</si>
  <si>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</si>
  <si>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</si>
  <si>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</si>
  <si>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</si>
  <si>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</si>
  <si>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</si>
  <si>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</si>
  <si>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</si>
  <si>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</si>
  <si>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</si>
  <si>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</si>
  <si>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</si>
  <si>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</si>
  <si>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</si>
  <si>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</si>
  <si>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</si>
  <si>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</si>
  <si>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</si>
  <si>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</si>
  <si>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</si>
  <si>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</si>
  <si>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</si>
  <si>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</si>
  <si>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</si>
  <si>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</si>
  <si>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</si>
  <si>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</si>
  <si>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</si>
  <si>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</si>
  <si>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</si>
  <si>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</si>
  <si>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</si>
  <si>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</si>
  <si>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</si>
  <si>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</si>
  <si>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</si>
  <si>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</si>
  <si>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</si>
  <si>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</si>
  <si>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</si>
  <si>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</si>
  <si>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</si>
  <si>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</si>
  <si>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</si>
  <si>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</si>
  <si>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</si>
  <si>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</si>
  <si>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</si>
  <si>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</si>
  <si>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</si>
  <si>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</si>
  <si>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</si>
  <si>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</si>
  <si>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</si>
  <si>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</si>
  <si>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</si>
  <si>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</si>
  <si>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</si>
  <si>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</si>
  <si>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</si>
  <si>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</si>
  <si>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</si>
  <si>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</si>
  <si>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</si>
  <si>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</si>
  <si>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</si>
  <si>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</si>
  <si>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</si>
  <si>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</si>
  <si>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</si>
  <si>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</si>
  <si>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</si>
  <si>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</si>
  <si>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</si>
  <si>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</si>
  <si>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</si>
  <si>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</si>
  <si>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</si>
  <si>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</si>
  <si>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</si>
  <si>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</si>
  <si>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</si>
  <si>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</si>
  <si>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</si>
  <si>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</si>
  <si>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</si>
  <si>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</si>
  <si>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</si>
  <si>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</si>
  <si>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</si>
  <si>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</si>
  <si>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</si>
  <si>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</si>
  <si>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</si>
  <si>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</si>
  <si>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</si>
  <si>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</si>
  <si>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</si>
  <si>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</si>
  <si>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</si>
  <si>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</si>
  <si>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</si>
  <si>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</si>
  <si>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</si>
  <si>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</si>
  <si>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</si>
  <si>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</si>
  <si>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</si>
  <si>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</si>
  <si>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</si>
  <si>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</si>
  <si>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</si>
  <si>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</si>
  <si>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</si>
  <si>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</si>
  <si>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</si>
  <si>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</si>
  <si>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</si>
  <si>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</si>
  <si>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</si>
  <si>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</si>
  <si>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</si>
  <si>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</si>
  <si>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</si>
  <si>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</si>
  <si>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</si>
  <si>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</si>
  <si>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</si>
  <si>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</si>
  <si>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</si>
  <si>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</si>
  <si>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</si>
  <si>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</si>
  <si>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</si>
  <si>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</si>
  <si>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</si>
  <si>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</si>
  <si>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</si>
  <si>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</si>
  <si>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</si>
  <si>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</si>
  <si>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</si>
  <si>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</si>
  <si>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</si>
  <si>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</si>
  <si>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</si>
  <si>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</si>
  <si>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</si>
  <si>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</si>
  <si>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</si>
  <si>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</si>
  <si>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</si>
  <si>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</si>
  <si>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</si>
  <si>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</si>
  <si>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</si>
  <si>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</si>
  <si>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</si>
  <si>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</si>
  <si>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</si>
  <si>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</si>
  <si>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</si>
  <si>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</si>
  <si>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</si>
  <si>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</si>
  <si>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</si>
  <si>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</si>
  <si>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of missing data</t>
  </si>
  <si>
    <t>Removed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</si>
  <si>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</si>
  <si>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</si>
  <si>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</si>
  <si>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</si>
  <si>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</si>
  <si>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</si>
  <si>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</si>
  <si>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</si>
  <si>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</si>
  <si>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Average of age</t>
  </si>
  <si>
    <t>(blank)</t>
  </si>
  <si>
    <t>Average of policy_deductable</t>
  </si>
  <si>
    <t>Count of policy_number</t>
  </si>
  <si>
    <t>Column Labels</t>
  </si>
  <si>
    <t>(All)</t>
  </si>
  <si>
    <t>Unknown</t>
  </si>
  <si>
    <t>Average of policy_annual_premium</t>
  </si>
  <si>
    <t>Average of capital-gains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</si>
</sst>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70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70" fontId="0" fillId="0" borderId="0" xfId="0" applyNumberFormat="1"/>
    <xf numFmtId="1" fontId="0" fillId="0" borderId="0" xfId="0" applyNumberFormat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" fontId="1" fillId="0" borderId="0" xfId="0" applyNumberFormat="1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2" borderId="0" xfId="0" applyNumberFormat="1" applyFill="1"/>
    <xf numFmtId="1" fontId="0" fillId="0" borderId="0" xfId="0" applyNumberFormat="1" applyFill="1"/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  <xf numFmtId="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137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4" formatCode="0.00%"/>
    </dxf>
    <dxf>
      <numFmt numFmtId="0" formatCode="General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6" tint="0.79998168889431442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none">
          <bgColor auto="1"/>
        </patternFill>
      </fill>
    </dxf>
    <dxf>
      <fill>
        <patternFill patternType="solid">
          <bgColor theme="6" tint="0.79998168889431442"/>
        </patternFill>
      </fill>
    </dxf>
    <dxf>
      <numFmt numFmtId="1" formatCode="0"/>
    </dxf>
    <dxf>
      <fill>
        <patternFill patternType="solid">
          <bgColor theme="6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 Johnson" refreshedDate="45391.807352546297" createdVersion="8" refreshedVersion="8" minRefreshableVersion="3" recordCount="999" xr:uid="{2FAAB068-7A31-4056-94AB-6F96D6E0999C}">
  <cacheSource type="worksheet">
    <worksheetSource name="Table1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43"/>
        <n v="45"/>
        <n v="25"/>
        <n v="3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 count="999">
        <n v="521585"/>
        <n v="342868"/>
        <n v="687698"/>
        <n v="227811"/>
        <n v="367455"/>
        <n v="104594"/>
        <n v="413978"/>
        <n v="429027"/>
        <n v="485665"/>
        <n v="636550"/>
        <n v="543610"/>
        <n v="214618"/>
        <n v="842643"/>
        <n v="626808"/>
        <n v="644081"/>
        <n v="892874"/>
        <n v="558938"/>
        <n v="275265"/>
        <n v="921202"/>
        <n v="143972"/>
        <n v="183430"/>
        <n v="431876"/>
        <n v="285496"/>
        <n v="115399"/>
        <n v="736882"/>
        <n v="863236"/>
        <n v="608513"/>
        <n v="914088"/>
        <n v="596785"/>
        <n v="908616"/>
        <n v="666333"/>
        <n v="336614"/>
        <n v="584859"/>
        <n v="990493"/>
        <n v="129872"/>
        <n v="200152"/>
        <n v="933293"/>
        <n v="485664"/>
        <n v="982871"/>
        <n v="206213"/>
        <n v="616337"/>
        <n v="448961"/>
        <n v="790442"/>
        <n v="108844"/>
        <n v="430029"/>
        <n v="529112"/>
        <n v="939631"/>
        <n v="866931"/>
        <n v="582011"/>
        <n v="691189"/>
        <n v="537546"/>
        <n v="394975"/>
        <n v="729634"/>
        <n v="282195"/>
        <n v="420810"/>
        <n v="524836"/>
        <n v="307195"/>
        <n v="623648"/>
        <n v="485372"/>
        <n v="598554"/>
        <n v="303987"/>
        <n v="343161"/>
        <n v="519312"/>
        <n v="132902"/>
        <n v="332867"/>
        <n v="356590"/>
        <n v="346002"/>
        <n v="500533"/>
        <n v="348209"/>
        <n v="486676"/>
        <n v="260845"/>
        <n v="657045"/>
        <n v="761189"/>
        <n v="175177"/>
        <n v="116700"/>
        <n v="166264"/>
        <n v="527945"/>
        <n v="627540"/>
        <n v="279422"/>
        <n v="484200"/>
        <n v="645258"/>
        <n v="694662"/>
        <n v="960680"/>
        <n v="498140"/>
        <n v="498875"/>
        <n v="798177"/>
        <n v="614763"/>
        <n v="679370"/>
        <n v="958857"/>
        <n v="686816"/>
        <n v="127754"/>
        <n v="918629"/>
        <n v="731450"/>
        <n v="307447"/>
        <n v="992145"/>
        <n v="900628"/>
        <n v="235220"/>
        <n v="740019"/>
        <n v="246882"/>
        <n v="797613"/>
        <n v="193442"/>
        <n v="389238"/>
        <n v="760179"/>
        <n v="939905"/>
        <n v="872814"/>
        <n v="632627"/>
        <n v="283414"/>
        <n v="163161"/>
        <n v="853360"/>
        <n v="776860"/>
        <n v="149367"/>
        <n v="395269"/>
        <n v="981123"/>
        <n v="143626"/>
        <n v="648397"/>
        <n v="154982"/>
        <n v="330591"/>
        <n v="319232"/>
        <n v="531640"/>
        <n v="368050"/>
        <n v="253791"/>
        <n v="155724"/>
        <n v="824540"/>
        <n v="717392"/>
        <n v="965768"/>
        <n v="414779"/>
        <n v="428230"/>
        <n v="517240"/>
        <n v="469874"/>
        <n v="718428"/>
        <n v="620215"/>
        <n v="618659"/>
        <n v="649082"/>
        <n v="437573"/>
        <n v="964657"/>
        <n v="932502"/>
        <n v="434507"/>
        <n v="935277"/>
        <n v="756054"/>
        <n v="682387"/>
        <n v="456604"/>
        <n v="139872"/>
        <n v="354105"/>
        <n v="165485"/>
        <n v="515050"/>
        <n v="795686"/>
        <n v="395983"/>
        <n v="119513"/>
        <n v="217938"/>
        <n v="203914"/>
        <n v="565157"/>
        <n v="904191"/>
        <n v="419510"/>
        <n v="575000"/>
        <n v="120485"/>
        <n v="781181"/>
        <n v="299796"/>
        <n v="589749"/>
        <n v="854021"/>
        <n v="454086"/>
        <n v="139484"/>
        <n v="678849"/>
        <n v="346940"/>
        <n v="985436"/>
        <n v="237418"/>
        <n v="335780"/>
        <n v="491392"/>
        <n v="140880"/>
        <n v="962591"/>
        <n v="922565"/>
        <n v="288580"/>
        <n v="154280"/>
        <n v="425973"/>
        <n v="477177"/>
        <n v="648509"/>
        <n v="914815"/>
        <n v="249048"/>
        <n v="144323"/>
        <n v="651861"/>
        <n v="125324"/>
        <n v="398102"/>
        <n v="514065"/>
        <n v="391652"/>
        <n v="922167"/>
        <n v="442795"/>
        <n v="226330"/>
        <n v="134430"/>
        <n v="524230"/>
        <n v="438817"/>
        <n v="293794"/>
        <n v="868283"/>
        <n v="828890"/>
        <n v="882920"/>
        <n v="918777"/>
        <n v="212580"/>
        <n v="602410"/>
        <n v="976971"/>
        <n v="630226"/>
        <n v="171254"/>
        <n v="247116"/>
        <n v="505969"/>
        <n v="653864"/>
        <n v="586367"/>
        <n v="896890"/>
        <n v="650026"/>
        <n v="547744"/>
        <n v="598124"/>
        <n v="436126"/>
        <n v="739447"/>
        <n v="427484"/>
        <n v="218684"/>
        <n v="565564"/>
        <n v="743163"/>
        <n v="604614"/>
        <n v="509928"/>
        <n v="593390"/>
        <n v="970607"/>
        <n v="174701"/>
        <n v="529398"/>
        <n v="940942"/>
        <n v="442677"/>
        <n v="365364"/>
        <n v="114839"/>
        <n v="872734"/>
        <n v="267885"/>
        <n v="740505"/>
        <n v="629663"/>
        <n v="839884"/>
        <n v="241562"/>
        <n v="405533"/>
        <n v="667021"/>
        <n v="511621"/>
        <n v="476923"/>
        <n v="735822"/>
        <n v="492745"/>
        <n v="130930"/>
        <n v="261119"/>
        <n v="280709"/>
        <n v="898573"/>
        <n v="547802"/>
        <n v="600845"/>
        <n v="390381"/>
        <n v="629918"/>
        <n v="208298"/>
        <n v="513099"/>
        <n v="184938"/>
        <n v="187775"/>
        <n v="326322"/>
        <n v="146138"/>
        <n v="336047"/>
        <n v="532330"/>
        <n v="118137"/>
        <n v="212674"/>
        <n v="935596"/>
        <n v="737593"/>
        <n v="812025"/>
        <n v="168151"/>
        <n v="594739"/>
        <n v="843227"/>
        <n v="283925"/>
        <n v="475588"/>
        <n v="751905"/>
        <n v="226725"/>
        <n v="942504"/>
        <n v="395572"/>
        <n v="889883"/>
        <n v="818167"/>
        <n v="277767"/>
        <n v="842618"/>
        <n v="577810"/>
        <n v="873114"/>
        <n v="994538"/>
        <n v="727792"/>
        <n v="522506"/>
        <n v="367595"/>
        <n v="586104"/>
        <n v="424862"/>
        <n v="512813"/>
        <n v="356768"/>
        <n v="330506"/>
        <n v="779075"/>
        <n v="799501"/>
        <n v="987905"/>
        <n v="967756"/>
        <n v="830414"/>
        <n v="127313"/>
        <n v="786957"/>
        <n v="332892"/>
        <n v="448642"/>
        <n v="526039"/>
        <n v="444422"/>
        <n v="689500"/>
        <n v="806081"/>
        <n v="384618"/>
        <n v="756459"/>
        <n v="655787"/>
        <n v="419954"/>
        <n v="275092"/>
        <n v="515698"/>
        <n v="132871"/>
        <n v="714929"/>
        <n v="297816"/>
        <n v="426708"/>
        <n v="615047"/>
        <n v="771236"/>
        <n v="235869"/>
        <n v="931625"/>
        <n v="371635"/>
        <n v="427199"/>
        <n v="261315"/>
        <n v="582973"/>
        <n v="278091"/>
        <n v="153154"/>
        <n v="515217"/>
        <n v="860497"/>
        <n v="351741"/>
        <n v="403737"/>
        <n v="162004"/>
        <n v="740384"/>
        <n v="876714"/>
        <n v="951543"/>
        <n v="576723"/>
        <n v="391003"/>
        <n v="225865"/>
        <n v="984948"/>
        <n v="890328"/>
        <n v="803294"/>
        <n v="414913"/>
        <n v="414519"/>
        <n v="818413"/>
        <n v="487356"/>
        <n v="159768"/>
        <n v="865839"/>
        <n v="406567"/>
        <n v="623032"/>
        <n v="935442"/>
        <n v="106873"/>
        <n v="563878"/>
        <n v="620855"/>
        <n v="583169"/>
        <n v="337677"/>
        <n v="445973"/>
        <n v="156694"/>
        <n v="421940"/>
        <n v="613226"/>
        <n v="804410"/>
        <n v="553565"/>
        <n v="399524"/>
        <n v="331595"/>
        <n v="380067"/>
        <n v="701521"/>
        <n v="360770"/>
        <n v="958785"/>
        <n v="797934"/>
        <n v="883980"/>
        <n v="340614"/>
        <n v="435784"/>
        <n v="563837"/>
        <n v="200827"/>
        <n v="533941"/>
        <n v="265026"/>
        <n v="354481"/>
        <n v="566720"/>
        <n v="832746"/>
        <n v="386690"/>
        <n v="979285"/>
        <n v="594722"/>
        <n v="216738"/>
        <n v="369048"/>
        <n v="514424"/>
        <n v="954191"/>
        <n v="150181"/>
        <n v="388671"/>
        <n v="457244"/>
        <n v="206667"/>
        <n v="745200"/>
        <n v="412703"/>
        <n v="736771"/>
        <n v="347984"/>
        <n v="626074"/>
        <n v="218109"/>
        <n v="999435"/>
        <n v="858060"/>
        <n v="500384"/>
        <n v="903785"/>
        <n v="873859"/>
        <n v="204294"/>
        <n v="467106"/>
        <n v="357713"/>
        <n v="890026"/>
        <n v="751612"/>
        <n v="876680"/>
        <n v="756981"/>
        <n v="121439"/>
        <n v="411289"/>
        <n v="538466"/>
        <n v="932097"/>
        <n v="463727"/>
        <n v="552618"/>
        <n v="936638"/>
        <n v="348814"/>
        <n v="944102"/>
        <n v="689901"/>
        <n v="901083"/>
        <n v="396224"/>
        <n v="682178"/>
        <n v="596298"/>
        <n v="253005"/>
        <n v="985924"/>
        <n v="631565"/>
        <n v="630998"/>
        <n v="926665"/>
        <n v="302669"/>
        <n v="620020"/>
        <n v="439828"/>
        <n v="971295"/>
        <n v="165565"/>
        <n v="936543"/>
        <n v="296960"/>
        <n v="501692"/>
        <n v="525224"/>
        <n v="355085"/>
        <n v="830729"/>
        <n v="651948"/>
        <n v="424358"/>
        <n v="131478"/>
        <n v="268833"/>
        <n v="287489"/>
        <n v="808153"/>
        <n v="687639"/>
        <n v="497347"/>
        <n v="439660"/>
        <n v="847123"/>
        <n v="172307"/>
        <n v="810189"/>
        <n v="432068"/>
        <n v="903203"/>
        <n v="253085"/>
        <n v="180720"/>
        <n v="492224"/>
        <n v="411477"/>
        <n v="107181"/>
        <n v="312940"/>
        <n v="855186"/>
        <n v="373935"/>
        <n v="812989"/>
        <n v="993840"/>
        <n v="327856"/>
        <n v="506333"/>
        <n v="263159"/>
        <n v="372912"/>
        <n v="552788"/>
        <n v="722747"/>
        <n v="248467"/>
        <n v="955953"/>
        <n v="910622"/>
        <n v="137675"/>
        <n v="343421"/>
        <n v="413192"/>
        <n v="247801"/>
        <n v="171147"/>
        <n v="431283"/>
        <n v="461962"/>
        <n v="149467"/>
        <n v="758740"/>
        <n v="628337"/>
        <n v="574637"/>
        <n v="373600"/>
        <n v="930032"/>
        <n v="396590"/>
        <n v="238412"/>
        <n v="484321"/>
        <n v="795847"/>
        <n v="218456"/>
        <n v="792673"/>
        <n v="662256"/>
        <n v="971338"/>
        <n v="714738"/>
        <n v="753844"/>
        <n v="976645"/>
        <n v="918037"/>
        <n v="996253"/>
        <n v="373731"/>
        <n v="836272"/>
        <n v="167231"/>
        <n v="743330"/>
        <n v="807369"/>
        <n v="735307"/>
        <n v="789208"/>
        <n v="585324"/>
        <n v="498759"/>
        <n v="795004"/>
        <n v="203250"/>
        <n v="430794"/>
        <n v="156636"/>
        <n v="284143"/>
        <n v="740518"/>
        <n v="445289"/>
        <n v="599262"/>
        <n v="357949"/>
        <n v="493161"/>
        <n v="320251"/>
        <n v="231127"/>
        <n v="766193"/>
        <n v="555374"/>
        <n v="491484"/>
        <n v="925128"/>
        <n v="265093"/>
        <n v="267808"/>
        <n v="116735"/>
        <n v="963680"/>
        <n v="445694"/>
        <n v="215534"/>
        <n v="232854"/>
        <n v="168260"/>
        <n v="538955"/>
        <n v="243226"/>
        <n v="246435"/>
        <n v="582480"/>
        <n v="345539"/>
        <n v="924318"/>
        <n v="726880"/>
        <n v="190588"/>
        <n v="246705"/>
        <n v="619589"/>
        <n v="164988"/>
        <n v="729534"/>
        <n v="505014"/>
        <n v="920826"/>
        <n v="534982"/>
        <n v="110408"/>
        <n v="283052"/>
        <n v="840806"/>
        <n v="382394"/>
        <n v="876699"/>
        <n v="871432"/>
        <n v="379882"/>
        <n v="852002"/>
        <n v="372891"/>
        <n v="689034"/>
        <n v="743092"/>
        <n v="599174"/>
        <n v="421092"/>
        <n v="349658"/>
        <n v="811042"/>
        <n v="505316"/>
        <n v="116645"/>
        <n v="950880"/>
        <n v="788502"/>
        <n v="627486"/>
        <n v="498842"/>
        <n v="550294"/>
        <n v="328387"/>
        <n v="540152"/>
        <n v="385932"/>
        <n v="618682"/>
        <n v="550930"/>
        <n v="998192"/>
        <n v="663938"/>
        <n v="756870"/>
        <n v="337158"/>
        <n v="919875"/>
        <n v="315631"/>
        <n v="113464"/>
        <n v="556415"/>
        <n v="250249"/>
        <n v="403776"/>
        <n v="396002"/>
        <n v="976908"/>
        <n v="509489"/>
        <n v="485295"/>
        <n v="361829"/>
        <n v="603632"/>
        <n v="783494"/>
        <n v="439049"/>
        <n v="502634"/>
        <n v="378588"/>
        <n v="794731"/>
        <n v="641934"/>
        <n v="113516"/>
        <n v="425631"/>
        <n v="542245"/>
        <n v="512894"/>
        <n v="633090"/>
        <n v="464234"/>
        <n v="290162"/>
        <n v="638155"/>
        <n v="911429"/>
        <n v="106186"/>
        <n v="311783"/>
        <n v="528385"/>
        <n v="228403"/>
        <n v="209177"/>
        <n v="497929"/>
        <n v="735844"/>
        <n v="710741"/>
        <n v="276804"/>
        <n v="507545"/>
        <n v="485642"/>
        <n v="796375"/>
        <n v="171183"/>
        <n v="110084"/>
        <n v="714784"/>
        <n v="143924"/>
        <n v="996850"/>
        <n v="284834"/>
        <n v="830878"/>
        <n v="270208"/>
        <n v="407958"/>
        <n v="832300"/>
        <n v="927205"/>
        <n v="655356"/>
        <n v="831053"/>
        <n v="432740"/>
        <n v="893853"/>
        <n v="594988"/>
        <n v="979544"/>
        <n v="191891"/>
        <n v="831479"/>
        <n v="714346"/>
        <n v="326289"/>
        <n v="944537"/>
        <n v="779156"/>
        <n v="856153"/>
        <n v="473338"/>
        <n v="521694"/>
        <n v="136520"/>
        <n v="730819"/>
        <n v="912665"/>
        <n v="469966"/>
        <n v="952300"/>
        <n v="322609"/>
        <n v="890280"/>
        <n v="431583"/>
        <n v="155912"/>
        <n v="110143"/>
        <n v="808544"/>
        <n v="409074"/>
        <n v="824728"/>
        <n v="606037"/>
        <n v="636843"/>
        <n v="111874"/>
        <n v="439844"/>
        <n v="463513"/>
        <n v="577858"/>
        <n v="607351"/>
        <n v="682754"/>
        <n v="757352"/>
        <n v="307469"/>
        <n v="526296"/>
        <n v="658816"/>
        <n v="913337"/>
        <n v="488464"/>
        <n v="480094"/>
        <n v="263108"/>
        <n v="298412"/>
        <n v="261905"/>
        <n v="674485"/>
        <n v="223404"/>
        <n v="991480"/>
        <n v="804219"/>
        <n v="483088"/>
        <n v="100804"/>
        <n v="941807"/>
        <n v="593466"/>
        <n v="437442"/>
        <n v="942106"/>
        <n v="794951"/>
        <n v="182450"/>
        <n v="730973"/>
        <n v="687755"/>
        <n v="757644"/>
        <n v="998865"/>
        <n v="944953"/>
        <n v="386429"/>
        <n v="108270"/>
        <n v="205134"/>
        <n v="749325"/>
        <n v="774303"/>
        <n v="698470"/>
        <n v="719989"/>
        <n v="309323"/>
        <n v="444035"/>
        <n v="431478"/>
        <n v="797634"/>
        <n v="284836"/>
        <n v="238196"/>
        <n v="885789"/>
        <n v="287436"/>
        <n v="496067"/>
        <n v="206004"/>
        <n v="153027"/>
        <n v="469426"/>
        <n v="654974"/>
        <n v="943425"/>
        <n v="641845"/>
        <n v="794534"/>
        <n v="357808"/>
        <n v="536052"/>
        <n v="873384"/>
        <n v="790225"/>
        <n v="587498"/>
        <n v="639027"/>
        <n v="217899"/>
        <n v="589094"/>
        <n v="458829"/>
        <n v="626208"/>
        <n v="315041"/>
        <n v="283267"/>
        <n v="442494"/>
        <n v="159243"/>
        <n v="669800"/>
        <n v="520179"/>
        <n v="607974"/>
        <n v="465065"/>
        <n v="369941"/>
        <n v="447226"/>
        <n v="831668"/>
        <n v="922937"/>
        <n v="640474"/>
        <n v="153298"/>
        <n v="334749"/>
        <n v="221283"/>
        <n v="961496"/>
        <n v="804751"/>
        <n v="369226"/>
        <n v="691115"/>
        <n v="713172"/>
        <n v="621756"/>
        <n v="615116"/>
        <n v="947598"/>
        <n v="658002"/>
        <n v="374545"/>
        <n v="805806"/>
        <n v="235097"/>
        <n v="290971"/>
        <n v="180286"/>
        <n v="662088"/>
        <n v="884365"/>
        <n v="178081"/>
        <n v="507452"/>
        <n v="990624"/>
        <n v="892148"/>
        <n v="398683"/>
        <n v="605100"/>
        <n v="143109"/>
        <n v="230223"/>
        <n v="769602"/>
        <n v="420815"/>
        <n v="973546"/>
        <n v="608039"/>
        <n v="250162"/>
        <n v="786432"/>
        <n v="445195"/>
        <n v="938634"/>
        <n v="482495"/>
        <n v="796005"/>
        <n v="910604"/>
        <n v="327488"/>
        <n v="715202"/>
        <n v="648852"/>
        <n v="516959"/>
        <n v="984456"/>
        <n v="801331"/>
        <n v="786103"/>
        <n v="684193"/>
        <n v="247505"/>
        <n v="259792"/>
        <n v="185124"/>
        <n v="760700"/>
        <n v="362407"/>
        <n v="389525"/>
        <n v="179538"/>
        <n v="265437"/>
        <n v="266247"/>
        <n v="921851"/>
        <n v="488724"/>
        <n v="192524"/>
        <n v="338070"/>
        <n v="865607"/>
        <n v="963285"/>
        <n v="728491"/>
        <n v="553436"/>
        <n v="440616"/>
        <n v="463237"/>
        <n v="753452"/>
        <n v="920554"/>
        <n v="594783"/>
        <n v="725330"/>
        <n v="607259"/>
        <n v="979336"/>
        <n v="865201"/>
        <n v="140977"/>
        <n v="787351"/>
        <n v="272330"/>
        <n v="728025"/>
        <n v="804608"/>
        <n v="718829"/>
        <n v="482404"/>
        <n v="331170"/>
        <n v="753056"/>
        <n v="910365"/>
        <n v="379268"/>
        <n v="362843"/>
        <n v="135400"/>
        <n v="798579"/>
        <n v="250833"/>
        <n v="824116"/>
        <n v="322613"/>
        <n v="871305"/>
        <n v="488037"/>
        <n v="485813"/>
        <n v="886473"/>
        <n v="907113"/>
        <n v="833321"/>
        <n v="521592"/>
        <n v="254837"/>
        <n v="634499"/>
        <n v="574707"/>
        <n v="476839"/>
        <n v="149601"/>
        <n v="630683"/>
        <n v="500639"/>
        <n v="352120"/>
        <n v="569245"/>
        <n v="907012"/>
        <n v="700074"/>
        <n v="866805"/>
        <n v="951863"/>
        <n v="211578"/>
        <n v="357394"/>
        <n v="863749"/>
        <n v="596914"/>
        <n v="684653"/>
        <n v="528259"/>
        <n v="797636"/>
        <n v="326180"/>
        <n v="620075"/>
        <n v="965187"/>
        <n v="516182"/>
        <n v="728839"/>
        <n v="771509"/>
        <n v="264221"/>
        <n v="602704"/>
        <n v="672416"/>
        <n v="545506"/>
        <n v="777533"/>
        <n v="953334"/>
        <n v="369781"/>
        <n v="990998"/>
        <n v="982678"/>
        <n v="646069"/>
        <n v="331683"/>
        <n v="364055"/>
        <n v="521854"/>
        <n v="737252"/>
        <n v="344480"/>
        <n v="898519"/>
        <n v="957816"/>
        <n v="175960"/>
        <n v="489618"/>
        <n v="717044"/>
        <n v="101421"/>
        <n v="793948"/>
        <n v="737483"/>
        <n v="695117"/>
        <n v="167466"/>
        <n v="664732"/>
        <n v="143038"/>
        <n v="979963"/>
        <n v="467841"/>
        <n v="219028"/>
        <n v="130156"/>
        <n v="762951"/>
        <n v="376879"/>
        <n v="599031"/>
        <n v="676255"/>
        <n v="985446"/>
        <n v="884180"/>
        <n v="571462"/>
        <n v="815883"/>
        <n v="258265"/>
        <n v="569714"/>
        <n v="180008"/>
        <n v="633375"/>
        <n v="556538"/>
        <n v="669501"/>
        <n v="963761"/>
        <n v="753005"/>
        <n v="454758"/>
        <n v="698589"/>
        <n v="330119"/>
        <n v="164464"/>
        <n v="927354"/>
        <n v="231508"/>
        <n v="272910"/>
        <n v="305758"/>
        <n v="950542"/>
        <n v="291544"/>
        <n v="388616"/>
        <n v="577992"/>
        <n v="342830"/>
        <n v="491170"/>
        <n v="175553"/>
        <n v="439341"/>
        <n v="221186"/>
        <n v="868031"/>
        <n v="844117"/>
        <n v="744557"/>
        <n v="159536"/>
        <n v="727109"/>
        <n v="155604"/>
        <n v="608443"/>
        <n v="117862"/>
        <n v="991553"/>
        <n v="727443"/>
        <n v="378587"/>
        <n v="420948"/>
        <n v="457188"/>
        <n v="118236"/>
        <n v="987524"/>
        <n v="490596"/>
        <n v="524215"/>
        <n v="913464"/>
        <n v="398484"/>
        <n v="752504"/>
        <n v="449263"/>
        <n v="844007"/>
        <n v="686522"/>
        <n v="670142"/>
        <n v="607687"/>
        <n v="967713"/>
        <n v="291902"/>
        <n v="149839"/>
        <n v="840225"/>
        <n v="643226"/>
        <n v="535879"/>
        <n v="746630"/>
        <n v="598308"/>
        <n v="720356"/>
        <n v="724752"/>
        <n v="148498"/>
        <n v="110122"/>
        <n v="281388"/>
        <n v="728600"/>
        <n v="231548"/>
        <n v="531160"/>
        <n v="889003"/>
        <n v="193213"/>
        <n v="557218"/>
        <n v="125591"/>
        <n v="227244"/>
        <n v="791425"/>
        <n v="354455"/>
        <n v="601042"/>
        <n v="433663"/>
        <n v="471938"/>
        <n v="564654"/>
        <n v="645723"/>
        <n v="573572"/>
        <n v="437960"/>
        <n v="649800"/>
        <n v="544225"/>
        <n v="390256"/>
        <n v="488597"/>
        <n v="133889"/>
        <n v="931901"/>
        <n v="769475"/>
        <n v="844062"/>
        <n v="844129"/>
        <n v="732169"/>
        <n v="221854"/>
        <n v="776950"/>
        <n v="291006"/>
        <n v="845751"/>
        <n v="889764"/>
        <n v="929306"/>
        <n v="515457"/>
        <n v="556270"/>
        <n v="908935"/>
        <n v="525862"/>
        <n v="490514"/>
        <n v="774895"/>
        <n v="974522"/>
        <n v="669809"/>
        <n v="182953"/>
        <n v="836349"/>
        <n v="591269"/>
        <n v="550127"/>
        <n v="663190"/>
        <n v="109392"/>
        <n v="215278"/>
        <n v="674570"/>
        <n v="681486"/>
        <n v="941851"/>
        <n v="186934"/>
        <n v="918516"/>
        <n v="533940"/>
        <n v="556080"/>
      </sharedItems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tring="0" containsBlank="1" containsNumber="1" minValue="433.33" maxValue="2047.59" count="988">
        <n v="1406.91"/>
        <n v="1197.22"/>
        <n v="1413.14"/>
        <n v="1415.74"/>
        <n v="1583.91"/>
        <n v="1351.1"/>
        <n v="1333.35"/>
        <n v="1137.03"/>
        <n v="1442.99"/>
        <n v="1315.68"/>
        <n v="1253.1199999999999"/>
        <m/>
        <n v="1215.3599999999999"/>
        <n v="936.61"/>
        <n v="1301.1300000000001"/>
        <n v="1131.4000000000001"/>
        <n v="1199.44"/>
        <n v="708.64"/>
        <n v="1374.22"/>
        <n v="1475.73"/>
        <n v="1187.96"/>
        <n v="875.15"/>
        <n v="1268.79"/>
        <n v="883.31"/>
        <n v="1322.1"/>
        <n v="848.07"/>
        <n v="1291.7"/>
        <n v="1104.5"/>
        <n v="954.16"/>
        <n v="1337.28"/>
        <n v="1088.3399999999999"/>
        <n v="1558.29"/>
        <n v="1415.68"/>
        <n v="1334.15"/>
        <n v="988.45"/>
        <n v="1222.48"/>
        <n v="1155.55"/>
        <n v="1262.08"/>
        <n v="1451.62"/>
        <n v="1737.66"/>
        <n v="1475.93"/>
        <n v="538.16999999999996"/>
        <n v="1081.08"/>
        <n v="1454.43"/>
        <n v="1240.47"/>
        <n v="1273.7"/>
        <n v="1123.8699999999999"/>
        <n v="1245.8900000000001"/>
        <n v="1326.62"/>
        <n v="1073.83"/>
        <n v="1530.52"/>
        <n v="1201.410000000000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899999999999"/>
        <n v="1307.1099999999999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199999999999"/>
        <n v="1125.3699999999999"/>
        <n v="1207.3599999999999"/>
        <n v="1338.5"/>
        <n v="1074.07"/>
        <n v="1337.56"/>
        <n v="1298.9100000000001"/>
        <n v="1222.75"/>
        <n v="1059.52"/>
        <n v="1124.3800000000001"/>
        <n v="1110.3699999999999"/>
        <n v="1103.58"/>
        <n v="1269.76"/>
        <n v="964.79"/>
        <n v="1167.3"/>
        <n v="1625.45"/>
        <n v="1394.43"/>
        <n v="1053.24"/>
        <n v="1040.75"/>
        <n v="1302.4000000000001"/>
        <n v="1588.55"/>
        <n v="1399.26"/>
        <n v="1352.31"/>
        <n v="1139"/>
        <n v="1397.67"/>
        <n v="823.17"/>
        <n v="965.13"/>
        <n v="1922.84"/>
        <n v="1624.82"/>
        <n v="1277.25"/>
        <n v="1439.34"/>
        <n v="1281.27"/>
        <n v="1348.83"/>
        <n v="1198.1500000000001"/>
        <n v="1221.22"/>
        <n v="968.74"/>
        <n v="1220.71"/>
        <n v="1238.6199999999999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00000000001"/>
        <n v="1402.75"/>
        <n v="1344.36"/>
        <n v="1197.71"/>
        <n v="1203.24"/>
        <n v="1152.4000000000001"/>
        <n v="1142.6199999999999"/>
        <n v="1332.07"/>
        <n v="1166.54"/>
        <n v="1495.06"/>
        <n v="1337.92"/>
        <n v="1587.96"/>
        <n v="1362.29"/>
        <n v="1448.84"/>
        <n v="1241.97"/>
        <n v="1124.5999999999999"/>
        <n v="1079.92"/>
        <n v="1447.78"/>
        <n v="1229.1600000000001"/>
        <n v="1226.49"/>
        <n v="897.89"/>
        <n v="1706.79"/>
        <n v="1254.18"/>
        <n v="885.08"/>
        <n v="1046.58"/>
        <n v="1712.68"/>
        <n v="1097.71"/>
        <n v="1363.77"/>
        <n v="1382.88"/>
        <n v="1141.3499999999999"/>
        <n v="1054.83"/>
        <n v="1057.77"/>
        <n v="1488.02"/>
        <n v="920.3"/>
        <n v="986.53"/>
        <n v="1440.68"/>
        <n v="1086.21"/>
        <n v="1367.68"/>
        <n v="1215.8499999999999"/>
        <n v="1191.19"/>
        <n v="1594.45"/>
        <n v="1463.07"/>
        <n v="1734.09"/>
        <n v="1411.43"/>
        <n v="1512.58"/>
        <n v="1153.3499999999999"/>
        <n v="1722.95"/>
        <n v="1281.07"/>
        <n v="1011.92"/>
        <n v="1042.26"/>
        <n v="1235.0999999999999"/>
        <n v="768.91"/>
        <n v="1301.72"/>
        <n v="1451.54"/>
        <n v="767.14"/>
        <n v="1620.89"/>
        <n v="1048.46"/>
        <n v="1538.26"/>
        <n v="1217.69"/>
        <n v="1362.64"/>
        <n v="1279.1300000000001"/>
        <n v="924.72"/>
        <n v="1019.44"/>
        <n v="1314.6"/>
        <n v="1515.18"/>
        <n v="1649.18"/>
        <n v="1451.01"/>
        <n v="978.46"/>
        <n v="1198.3399999999999"/>
        <n v="1003.23"/>
        <n v="1212"/>
        <n v="1242.96"/>
        <n v="1053.02"/>
        <n v="1693.63"/>
        <n v="2047.59"/>
        <n v="1083.72"/>
        <n v="1138.42"/>
        <n v="1072.6199999999999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00000000001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00000000001"/>
        <n v="1346.18"/>
        <n v="1589.54"/>
        <n v="1251.6500000000001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00000000001"/>
        <n v="1194"/>
        <n v="1248.25"/>
        <n v="1338.54"/>
        <n v="782.23"/>
        <n v="1366.9"/>
        <n v="1275.81"/>
        <n v="1090.6500000000001"/>
        <n v="1326"/>
        <n v="972.47"/>
        <n v="806.31"/>
        <n v="1416.24"/>
        <n v="1097.6400000000001"/>
        <n v="947.75"/>
        <n v="1018.73"/>
        <n v="1400.74"/>
        <n v="1155.53"/>
        <n v="1386.93"/>
        <n v="915.29"/>
        <n v="1239.55"/>
        <n v="1366.42"/>
        <n v="1086.48"/>
        <n v="1247.8699999999999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00000000001"/>
        <n v="1085.03"/>
        <n v="1437.33"/>
        <n v="988.29"/>
        <n v="1238.8900000000001"/>
        <n v="1384.64"/>
        <n v="1595.07"/>
        <n v="1127.8900000000001"/>
        <n v="929.7"/>
        <n v="1829.63"/>
        <n v="904.7"/>
        <n v="1243.8399999999999"/>
        <n v="1030.95"/>
        <n v="1285.03"/>
        <n v="1216.56"/>
        <n v="966.26"/>
        <n v="1203.17"/>
        <n v="1212.1199999999999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0000000000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099999999999"/>
        <n v="1462.76"/>
        <n v="1398.46"/>
        <n v="1269.6400000000001"/>
        <n v="1455.65"/>
        <n v="1140.31"/>
        <n v="1330.46"/>
        <n v="1190.5999999999999"/>
        <n v="972.5"/>
        <n v="1161.9100000000001"/>
        <n v="1117.17"/>
        <n v="1101.51"/>
        <n v="1523.17"/>
        <n v="984.45"/>
        <n v="1257"/>
        <n v="1434.51"/>
        <n v="1628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0000000000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399999999999"/>
        <n v="1117.42"/>
        <n v="1567.37"/>
        <n v="1294.93"/>
        <n v="1152.1199999999999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000000000001"/>
        <n v="1472.77"/>
        <n v="1878.44"/>
        <n v="1418.5"/>
        <n v="1532.8"/>
        <n v="1304.3499999999999"/>
        <n v="1551.61"/>
        <n v="1326.98"/>
        <n v="862.92"/>
        <n v="1331.69"/>
        <n v="1486.04"/>
        <n v="870.55"/>
        <n v="1344.56"/>
        <n v="1377.04"/>
        <n v="1237.8800000000001"/>
        <n v="1525.86"/>
        <n v="854.58"/>
        <n v="770.76"/>
        <n v="1132.74"/>
        <n v="1173.3699999999999"/>
        <n v="1188.28"/>
        <n v="876.88"/>
        <n v="1143.95"/>
        <n v="1409.06"/>
        <n v="1070.6300000000001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00000000001"/>
        <n v="1586.41"/>
        <n v="1526.11"/>
        <n v="1028.44"/>
        <n v="1555.94"/>
        <n v="1570.77"/>
        <n v="1170.53"/>
        <n v="1099.95"/>
        <n v="1472.43"/>
        <n v="1275.6199999999999"/>
        <n v="1292.3"/>
        <n v="1009.37"/>
        <n v="1093.07"/>
        <n v="1325.44"/>
        <n v="1017.18"/>
        <n v="1221.17"/>
        <n v="1927.87"/>
        <n v="978.27"/>
        <n v="1221.1400000000001"/>
        <n v="1255.6199999999999"/>
        <n v="999.52"/>
        <n v="1380.89"/>
        <n v="1010.77"/>
        <n v="1205.8599999999999"/>
        <n v="1526.61"/>
        <n v="1496.44"/>
        <n v="1256.2"/>
        <n v="1268.3499999999999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89999999999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499999999999"/>
        <n v="1320.39"/>
        <n v="1435.09"/>
        <n v="1448.54"/>
        <n v="1733.56"/>
        <n v="1533.07"/>
        <n v="1106.77"/>
        <n v="995.7"/>
        <n v="1298.8499999999999"/>
        <n v="1276.73"/>
        <n v="1202.28"/>
        <n v="671.92"/>
        <n v="1358.03"/>
        <n v="1008.79"/>
        <n v="1141.0999999999999"/>
        <n v="1397"/>
        <n v="1664.66"/>
        <n v="1151.3900000000001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00000000001"/>
        <n v="1074.47"/>
        <n v="1230.76"/>
        <n v="1255.02"/>
        <n v="1555.52"/>
        <n v="836.11"/>
        <n v="1450.98"/>
        <n v="625.08000000000004"/>
        <n v="1133.27"/>
        <n v="1366.6"/>
        <n v="1439.9"/>
        <n v="1230.69"/>
        <n v="1307.68"/>
        <n v="1124.69"/>
        <n v="1520.78"/>
        <n v="1609.11"/>
        <n v="1358.91"/>
        <n v="1295.8699999999999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199999999999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00000000001"/>
        <n v="1459.96"/>
        <n v="1219.94"/>
        <n v="1064.49"/>
        <n v="959.83"/>
        <n v="1767.02"/>
        <n v="1285.01"/>
        <n v="1422.95"/>
        <n v="1223.3900000000001"/>
        <n v="1539.06"/>
        <n v="988.06"/>
        <n v="1740.57"/>
        <n v="1540.91"/>
        <n v="1381.88"/>
        <n v="1446.98"/>
        <n v="1220.8599999999999"/>
        <n v="948.1"/>
        <n v="1471.24"/>
        <n v="1157.97"/>
        <n v="566.11"/>
        <n v="1060.8800000000001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0000000000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399999999999"/>
        <n v="838.02"/>
        <n v="1300.68"/>
        <n v="1173.21"/>
        <n v="985.97"/>
        <n v="1129.23"/>
        <n v="1194.83"/>
        <n v="1114.29"/>
        <n v="1509.04"/>
        <n v="664.86"/>
        <n v="1267.4000000000001"/>
        <n v="1119.23"/>
        <n v="1698.51"/>
        <n v="1422.78"/>
        <n v="1212.75"/>
        <n v="1423.34"/>
        <n v="976.37"/>
        <n v="1124.5899999999999"/>
        <n v="1569.33"/>
        <n v="1359.36"/>
        <n v="1607.36"/>
        <n v="1042.25"/>
        <n v="1453.95"/>
        <n v="1969.63"/>
        <n v="1156.19"/>
        <n v="1124.47"/>
        <n v="1493.5"/>
        <n v="1155.3800000000001"/>
        <n v="878.19"/>
        <n v="1145.8499999999999"/>
        <n v="1261.28"/>
        <n v="1427.46"/>
        <n v="1592.41"/>
        <n v="1274.6300000000001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399999999999"/>
        <n v="1264.99"/>
        <n v="1467.76"/>
        <n v="1124.43"/>
        <n v="1319.81"/>
        <n v="1482.53"/>
        <n v="1328.18"/>
        <n v="1463.95"/>
        <n v="1133.8499999999999"/>
        <n v="1037.32"/>
        <n v="1562.8"/>
        <n v="1425.79"/>
        <n v="1615.14"/>
        <n v="1236.5"/>
        <n v="1017.97"/>
        <n v="1306"/>
        <n v="1174.1400000000001"/>
        <n v="1231.01"/>
        <n v="1299.18"/>
        <n v="1469.75"/>
        <n v="1390.72"/>
        <n v="1694.09"/>
        <n v="1140.1500000000001"/>
        <n v="1310.71"/>
        <n v="1730.49"/>
        <n v="1616.65"/>
        <n v="1935.85"/>
        <n v="855.14"/>
        <n v="1568.47"/>
        <n v="1550.53"/>
        <n v="1370.92"/>
        <n v="1363.59"/>
        <n v="828.42"/>
        <n v="1209.6300000000001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5999999999999"/>
        <n v="999.43"/>
        <n v="1155.97"/>
        <n v="1726.91"/>
        <n v="1232.57"/>
        <n v="1078.6500000000001"/>
        <n v="1324.78"/>
        <n v="1518.54"/>
        <n v="1239.06"/>
        <n v="1246.68"/>
        <n v="1622.67"/>
        <n v="1082.3599999999999"/>
        <n v="1270.55"/>
        <n v="1236.32"/>
        <n v="785.82"/>
        <n v="1265.8399999999999"/>
        <n v="1508.9"/>
        <n v="1106.8399999999999"/>
        <n v="1389.13"/>
        <n v="974.84"/>
        <n v="1304.46"/>
        <n v="1257.3599999999999"/>
        <n v="1257.04"/>
        <n v="719.52"/>
        <n v="1524.18"/>
        <n v="1395.58"/>
        <n v="1243.68"/>
        <n v="1189.04"/>
        <n v="1375.29"/>
        <n v="1387.51"/>
        <n v="1178.6099999999999"/>
        <n v="1166.6199999999999"/>
        <n v="1556.31"/>
        <n v="1452.27"/>
        <n v="1212.07"/>
        <n v="1578.54"/>
        <n v="1488.26"/>
        <n v="1096.3900000000001"/>
        <n v="1482.57"/>
        <n v="954.18"/>
        <n v="1193.4000000000001"/>
        <n v="1023.11"/>
        <n v="1653.32"/>
        <n v="1022.46"/>
        <n v="1396.43"/>
        <n v="1521.55"/>
        <n v="1034.27"/>
        <n v="1255.3499999999999"/>
        <n v="1396.89"/>
        <n v="795.31"/>
        <n v="982.22"/>
        <n v="1311.3"/>
        <n v="1277.1199999999999"/>
        <n v="1388.62"/>
        <n v="1406.52"/>
        <n v="1132.47"/>
        <n v="1896.91"/>
        <n v="1143.46"/>
        <n v="1285.42"/>
        <n v="1305.26"/>
        <n v="1051.67"/>
        <n v="1387.35"/>
        <n v="1083.6400000000001"/>
        <n v="1851.78"/>
        <n v="1270.29"/>
        <n v="1459.99"/>
        <n v="1253.44"/>
        <n v="1142.48"/>
        <n v="1188.45"/>
        <n v="1125.4000000000001"/>
        <n v="1294.410000000000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00000000001"/>
        <n v="1517.54"/>
        <n v="912.29"/>
        <n v="1144.3"/>
        <n v="1281.43"/>
        <n v="1101.8499999999999"/>
        <n v="1082.0999999999999"/>
        <n v="1185.44"/>
        <n v="1175.07"/>
        <n v="979.26"/>
        <n v="920.81"/>
        <n v="922.85"/>
        <n v="1107.5899999999999"/>
        <n v="1272.46"/>
        <n v="1340.24"/>
        <n v="1648"/>
        <n v="1381.14"/>
        <n v="1198.44"/>
        <n v="951.27"/>
        <n v="1341.24"/>
        <n v="1177.57"/>
        <n v="1055.0899999999999"/>
        <n v="1479.48"/>
        <n v="1827.38"/>
        <n v="1169.6199999999999"/>
        <n v="1516.34"/>
        <n v="1270.21"/>
        <n v="809.11"/>
        <n v="1115.81"/>
        <n v="1457.65"/>
        <n v="1041.3599999999999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"/>
        <n v="1052.8499999999999"/>
        <n v="1200.33"/>
        <n v="1343"/>
        <n v="1441.6"/>
        <n v="1433.42"/>
        <n v="1368.57"/>
        <n v="862.19"/>
        <n v="871.46"/>
        <n v="1863.04"/>
        <n v="1181.6400000000001"/>
        <n v="1060.74"/>
        <n v="951.56"/>
        <n v="1533.71"/>
        <n v="1200.089999999999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00000000001"/>
        <n v="722.66"/>
        <n v="1235.1400000000001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 count="994">
        <n v="466132"/>
        <n v="468176"/>
        <n v="430632"/>
        <n v="608117"/>
        <n v="610706"/>
        <n v="478456"/>
        <n v="441716"/>
        <n v="603195"/>
        <n v="601734"/>
        <n v="600983"/>
        <n v="462283"/>
        <n v="615561"/>
        <n v="432220"/>
        <n v="464652"/>
        <n v="476685"/>
        <n v="458733"/>
        <n v="619884"/>
        <n v="470610"/>
        <n v="472135"/>
        <n v="477670"/>
        <n v="618845"/>
        <n v="442479"/>
        <n v="443920"/>
        <n v="453148"/>
        <n v="434733"/>
        <n v="436984"/>
        <n v="607730"/>
        <n v="609837"/>
        <n v="432211"/>
        <n v="473328"/>
        <n v="610393"/>
        <n v="614780"/>
        <n v="472248"/>
        <n v="603381"/>
        <n v="479224"/>
        <n v="430141"/>
        <n v="620757"/>
        <n v="615901"/>
        <n v="474615"/>
        <n v="456446"/>
        <n v="470577"/>
        <n v="441648"/>
        <n v="433782"/>
        <n v="468104"/>
        <n v="459407"/>
        <n v="472573"/>
        <n v="433473"/>
        <n v="446326"/>
        <n v="435481"/>
        <n v="477310"/>
        <n v="609930"/>
        <n v="603993"/>
        <n v="437818"/>
        <n v="478423"/>
        <n v="467784"/>
        <n v="606714"/>
        <n v="464691"/>
        <n v="431683"/>
        <n v="431725"/>
        <n v="609216"/>
        <n v="452787"/>
        <n v="468767"/>
        <n v="435489"/>
        <n v="450149"/>
        <n v="458364"/>
        <n v="476458"/>
        <n v="602433"/>
        <n v="478575"/>
        <n v="449718"/>
        <n v="463181"/>
        <n v="441992"/>
        <n v="452597"/>
        <n v="614417"/>
        <n v="472895"/>
        <n v="475847"/>
        <n v="476978"/>
        <n v="600648"/>
        <n v="608335"/>
        <n v="471600"/>
        <n v="441175"/>
        <n v="603123"/>
        <n v="457767"/>
        <n v="618498"/>
        <n v="605486"/>
        <n v="617970"/>
        <n v="432934"/>
        <n v="456762"/>
        <n v="601748"/>
        <n v="607763"/>
        <n v="436973"/>
        <n v="471300"/>
        <n v="453277"/>
        <n v="465100"/>
        <n v="603248"/>
        <n v="601112"/>
        <n v="438830"/>
        <n v="464959"/>
        <n v="439787"/>
        <n v="464839"/>
        <n v="448984"/>
        <n v="440327"/>
        <n v="460742"/>
        <n v="446895"/>
        <n v="609374"/>
        <n v="451672"/>
        <n v="604450"/>
        <n v="432896"/>
        <n v="618929"/>
        <n v="451312"/>
        <n v="605141"/>
        <n v="459504"/>
        <n v="432781"/>
        <n v="452748"/>
        <n v="618316"/>
        <n v="455365"/>
        <n v="470603"/>
        <n v="475292"/>
        <n v="467743"/>
        <n v="460675"/>
        <n v="618123"/>
        <n v="607452"/>
        <n v="606352"/>
        <n v="603527"/>
        <n v="445601"/>
        <n v="603948"/>
        <n v="435758"/>
        <n v="611586"/>
        <n v="465263"/>
        <n v="617858"/>
        <n v="607889"/>
        <n v="455689"/>
        <n v="450341"/>
        <n v="431277"/>
        <n v="454656"/>
        <n v="605169"/>
        <n v="444822"/>
        <n v="447442"/>
        <n v="474360"/>
        <n v="447925"/>
        <n v="451586"/>
        <n v="477519"/>
        <n v="603639"/>
        <n v="463993"/>
        <n v="441491"/>
        <n v="469429"/>
        <n v="472214"/>
        <n v="614945"/>
        <n v="476727"/>
        <n v="438555"/>
        <n v="440961"/>
        <n v="616714"/>
        <n v="434247"/>
        <n v="436547"/>
        <n v="619540"/>
        <n v="466283"/>
        <n v="449557"/>
        <n v="473329"/>
        <n v="470117"/>
        <n v="600702"/>
        <n v="615921"/>
        <n v="475588"/>
        <n v="609409"/>
        <n v="479852"/>
        <n v="452249"/>
        <n v="441536"/>
        <n v="601617"/>
        <n v="442598"/>
        <n v="430987"/>
        <n v="430104"/>
        <n v="612904"/>
        <n v="430886"/>
        <n v="467947"/>
        <n v="604804"/>
        <n v="460308"/>
        <n v="618862"/>
        <n v="462479"/>
        <n v="457555"/>
        <n v="459984"/>
        <n v="434982"/>
        <n v="614233"/>
        <n v="605258"/>
        <n v="604377"/>
        <n v="434923"/>
        <n v="476456"/>
        <n v="446788"/>
        <n v="477382"/>
        <n v="600275"/>
        <n v="461958"/>
        <n v="472720"/>
        <n v="442395"/>
        <n v="455340"/>
        <n v="613247"/>
        <n v="454985"/>
        <n v="468813"/>
        <n v="452747"/>
        <n v="615611"/>
        <n v="451400"/>
        <n v="464874"/>
        <n v="452496"/>
        <n v="430714"/>
        <n v="472634"/>
        <n v="608371"/>
        <n v="468168"/>
        <n v="464107"/>
        <n v="466959"/>
        <n v="443522"/>
        <n v="441726"/>
        <n v="473412"/>
        <n v="466201"/>
        <n v="469621"/>
        <n v="466676"/>
        <n v="615346"/>
        <n v="440106"/>
        <n v="450332"/>
        <n v="615226"/>
        <n v="437688"/>
        <n v="437387"/>
        <n v="458139"/>
        <n v="443191"/>
        <n v="613647"/>
        <n v="460820"/>
        <n v="431121"/>
        <n v="619735"/>
        <n v="470485"/>
        <n v="620473"/>
        <n v="449800"/>
        <n v="602402"/>
        <n v="452456"/>
        <n v="439269"/>
        <n v="617774"/>
        <n v="477678"/>
        <n v="444913"/>
        <n v="456602"/>
        <n v="451560"/>
        <n v="453407"/>
        <n v="618655"/>
        <n v="612550"/>
        <n v="466718"/>
        <n v="617947"/>
        <n v="606238"/>
        <n v="463842"/>
        <n v="610354"/>
        <n v="461328"/>
        <n v="458727"/>
        <n v="452587"/>
        <n v="433184"/>
        <n v="451280"/>
        <n v="603269"/>
        <n v="442632"/>
        <n v="447300"/>
        <n v="441783"/>
        <n v="468702"/>
        <n v="467942"/>
        <n v="463678"/>
        <n v="615220"/>
        <n v="432711"/>
        <n v="463583"/>
        <n v="439502"/>
        <n v="613287"/>
        <n v="620104"/>
        <n v="431531"/>
        <n v="605408"/>
        <n v="457551"/>
        <n v="619892"/>
        <n v="445853"/>
        <n v="475483"/>
        <n v="606290"/>
        <n v="611852"/>
        <n v="444734"/>
        <n v="433683"/>
        <n v="448882"/>
        <n v="466838"/>
        <n v="605490"/>
        <n v="466137"/>
        <n v="466970"/>
        <n v="474801"/>
        <n v="450703"/>
        <n v="478172"/>
        <n v="604668"/>
        <n v="471806"/>
        <n v="475705"/>
        <n v="459122"/>
        <n v="476737"/>
        <n v="460359"/>
        <n v="452735"/>
        <n v="613583"/>
        <n v="605692"/>
        <n v="438178"/>
        <n v="449221"/>
        <n v="459322"/>
        <n v="472657"/>
        <n v="608331"/>
        <n v="438546"/>
        <n v="441981"/>
        <n v="602177"/>
        <n v="441659"/>
        <n v="614812"/>
        <n v="458470"/>
        <n v="469646"/>
        <n v="611118"/>
        <n v="465158"/>
        <n v="457130"/>
        <n v="607893"/>
        <n v="464736"/>
        <n v="476198"/>
        <n v="444903"/>
        <n v="464336"/>
        <n v="471453"/>
        <n v="466191"/>
        <n v="440930"/>
        <n v="430380"/>
        <n v="613178"/>
        <n v="460564"/>
        <n v="439929"/>
        <n v="605756"/>
        <n v="451184"/>
        <n v="459588"/>
        <n v="616637"/>
        <n v="447979"/>
        <n v="460176"/>
        <n v="459429"/>
        <n v="465456"/>
        <n v="464665"/>
        <n v="430853"/>
        <n v="615712"/>
        <n v="608228"/>
        <n v="457535"/>
        <n v="442540"/>
        <n v="455332"/>
        <n v="439534"/>
        <n v="462420"/>
        <n v="448913"/>
        <n v="440837"/>
        <n v="466634"/>
        <n v="446435"/>
        <n v="438237"/>
        <n v="468313"/>
        <n v="476303"/>
        <n v="450339"/>
        <n v="476502"/>
        <n v="600561"/>
        <n v="600754"/>
        <n v="439304"/>
        <n v="460722"/>
        <n v="618632"/>
        <n v="452204"/>
        <n v="454530"/>
        <n v="474848"/>
        <n v="435985"/>
        <n v="457942"/>
        <n v="436522"/>
        <n v="471704"/>
        <n v="455810"/>
        <n v="446544"/>
        <n v="461919"/>
        <n v="470128"/>
        <n v="462836"/>
        <n v="475407"/>
        <n v="473611"/>
        <n v="608425"/>
        <n v="476227"/>
        <n v="452701"/>
        <n v="456789"/>
        <n v="600904"/>
        <n v="450889"/>
        <n v="478837"/>
        <n v="611322"/>
        <n v="438180"/>
        <n v="449793"/>
        <n v="450730"/>
        <n v="608758"/>
        <n v="445339"/>
        <n v="438328"/>
        <n v="479913"/>
        <n v="460760"/>
        <n v="444797"/>
        <n v="436711"/>
        <n v="432491"/>
        <n v="617527"/>
        <n v="601213"/>
        <n v="604138"/>
        <n v="431361"/>
        <n v="477695"/>
        <n v="612597"/>
        <n v="445638"/>
        <n v="476185"/>
        <n v="435995"/>
        <n v="430232"/>
        <n v="443861"/>
        <n v="460801"/>
        <n v="605121"/>
        <n v="458622"/>
        <n v="478661"/>
        <n v="435299"/>
        <n v="601961"/>
        <n v="604328"/>
        <n v="614385"/>
        <n v="438584"/>
        <n v="478703"/>
        <n v="615683"/>
        <n v="455672"/>
        <n v="602942"/>
        <n v="616706"/>
        <n v="473243"/>
        <n v="435552"/>
        <n v="434206"/>
        <n v="469895"/>
        <n v="457722"/>
        <n v="473645"/>
        <n v="619108"/>
        <n v="610479"/>
        <n v="474998"/>
        <n v="616341"/>
        <n v="460535"/>
        <n v="606487"/>
        <n v="620737"/>
        <n v="445904"/>
        <n v="464145"/>
        <n v="466818"/>
        <n v="464237"/>
        <n v="618455"/>
        <n v="616126"/>
        <n v="468508"/>
        <n v="431937"/>
        <n v="448603"/>
        <n v="444500"/>
        <n v="601117"/>
        <n v="615383"/>
        <n v="434342"/>
        <n v="435100"/>
        <n v="431278"/>
        <n v="445648"/>
        <n v="448857"/>
        <n v="435267"/>
        <n v="461275"/>
        <n v="613816"/>
        <n v="608767"/>
        <n v="620869"/>
        <n v="478981"/>
        <n v="464630"/>
        <n v="466303"/>
        <n v="452647"/>
        <n v="441370"/>
        <n v="619166"/>
        <n v="472803"/>
        <n v="442308"/>
        <n v="469383"/>
        <n v="614383"/>
        <n v="438617"/>
        <n v="613936"/>
        <n v="472163"/>
        <n v="447458"/>
        <n v="474792"/>
        <n v="470559"/>
        <n v="432399"/>
        <n v="607605"/>
        <n v="600153"/>
        <n v="465979"/>
        <n v="466555"/>
        <n v="444155"/>
        <n v="465764"/>
        <n v="446898"/>
        <n v="453274"/>
        <n v="479320"/>
        <n v="443462"/>
        <n v="446158"/>
        <n v="602514"/>
        <n v="477356"/>
        <n v="434669"/>
        <n v="609322"/>
        <n v="614265"/>
        <n v="606177"/>
        <n v="461514"/>
        <n v="454685"/>
        <n v="477260"/>
        <n v="469126"/>
        <n v="443402"/>
        <n v="479408"/>
        <n v="467227"/>
        <n v="468433"/>
        <n v="604289"/>
        <n v="471366"/>
        <n v="450746"/>
        <n v="614948"/>
        <n v="473935"/>
        <n v="617267"/>
        <n v="470670"/>
        <n v="450368"/>
        <n v="448809"/>
        <n v="469653"/>
        <n v="615688"/>
        <n v="465631"/>
        <n v="443344"/>
        <n v="441363"/>
        <n v="462683"/>
        <n v="463184"/>
        <n v="612826"/>
        <n v="433155"/>
        <n v="616120"/>
        <n v="461744"/>
        <n v="475916"/>
        <n v="454434"/>
        <n v="464353"/>
        <n v="610302"/>
        <n v="462106"/>
        <n v="431389"/>
        <n v="442866"/>
        <n v="446755"/>
        <n v="464743"/>
        <n v="437889"/>
        <n v="473638"/>
        <n v="444232"/>
        <n v="458237"/>
        <n v="441499"/>
        <n v="613436"/>
        <n v="448912"/>
        <n v="468872"/>
        <n v="619811"/>
        <n v="614166"/>
        <n v="456600"/>
        <n v="618405"/>
        <n v="430832"/>
        <n v="610989"/>
        <n v="447750"/>
        <n v="608708"/>
        <n v="469650"/>
        <n v="602304"/>
        <n v="459878"/>
        <n v="441142"/>
        <n v="465667"/>
        <n v="473109"/>
        <n v="619794"/>
        <n v="602258"/>
        <n v="479724"/>
        <n v="442210"/>
        <n v="463291"/>
        <n v="474898"/>
        <n v="431354"/>
        <n v="617460"/>
        <n v="609317"/>
        <n v="479821"/>
        <n v="473394"/>
        <n v="603882"/>
        <n v="615229"/>
        <n v="620197"/>
        <n v="438215"/>
        <n v="444583"/>
        <n v="471866"/>
        <n v="616884"/>
        <n v="448310"/>
        <n v="478902"/>
        <n v="442695"/>
        <n v="613826"/>
        <n v="476203"/>
        <n v="604333"/>
        <n v="442604"/>
        <n v="435663"/>
        <n v="470866"/>
        <n v="612908"/>
        <n v="441871"/>
        <n v="431496"/>
        <n v="436499"/>
        <n v="469853"/>
        <n v="605369"/>
        <n v="448466"/>
        <n v="432786"/>
        <n v="473591"/>
        <n v="618418"/>
        <n v="444558"/>
        <n v="457733"/>
        <n v="466161"/>
        <n v="450800"/>
        <n v="458993"/>
        <n v="468634"/>
        <n v="461264"/>
        <n v="600184"/>
        <n v="604874"/>
        <n v="462377"/>
        <n v="619657"/>
        <n v="437323"/>
        <n v="432148"/>
        <n v="439690"/>
        <n v="601848"/>
        <n v="615821"/>
        <n v="472475"/>
        <n v="457463"/>
        <n v="604861"/>
        <n v="471519"/>
        <n v="618682"/>
        <n v="441425"/>
        <n v="609336"/>
        <n v="603320"/>
        <n v="615446"/>
        <n v="435967"/>
        <n v="610246"/>
        <n v="479327"/>
        <n v="468300"/>
        <n v="612660"/>
        <n v="466691"/>
        <n v="468515"/>
        <n v="614521"/>
        <n v="465921"/>
        <n v="604555"/>
        <n v="616276"/>
        <n v="463356"/>
        <n v="450184"/>
        <n v="466393"/>
        <n v="471786"/>
        <n v="602289"/>
        <n v="445120"/>
        <n v="449260"/>
        <n v="472724"/>
        <n v="475173"/>
        <n v="443854"/>
        <n v="461418"/>
        <n v="616164"/>
        <n v="620962"/>
        <n v="465201"/>
        <n v="470488"/>
        <n v="462250"/>
        <n v="436408"/>
        <n v="464230"/>
        <n v="478609"/>
        <n v="437156"/>
        <n v="432218"/>
        <n v="620493"/>
        <n v="475391"/>
        <n v="440720"/>
        <n v="606942"/>
        <n v="446971"/>
        <n v="470538"/>
        <n v="601177"/>
        <n v="451470"/>
        <n v="438529"/>
        <n v="469742"/>
        <n v="435534"/>
        <n v="442239"/>
        <n v="468986"/>
        <n v="606988"/>
        <n v="453719"/>
        <n v="475524"/>
        <n v="617804"/>
        <n v="613399"/>
        <n v="453400"/>
        <n v="615767"/>
        <n v="615311"/>
        <n v="468470"/>
        <n v="461383"/>
        <n v="457727"/>
        <n v="613327"/>
        <n v="614941"/>
        <n v="440680"/>
        <n v="609949"/>
        <n v="479655"/>
        <n v="439964"/>
        <n v="478486"/>
        <n v="466498"/>
        <n v="430878"/>
        <n v="600127"/>
        <n v="431968"/>
        <n v="462804"/>
        <n v="435809"/>
        <n v="453193"/>
        <n v="459630"/>
        <n v="608982"/>
        <n v="452218"/>
        <n v="434150"/>
        <n v="460579"/>
        <n v="442142"/>
        <n v="608807"/>
        <n v="433153"/>
        <n v="436560"/>
        <n v="436784"/>
        <n v="430621"/>
        <n v="601574"/>
        <n v="433853"/>
        <n v="453164"/>
        <n v="613931"/>
        <n v="607458"/>
        <n v="463835"/>
        <n v="613945"/>
        <n v="432699"/>
        <n v="613119"/>
        <n v="472922"/>
        <n v="613849"/>
        <n v="603827"/>
        <n v="467780"/>
        <n v="460586"/>
        <n v="613842"/>
        <n v="435371"/>
        <n v="466289"/>
        <n v="436173"/>
        <n v="457234"/>
        <n v="474758"/>
        <n v="477373"/>
        <n v="613471"/>
        <n v="601581"/>
        <n v="612102"/>
        <n v="460263"/>
        <n v="479134"/>
        <n v="451467"/>
        <n v="602670"/>
        <n v="613607"/>
        <n v="611556"/>
        <n v="435518"/>
        <n v="465942"/>
        <n v="446174"/>
        <n v="611651"/>
        <n v="446657"/>
        <n v="612506"/>
        <n v="618493"/>
        <n v="612664"/>
        <n v="473653"/>
        <n v="454529"/>
        <n v="437422"/>
        <n v="619470"/>
        <n v="442666"/>
        <n v="620507"/>
        <n v="614867"/>
        <n v="609898"/>
        <n v="450702"/>
        <n v="600418"/>
        <n v="431202"/>
        <n v="457793"/>
        <n v="470190"/>
        <n v="603733"/>
        <n v="465136"/>
        <n v="611723"/>
        <n v="608963"/>
        <n v="454139"/>
        <n v="447560"/>
        <n v="444378"/>
        <n v="616583"/>
        <n v="455913"/>
        <n v="454399"/>
        <n v="602842"/>
        <n v="459428"/>
        <n v="613114"/>
        <n v="450709"/>
        <n v="444626"/>
        <n v="601206"/>
        <n v="470389"/>
        <n v="615218"/>
        <n v="606249"/>
        <n v="616161"/>
        <n v="442335"/>
        <n v="604952"/>
        <n v="441533"/>
        <n v="471784"/>
        <n v="453265"/>
        <n v="444922"/>
        <n v="474324"/>
        <n v="441298"/>
        <n v="446606"/>
        <n v="459537"/>
        <n v="440757"/>
        <n v="604948"/>
        <n v="433275"/>
        <n v="608309"/>
        <n v="462767"/>
        <n v="471785"/>
        <n v="601397"/>
        <n v="477636"/>
        <n v="441967"/>
        <n v="454776"/>
        <n v="431532"/>
        <n v="614169"/>
        <n v="601425"/>
        <n v="477346"/>
        <n v="613587"/>
        <n v="620358"/>
        <n v="617699"/>
        <n v="430567"/>
        <n v="439870"/>
        <n v="438837"/>
        <n v="458997"/>
        <n v="604147"/>
        <n v="606638"/>
        <n v="619620"/>
        <n v="441671"/>
        <n v="610381"/>
        <n v="602416"/>
        <n v="459562"/>
        <n v="463271"/>
        <n v="458132"/>
        <n v="448949"/>
        <n v="603732"/>
        <n v="608929"/>
        <n v="469875"/>
        <n v="443342"/>
        <n v="456363"/>
        <n v="470826"/>
        <n v="458582"/>
        <n v="454480"/>
        <n v="435632"/>
        <n v="442206"/>
        <n v="468303"/>
        <n v="467762"/>
        <n v="447188"/>
        <n v="469438"/>
        <n v="462519"/>
        <n v="432534"/>
        <n v="436467"/>
        <n v="465674"/>
        <n v="442389"/>
        <n v="471614"/>
        <n v="442936"/>
        <n v="437944"/>
        <n v="473705"/>
        <n v="469363"/>
        <n v="465376"/>
        <n v="438775"/>
        <n v="457962"/>
        <n v="477947"/>
        <n v="431104"/>
        <n v="456570"/>
        <n v="612986"/>
        <n v="615730"/>
        <n v="478640"/>
        <n v="470510"/>
        <n v="439360"/>
        <n v="440251"/>
        <n v="600313"/>
        <n v="452216"/>
        <n v="478532"/>
        <n v="616929"/>
        <n v="620207"/>
        <n v="605743"/>
        <n v="472814"/>
        <n v="464362"/>
        <n v="456203"/>
        <n v="468984"/>
        <n v="473349"/>
        <n v="474771"/>
        <n v="448294"/>
        <n v="606606"/>
        <n v="605220"/>
        <n v="466612"/>
        <n v="463331"/>
        <n v="457843"/>
        <n v="609226"/>
        <n v="452942"/>
        <n v="609390"/>
        <n v="446608"/>
        <n v="602500"/>
        <n v="463809"/>
        <n v="611996"/>
        <n v="459298"/>
        <n v="468158"/>
        <n v="440831"/>
        <n v="603848"/>
        <n v="617739"/>
        <n v="607133"/>
        <n v="437470"/>
        <n v="461372"/>
        <n v="476130"/>
        <n v="452438"/>
        <n v="460517"/>
        <n v="444896"/>
        <n v="448722"/>
        <n v="477856"/>
        <n v="617721"/>
        <n v="454176"/>
        <n v="618127"/>
        <n v="441923"/>
        <n v="604279"/>
        <n v="440833"/>
        <n v="451550"/>
        <n v="431853"/>
        <n v="614274"/>
        <n v="619148"/>
        <n v="456781"/>
        <n v="434293"/>
        <n v="460895"/>
        <n v="601600"/>
        <n v="465440"/>
        <n v="455482"/>
        <n v="438877"/>
        <n v="479824"/>
        <n v="477415"/>
        <n v="614372"/>
        <n v="465248"/>
        <n v="449421"/>
        <n v="445856"/>
        <n v="608525"/>
        <n v="608813"/>
        <n v="459295"/>
        <n v="606144"/>
        <n v="476315"/>
        <n v="475891"/>
        <n v="462525"/>
        <n v="606283"/>
        <n v="465252"/>
        <n v="449979"/>
        <n v="604681"/>
        <n v="466390"/>
        <n v="612316"/>
        <n v="474731"/>
        <n v="603260"/>
        <n v="434370"/>
        <n v="478388"/>
        <n v="617883"/>
        <n v="464808"/>
        <n v="609458"/>
        <n v="432405"/>
        <n v="457875"/>
        <n v="477268"/>
        <n v="437580"/>
        <n v="457121"/>
        <n v="436364"/>
        <n v="467654"/>
        <n v="471148"/>
        <n v="468202"/>
        <n v="456959"/>
        <n v="447274"/>
        <n v="608405"/>
        <n v="472253"/>
        <n v="438923"/>
        <n v="607131"/>
        <n v="601701"/>
        <n v="469220"/>
        <n v="433250"/>
        <n v="444413"/>
        <n v="433593"/>
        <n v="458143"/>
        <n v="474167"/>
        <n v="476413"/>
        <n v="600208"/>
        <n v="618926"/>
        <n v="606219"/>
        <n v="448436"/>
        <n v="447976"/>
        <n v="472236"/>
        <n v="468232"/>
        <n v="620819"/>
        <n v="452349"/>
        <n v="464646"/>
        <n v="472209"/>
        <n v="459955"/>
        <n v="473389"/>
        <n v="616767"/>
        <n v="442948"/>
        <n v="458936"/>
        <n v="613921"/>
        <n v="474598"/>
        <n v="440865"/>
        <n v="450947"/>
        <n v="473370"/>
        <n v="463153"/>
        <n v="612546"/>
        <n v="442919"/>
        <n v="449352"/>
        <n v="470104"/>
        <n v="459889"/>
        <n v="478868"/>
        <n v="463307"/>
        <n v="453620"/>
        <n v="466238"/>
        <n v="607697"/>
        <n v="477631"/>
        <n v="443625"/>
        <n v="472223"/>
        <n v="608328"/>
        <n v="474860"/>
        <n v="606858"/>
        <n v="477938"/>
        <n v="462698"/>
        <n v="454552"/>
        <n v="471585"/>
        <n v="455426"/>
        <n v="469856"/>
        <n v="454191"/>
        <n v="468454"/>
        <n v="614187"/>
        <n v="433974"/>
        <n v="604833"/>
        <n v="447469"/>
        <n v="451529"/>
        <n v="448190"/>
        <n v="453713"/>
        <n v="440153"/>
        <n v="619570"/>
        <n v="478947"/>
        <n v="443550"/>
        <n v="477644"/>
        <n v="433981"/>
        <n v="433696"/>
        <n v="443567"/>
        <n v="430665"/>
        <n v="431289"/>
        <n v="608177"/>
        <n v="442797"/>
        <n v="441714"/>
        <n v="612260"/>
      </sharedItems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s v="College"/>
        <s v="Masters"/>
        <s v="High School"/>
        <s v="JD"/>
        <m u="1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2"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basketball"/>
        <s v="video-games"/>
        <s v="polo"/>
        <s v="cross-fit"/>
        <s v="exercise"/>
        <m u="1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 count="339">
        <n v="53300"/>
        <n v="0"/>
        <n v="35100"/>
        <n v="48900"/>
        <n v="66000"/>
        <n v="38400"/>
        <n v="52800"/>
        <n v="41300"/>
        <n v="55700"/>
        <n v="63600"/>
        <n v="53500"/>
        <n v="45500"/>
        <n v="57000"/>
        <n v="46700"/>
        <n v="72700"/>
        <m/>
        <n v="31000"/>
        <n v="53200"/>
        <n v="27500"/>
        <n v="81100"/>
        <n v="51400"/>
        <n v="65700"/>
        <n v="48500"/>
        <n v="49700"/>
        <n v="36400"/>
        <n v="35300"/>
        <n v="88400"/>
        <n v="47600"/>
        <n v="71500"/>
        <n v="36100"/>
        <n v="56600"/>
        <n v="94800"/>
        <n v="36900"/>
        <n v="69100"/>
        <n v="62400"/>
        <n v="35700"/>
        <n v="43400"/>
        <n v="59600"/>
        <n v="43300"/>
        <n v="56200"/>
        <n v="37800"/>
        <n v="78300"/>
        <n v="52700"/>
        <n v="57300"/>
        <n v="800"/>
        <n v="55200"/>
        <n v="90700"/>
        <n v="67700"/>
        <n v="61500"/>
        <n v="37300"/>
        <n v="50500"/>
        <n v="34300"/>
        <n v="28800"/>
        <n v="52600"/>
        <n v="34400"/>
        <n v="62000"/>
        <n v="41200"/>
        <n v="44300"/>
        <n v="58000"/>
        <n v="51100"/>
        <n v="47200"/>
        <n v="70500"/>
        <n v="40700"/>
        <n v="42400"/>
        <n v="57900"/>
        <n v="60000"/>
        <n v="65300"/>
        <n v="84900"/>
        <n v="45300"/>
        <n v="68900"/>
        <n v="46300"/>
        <n v="76000"/>
        <n v="58600"/>
        <n v="54100"/>
        <n v="58100"/>
        <n v="13100"/>
        <n v="31900"/>
        <n v="17600"/>
        <n v="52000"/>
        <n v="29000"/>
        <n v="62500"/>
        <n v="39600"/>
        <n v="47700"/>
        <n v="38100"/>
        <n v="71400"/>
        <n v="75400"/>
        <n v="88800"/>
        <n v="53900"/>
        <n v="27000"/>
        <n v="72200"/>
        <n v="29600"/>
        <n v="51000"/>
        <n v="62700"/>
        <n v="25000"/>
        <n v="68500"/>
        <n v="42900"/>
        <n v="29300"/>
        <n v="45100"/>
        <n v="63100"/>
        <n v="66400"/>
        <n v="25500"/>
        <n v="59900"/>
        <n v="62200"/>
        <n v="24000"/>
        <n v="24800"/>
        <n v="47800"/>
        <n v="53000"/>
        <n v="24400"/>
        <n v="65600"/>
        <n v="39900"/>
        <n v="40600"/>
        <n v="33300"/>
        <n v="54000"/>
        <n v="60300"/>
        <n v="25900"/>
        <n v="47500"/>
        <n v="41500"/>
        <n v="44400"/>
        <n v="51500"/>
        <n v="52100"/>
        <n v="57800"/>
        <n v="55400"/>
        <n v="71200"/>
        <n v="91900"/>
        <n v="62800"/>
        <n v="49900"/>
        <n v="53100"/>
        <n v="55600"/>
        <n v="37600"/>
        <n v="47400"/>
        <n v="26900"/>
        <n v="68700"/>
        <n v="64200"/>
        <n v="27100"/>
        <n v="20000"/>
        <n v="34000"/>
        <n v="82400"/>
        <n v="44000"/>
        <n v="81300"/>
        <n v="39000"/>
        <n v="43900"/>
        <n v="39400"/>
        <n v="51600"/>
        <n v="61600"/>
        <n v="58500"/>
        <n v="67000"/>
        <n v="38900"/>
        <n v="35400"/>
        <n v="75800"/>
        <n v="67400"/>
        <n v="46400"/>
        <n v="56700"/>
        <n v="68600"/>
        <n v="47900"/>
        <n v="56400"/>
        <n v="30400"/>
        <n v="60700"/>
        <n v="30700"/>
        <n v="73000"/>
        <n v="69400"/>
        <n v="59000"/>
        <n v="45700"/>
        <n v="81800"/>
        <n v="64800"/>
        <n v="36700"/>
        <n v="54900"/>
        <n v="61400"/>
        <n v="69200"/>
        <n v="48800"/>
        <n v="54800"/>
        <n v="64000"/>
        <n v="63900"/>
        <n v="56900"/>
        <n v="44900"/>
        <n v="82200"/>
        <n v="83200"/>
        <n v="67900"/>
        <n v="54600"/>
        <n v="77900"/>
        <n v="23600"/>
        <n v="37900"/>
        <n v="70300"/>
        <n v="42800"/>
        <n v="12100"/>
        <n v="33000"/>
        <n v="46500"/>
        <n v="38000"/>
        <n v="51700"/>
        <n v="38600"/>
        <n v="64400"/>
        <n v="54500"/>
        <n v="49600"/>
        <n v="34500"/>
        <n v="60400"/>
        <n v="43700"/>
        <n v="45000"/>
        <n v="52200"/>
        <n v="74200"/>
        <n v="55300"/>
        <n v="43000"/>
        <n v="87800"/>
        <n v="31500"/>
        <n v="33500"/>
        <n v="72400"/>
        <n v="58300"/>
        <n v="55100"/>
        <n v="41400"/>
        <n v="23300"/>
        <n v="98800"/>
        <n v="65000"/>
        <n v="45400"/>
        <n v="27700"/>
        <n v="49300"/>
        <n v="48100"/>
        <n v="30000"/>
        <n v="52300"/>
        <n v="22700"/>
        <n v="68400"/>
        <n v="34700"/>
        <n v="69500"/>
        <n v="48000"/>
        <n v="50000"/>
        <n v="50400"/>
        <n v="37700"/>
        <n v="40100"/>
        <n v="36600"/>
        <n v="71300"/>
        <n v="59300"/>
        <n v="46000"/>
        <n v="45600"/>
        <n v="66300"/>
        <n v="58200"/>
        <n v="43600"/>
        <n v="44200"/>
        <n v="53800"/>
        <n v="79900"/>
        <n v="20200"/>
        <n v="50700"/>
        <n v="50800"/>
        <n v="82100"/>
        <n v="42700"/>
        <n v="42200"/>
        <n v="73500"/>
        <n v="40900"/>
        <n v="44500"/>
        <n v="57500"/>
        <n v="26700"/>
        <n v="52500"/>
        <n v="14100"/>
        <n v="32800"/>
        <n v="39300"/>
        <n v="54700"/>
        <n v="82600"/>
        <n v="78000"/>
        <n v="66100"/>
        <n v="72100"/>
        <n v="48200"/>
        <n v="49000"/>
        <n v="17300"/>
        <n v="28600"/>
        <n v="51300"/>
        <n v="10000"/>
        <n v="67300"/>
        <n v="79600"/>
        <n v="38200"/>
        <n v="34200"/>
        <n v="57100"/>
        <n v="58900"/>
        <n v="67600"/>
        <n v="83600"/>
        <n v="72600"/>
        <n v="21100"/>
        <n v="21200"/>
        <n v="52900"/>
        <n v="70600"/>
        <n v="67800"/>
        <n v="38700"/>
        <n v="67200"/>
        <n v="49100"/>
        <n v="60200"/>
        <n v="67100"/>
        <n v="46100"/>
        <n v="83900"/>
        <n v="49500"/>
        <n v="46800"/>
        <n v="43200"/>
        <n v="35000"/>
        <n v="32500"/>
        <n v="80900"/>
        <n v="100500"/>
        <n v="25800"/>
        <n v="59500"/>
        <n v="36800"/>
        <n v="34900"/>
        <n v="43100"/>
        <n v="45800"/>
        <n v="66900"/>
        <n v="54400"/>
        <n v="73200"/>
        <n v="21500"/>
        <n v="61100"/>
        <n v="70900"/>
        <n v="38500"/>
        <n v="35200"/>
        <n v="73700"/>
        <n v="66200"/>
        <n v="59800"/>
        <n v="78800"/>
        <n v="35900"/>
        <n v="40000"/>
        <n v="26500"/>
        <n v="61200"/>
        <n v="56800"/>
        <n v="65100"/>
        <n v="30100"/>
        <n v="65400"/>
        <n v="57700"/>
        <n v="42100"/>
        <n v="37100"/>
        <n v="11000"/>
        <n v="16100"/>
        <n v="33200"/>
        <n v="31400"/>
        <n v="51900"/>
        <n v="69900"/>
        <n v="12800"/>
        <n v="42300"/>
        <n v="30800"/>
        <n v="60100"/>
        <n v="42600"/>
        <n v="61900"/>
        <n v="64600"/>
        <n v="53400"/>
        <n v="59400"/>
        <n v="27600"/>
        <n v="28900"/>
        <n v="37500"/>
        <n v="77500"/>
        <n v="50300"/>
      </sharedItems>
      <fieldGroup base="15">
        <rangePr startNum="0" endNum="100500" groupInterval="10000"/>
        <groupItems count="13">
          <s v="(blank)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&gt;110000"/>
        </groupItems>
      </fieldGroup>
    </cacheField>
    <cacheField name="capital-loss" numFmtId="0">
      <sharedItems containsSemiMixedTypes="0" containsString="0" containsNumber="1" containsInteger="1" minValue="-111100" maxValue="0" count="354">
        <n v="0"/>
        <n v="-62400"/>
        <n v="-46000"/>
        <n v="-77000"/>
        <n v="-39300"/>
        <n v="-51000"/>
        <n v="-32800"/>
        <n v="-55500"/>
        <n v="-37800"/>
        <n v="-27300"/>
        <n v="-68200"/>
        <n v="-31000"/>
        <n v="-53500"/>
        <n v="-29200"/>
        <n v="-30200"/>
        <n v="-55600"/>
        <n v="-64000"/>
        <n v="-49200"/>
        <n v="-55700"/>
        <n v="-24100"/>
        <n v="-67400"/>
        <n v="-60200"/>
        <n v="-28700"/>
        <n v="-40300"/>
        <n v="-46500"/>
        <n v="-39600"/>
        <n v="-55000"/>
        <n v="-45800"/>
        <n v="-58500"/>
        <n v="-49500"/>
        <n v="-49000"/>
        <n v="-91200"/>
        <n v="-66200"/>
        <n v="-51500"/>
        <n v="-50000"/>
        <n v="-50300"/>
        <n v="-42900"/>
        <n v="-19700"/>
        <n v="-45000"/>
        <n v="-40600"/>
        <n v="-80600"/>
        <n v="-44200"/>
        <n v="-78600"/>
        <n v="-56100"/>
        <n v="-20800"/>
        <n v="-58400"/>
        <n v="-71700"/>
        <n v="-72300"/>
        <n v="-31700"/>
        <n v="-58100"/>
        <n v="-24300"/>
        <n v="-56400"/>
        <n v="-57000"/>
        <n v="-47500"/>
        <n v="-38800"/>
        <n v="-41000"/>
        <n v="-56800"/>
        <n v="-63100"/>
        <n v="-36200"/>
        <n v="-53700"/>
        <n v="-69700"/>
        <n v="-32100"/>
        <n v="-47300"/>
        <n v="-54800"/>
        <n v="-45200"/>
        <n v="-65600"/>
        <n v="-20400"/>
        <n v="-77500"/>
        <n v="-43200"/>
        <n v="-56200"/>
        <n v="-57900"/>
        <n v="-57100"/>
        <n v="-38200"/>
        <n v="-44600"/>
        <n v="-44500"/>
        <n v="-66900"/>
        <n v="-82400"/>
        <n v="-54000"/>
        <n v="-59100"/>
        <n v="-59300"/>
        <n v="-31400"/>
        <n v="-26900"/>
        <n v="-51100"/>
        <n v="-59900"/>
        <n v="-88300"/>
        <n v="-41300"/>
        <n v="-45100"/>
        <n v="-58900"/>
        <n v="-22300"/>
        <n v="-30300"/>
        <n v="-51300"/>
        <n v="-57700"/>
        <n v="-39200"/>
        <n v="-67900"/>
        <n v="-57500"/>
        <n v="-90200"/>
        <n v="-13800"/>
        <n v="-34400"/>
        <n v="-36700"/>
        <n v="-39700"/>
        <n v="-58600"/>
        <n v="-72500"/>
        <n v="-60500"/>
        <n v="-37100"/>
        <n v="-67800"/>
        <n v="-68700"/>
        <n v="-32500"/>
        <n v="-24400"/>
        <n v="-10600"/>
        <n v="-74500"/>
        <n v="-53800"/>
        <n v="-70300"/>
        <n v="-24700"/>
        <n v="-41400"/>
        <n v="-52600"/>
        <n v="-70200"/>
        <n v="-47100"/>
        <n v="-33600"/>
        <n v="-33100"/>
        <n v="-46900"/>
        <n v="-61000"/>
        <n v="-53300"/>
        <n v="-19800"/>
        <n v="-75700"/>
        <n v="-63400"/>
        <n v="-83900"/>
        <n v="-37600"/>
        <n v="-27600"/>
        <n v="-49400"/>
        <n v="-40900"/>
        <n v="-33300"/>
        <n v="-32300"/>
        <n v="-15700"/>
        <n v="-48300"/>
        <n v="-51800"/>
        <n v="-54600"/>
        <n v="-82700"/>
        <n v="-35200"/>
        <n v="-77600"/>
        <n v="-22200"/>
        <n v="-38600"/>
        <n v="-39500"/>
        <n v="-63900"/>
        <n v="-73900"/>
        <n v="-46800"/>
        <n v="-65400"/>
        <n v="-42100"/>
        <n v="-27900"/>
        <n v="-73600"/>
        <n v="-53600"/>
        <n v="-48700"/>
        <n v="-56600"/>
        <n v="-64300"/>
        <n v="-43800"/>
        <n v="-74300"/>
        <n v="-73400"/>
        <n v="-41500"/>
        <n v="-83200"/>
        <n v="-13200"/>
        <n v="-42600"/>
        <n v="-54300"/>
        <n v="-55300"/>
        <n v="-37900"/>
        <n v="-60700"/>
        <n v="-22400"/>
        <n v="-85900"/>
        <n v="-79800"/>
        <n v="-54100"/>
        <n v="-42300"/>
        <n v="-62500"/>
        <n v="-45300"/>
        <n v="-36600"/>
        <n v="-42700"/>
        <n v="-41600"/>
        <n v="-28800"/>
        <n v="-47400"/>
        <n v="-36900"/>
        <n v="-66300"/>
        <n v="-64700"/>
        <n v="-64100"/>
        <n v="-50400"/>
        <n v="-29900"/>
        <n v="-43700"/>
        <n v="-56900"/>
        <n v="-54700"/>
        <n v="-91400"/>
        <n v="-38400"/>
        <n v="-66000"/>
        <n v="-45500"/>
        <n v="-15600"/>
        <n v="-71000"/>
        <n v="-67300"/>
        <n v="-51200"/>
        <n v="-43600"/>
        <n v="-8500"/>
        <n v="-41200"/>
        <n v="-12100"/>
        <n v="-17000"/>
        <n v="-72900"/>
        <n v="-60600"/>
        <n v="-51900"/>
        <n v="-68900"/>
        <n v="-35500"/>
        <n v="-76000"/>
        <n v="-30400"/>
        <n v="-39100"/>
        <n v="-41100"/>
        <n v="-37500"/>
        <n v="-68100"/>
        <n v="-52900"/>
        <n v="-46200"/>
        <n v="-42400"/>
        <n v="-42500"/>
        <n v="-33000"/>
        <n v="-51600"/>
        <n v="-65300"/>
        <n v="-71900"/>
        <n v="-90600"/>
        <n v="-39400"/>
        <n v="-72400"/>
        <n v="-6300"/>
        <n v="-53000"/>
        <n v="-34600"/>
        <n v="-32900"/>
        <n v="-36500"/>
        <n v="-19500"/>
        <n v="-42800"/>
        <n v="-55800"/>
        <n v="-66800"/>
        <n v="-65700"/>
        <n v="-81000"/>
        <n v="-49900"/>
        <n v="-54900"/>
        <n v="-47700"/>
        <n v="-79600"/>
        <n v="-75100"/>
        <n v="-40200"/>
        <n v="-38500"/>
        <n v="-61400"/>
        <n v="-26400"/>
        <n v="-59700"/>
        <n v="-90100"/>
        <n v="-65200"/>
        <n v="-32600"/>
        <n v="-74200"/>
        <n v="-37000"/>
        <n v="-48400"/>
        <n v="-48500"/>
        <n v="-78300"/>
        <n v="-71500"/>
        <n v="-74400"/>
        <n v="-71200"/>
        <n v="-57600"/>
        <n v="-28300"/>
        <n v="-74800"/>
        <n v="-44000"/>
        <n v="-55100"/>
        <n v="-61500"/>
        <n v="-64900"/>
        <n v="-33800"/>
        <n v="-42000"/>
        <n v="-43300"/>
        <n v="-38700"/>
        <n v="-49300"/>
        <n v="-39800"/>
        <n v="-18600"/>
        <n v="-77800"/>
        <n v="-45700"/>
        <n v="-40400"/>
        <n v="-93600"/>
        <n v="-64500"/>
        <n v="-66500"/>
        <n v="-44800"/>
        <n v="-47200"/>
        <n v="-36300"/>
        <n v="-48000"/>
        <n v="-53100"/>
        <n v="-50600"/>
        <n v="-35900"/>
        <n v="-55900"/>
        <n v="-60300"/>
        <n v="-47900"/>
        <n v="-70400"/>
        <n v="-59500"/>
        <n v="-58700"/>
        <n v="-36000"/>
        <n v="-46400"/>
        <n v="-60400"/>
        <n v="-60000"/>
        <n v="-51400"/>
        <n v="-44400"/>
        <n v="-62700"/>
        <n v="-40000"/>
        <n v="-29100"/>
        <n v="-52100"/>
        <n v="-60800"/>
        <n v="-62100"/>
        <n v="-59400"/>
        <n v="-52300"/>
        <n v="-34800"/>
        <n v="-36800"/>
        <n v="-41700"/>
        <n v="-81100"/>
        <n v="-27700"/>
        <n v="-111100"/>
        <n v="-69600"/>
        <n v="-58300"/>
        <n v="-34700"/>
        <n v="-63700"/>
        <n v="-40700"/>
        <n v="-72100"/>
        <n v="-31900"/>
        <n v="-53200"/>
        <n v="-48800"/>
        <n v="-71400"/>
        <n v="-79400"/>
        <n v="-54400"/>
        <n v="-75000"/>
        <n v="-63500"/>
        <n v="-40800"/>
        <n v="-61600"/>
        <n v="-61100"/>
        <n v="-49700"/>
        <n v="-72000"/>
        <n v="-50500"/>
        <n v="-43400"/>
        <n v="-20900"/>
        <n v="-30900"/>
        <n v="-52500"/>
        <n v="-67000"/>
        <n v="-70900"/>
        <n v="-68800"/>
        <n v="-43500"/>
        <n v="-65500"/>
        <n v="-15900"/>
        <n v="-61200"/>
        <n v="-59800"/>
        <n v="-43900"/>
        <n v="-30700"/>
        <n v="-66100"/>
        <n v="-87300"/>
        <n v="-48600"/>
        <n v="-89400"/>
        <n v="-70100"/>
        <n v="-36400"/>
        <n v="-77700"/>
        <n v="-5700"/>
        <n v="-49600"/>
        <n v="-55400"/>
        <n v="-65800"/>
        <n v="-80800"/>
        <n v="-21500"/>
        <n v="-32200"/>
        <n v="-82100"/>
      </sharedItems>
    </cacheField>
    <cacheField name="incident_date" numFmtId="164">
      <sharedItems containsSemiMixedTypes="0" containsNonDate="0" containsDate="1" containsString="0" minDate="2015-01-01T00:00:00" maxDate="2015-03-02T00:00:00" count="60">
        <d v="2015-01-25T00:00:00"/>
        <d v="2015-01-21T00:00:00"/>
        <d v="2015-02-22T00:00:00"/>
        <d v="2015-01-10T00:00:00"/>
        <d v="2015-02-17T00:00:00"/>
        <d v="2015-01-02T00:00:00"/>
        <d v="2015-01-13T00:00:00"/>
        <d v="2015-02-27T00:00:00"/>
        <d v="2015-01-30T00:00:00"/>
        <d v="2015-01-05T00:00:00"/>
        <d v="2015-01-06T00:00:00"/>
        <d v="2015-02-15T00:00:00"/>
        <d v="2015-01-22T00:00:00"/>
        <d v="2015-01-08T00:00:00"/>
        <d v="2015-01-15T00:00:00"/>
        <d v="2015-01-29T00:00:00"/>
        <d v="2015-01-19T00:00:00"/>
        <d v="2015-01-01T00:00:00"/>
        <d v="2015-02-10T00:00:00"/>
        <d v="2015-01-11T00:00:00"/>
        <d v="2015-02-24T00:00:00"/>
        <d v="2015-01-28T00:00:00"/>
        <d v="2015-01-07T00:00:00"/>
        <d v="2015-01-18T00:00:00"/>
        <d v="2015-02-28T00:00:00"/>
        <d v="2015-01-09T00:00:00"/>
        <d v="2015-02-12T00:00:00"/>
        <d v="2015-01-24T00:00:00"/>
        <d v="2015-01-03T00:00:00"/>
        <d v="2015-01-16T00:00:00"/>
        <d v="2015-02-14T00:00:00"/>
        <d v="2015-02-21T00:00:00"/>
        <d v="2015-02-18T00:00:00"/>
        <d v="2015-02-26T00:00:00"/>
        <d v="2015-01-17T00:00:00"/>
        <d v="2015-01-27T00:00:00"/>
        <d v="2015-02-11T00:00:00"/>
        <d v="2015-01-12T00:00:00"/>
        <d v="2015-02-06T00:00:00"/>
        <d v="2015-01-20T00:00:00"/>
        <d v="2015-02-02T00:00:00"/>
        <d v="2015-02-20T00:00:00"/>
        <d v="2015-02-08T00:00:00"/>
        <d v="2015-02-23T00:00:00"/>
        <d v="2015-03-01T00:00:00"/>
        <d v="2015-01-14T00:00:00"/>
        <d v="2015-02-19T00:00:00"/>
        <d v="2015-02-09T00:00:00"/>
        <d v="2015-01-26T00:00:00"/>
        <d v="2015-01-23T00:00:00"/>
        <d v="2015-01-31T00:00:00"/>
        <d v="2015-02-03T00:00:00"/>
        <d v="2015-02-01T00:00:00"/>
        <d v="2015-02-05T00:00:00"/>
        <d v="2015-02-25T00:00:00"/>
        <d v="2015-02-16T00:00:00"/>
        <d v="2015-02-13T00:00:00"/>
        <d v="2015-02-04T00:00:00"/>
        <d v="2015-02-07T00:00:00"/>
        <d v="2015-01-04T00:00:00"/>
      </sharedItems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 count="999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 count="24">
        <n v="5"/>
        <n v="8"/>
        <n v="7"/>
        <n v="20"/>
        <n v="19"/>
        <n v="0"/>
        <n v="23"/>
        <n v="21"/>
        <n v="14"/>
        <n v="22"/>
        <n v="9"/>
        <n v="12"/>
        <n v="15"/>
        <n v="6"/>
        <n v="4"/>
        <n v="10"/>
        <n v="16"/>
        <n v="1"/>
        <n v="17"/>
        <n v="3"/>
        <n v="11"/>
        <n v="13"/>
        <n v="18"/>
        <n v="2"/>
      </sharedItems>
    </cacheField>
    <cacheField name="number_of_vehicles_involved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property_damage" numFmtId="0">
      <sharedItems count="3">
        <s v="YES"/>
        <s v="?"/>
        <s v="NO"/>
      </sharedItems>
    </cacheField>
    <cacheField name="bodily_injuries" numFmtId="0">
      <sharedItems containsSemiMixedTypes="0" containsString="0" containsNumber="1" containsInteger="1" minValue="0" maxValue="2" count="3">
        <n v="1"/>
        <n v="0"/>
        <n v="2"/>
      </sharedItems>
    </cacheField>
    <cacheField name="witnesses" numFmtId="0">
      <sharedItems containsSemiMixedTypes="0" containsString="0" containsNumber="1" containsInteger="1" minValue="0" maxValue="3" count="4">
        <n v="2"/>
        <n v="0"/>
        <n v="3"/>
        <n v="1"/>
      </sharedItems>
    </cacheField>
    <cacheField name="police_report_available" numFmtId="0">
      <sharedItems count="3">
        <s v="YES"/>
        <s v="?"/>
        <s v="NO"/>
      </sharedItems>
    </cacheField>
    <cacheField name="total_claim_amount" numFmtId="0">
      <sharedItems containsString="0" containsBlank="1" containsNumber="1" containsInteger="1" minValue="100" maxValue="114920" count="761">
        <n v="71610"/>
        <n v="5070"/>
        <n v="34650"/>
        <n v="63400"/>
        <n v="6500"/>
        <n v="64100"/>
        <n v="78650"/>
        <n v="51590"/>
        <n v="27700"/>
        <n v="42300"/>
        <n v="87010"/>
        <n v="114920"/>
        <n v="56520"/>
        <n v="7280"/>
        <n v="46200"/>
        <n v="63120"/>
        <n v="52110"/>
        <n v="77880"/>
        <n v="72930"/>
        <n v="60400"/>
        <n v="47160"/>
        <n v="37840"/>
        <n v="71520"/>
        <n v="98160"/>
        <n v="9020"/>
        <n v="5720"/>
        <n v="69840"/>
        <n v="91650"/>
        <n v="75600"/>
        <n v="67140"/>
        <n v="29790"/>
        <n v="77110"/>
        <n v="64800"/>
        <n v="53100"/>
        <n v="60200"/>
        <n v="5330"/>
        <n v="62300"/>
        <n v="60170"/>
        <n v="40000"/>
        <n v="97080"/>
        <n v="51660"/>
        <n v="51120"/>
        <n v="56400"/>
        <n v="55120"/>
        <n v="62800"/>
        <n v="7290"/>
        <n v="76600"/>
        <n v="81800"/>
        <n v="7260"/>
        <n v="4300"/>
        <n v="70510"/>
        <n v="2640"/>
        <n v="78900"/>
        <n v="56430"/>
        <n v="2400"/>
        <n v="65790"/>
        <n v="62920"/>
        <n v="69480"/>
        <n v="44280"/>
        <n v="56300"/>
        <n v="68520"/>
        <n v="59130"/>
        <n v="82320"/>
        <n v="89700"/>
        <n v="33930"/>
        <n v="68530"/>
        <n v="68310"/>
        <n v="61290"/>
        <n v="30100"/>
        <n v="57120"/>
        <n v="42930"/>
        <n v="51210"/>
        <n v="89400"/>
        <n v="59730"/>
        <n v="8060"/>
        <n v="72200"/>
        <n v="50800"/>
        <n v="6600"/>
        <n v="7500"/>
        <n v="6490"/>
        <n v="60940"/>
        <n v="58300"/>
        <n v="68400"/>
        <n v="64240"/>
        <n v="4700"/>
        <n v="45120"/>
        <n v="66950"/>
        <n v="98340"/>
        <n v="5900"/>
        <n v="70680"/>
        <n v="93720"/>
        <n v="6930"/>
        <n v="64890"/>
        <n v="5400"/>
        <n v="5600"/>
        <n v="79300"/>
        <n v="52800"/>
        <n v="28800"/>
        <n v="2970"/>
        <n v="93480"/>
        <n v="4320"/>
        <n v="79800"/>
        <n v="74200"/>
        <m/>
        <n v="74700"/>
        <n v="70000"/>
        <n v="81070"/>
        <n v="57720"/>
        <n v="7080"/>
        <n v="47700"/>
        <n v="51260"/>
        <n v="70400"/>
        <n v="90000"/>
        <n v="72820"/>
        <n v="69300"/>
        <n v="76560"/>
        <n v="55440"/>
        <n v="77130"/>
        <n v="42000"/>
        <n v="36300"/>
        <n v="40320"/>
        <n v="3960"/>
        <n v="63840"/>
        <n v="44730"/>
        <n v="84720"/>
        <n v="61500"/>
        <n v="51000"/>
        <n v="46800"/>
        <n v="78120"/>
        <n v="69200"/>
        <n v="3690"/>
        <n v="65500"/>
        <n v="76120"/>
        <n v="73560"/>
        <n v="52030"/>
        <n v="5170"/>
        <n v="8190"/>
        <n v="70800"/>
        <n v="45630"/>
        <n v="99320"/>
        <n v="64000"/>
        <n v="47300"/>
        <n v="71680"/>
        <n v="112320"/>
        <n v="82720"/>
        <n v="48060"/>
        <n v="63570"/>
        <n v="63240"/>
        <n v="54240"/>
        <n v="37280"/>
        <n v="72100"/>
        <n v="78240"/>
        <n v="6200"/>
        <n v="6160"/>
        <n v="76050"/>
        <n v="86060"/>
        <n v="107900"/>
        <n v="99990"/>
        <n v="61380"/>
        <n v="71280"/>
        <n v="5940"/>
        <n v="6700"/>
        <n v="51740"/>
        <n v="53600"/>
        <n v="44910"/>
        <n v="48100"/>
        <n v="6100"/>
        <n v="79600"/>
        <n v="77040"/>
        <n v="62590"/>
        <n v="85150"/>
        <n v="4950"/>
        <n v="51100"/>
        <n v="100800"/>
        <n v="90970"/>
        <n v="81840"/>
        <n v="54900"/>
        <n v="88660"/>
        <n v="18000"/>
        <n v="5500"/>
        <n v="73920"/>
        <n v="101860"/>
        <n v="5390"/>
        <n v="50490"/>
        <n v="55500"/>
        <n v="7040"/>
        <n v="40160"/>
        <n v="55680"/>
        <n v="5300"/>
        <n v="5200"/>
        <n v="59400"/>
        <n v="2520"/>
        <n v="5760"/>
        <n v="76700"/>
        <n v="5920"/>
        <n v="19080"/>
        <n v="54400"/>
        <n v="59800"/>
        <n v="72000"/>
        <n v="65070"/>
        <n v="8800"/>
        <n v="6120"/>
        <n v="34320"/>
        <n v="53460"/>
        <n v="81360"/>
        <n v="7200"/>
        <n v="70290"/>
        <n v="60190"/>
        <n v="28100"/>
        <n v="49060"/>
        <n v="57060"/>
        <n v="73500"/>
        <n v="88920"/>
        <n v="47630"/>
        <n v="59040"/>
        <n v="79530"/>
        <n v="53680"/>
        <n v="33550"/>
        <n v="69100"/>
        <n v="79750"/>
        <n v="41130"/>
        <n v="71060"/>
        <n v="38830"/>
        <n v="53500"/>
        <n v="73700"/>
        <n v="6300"/>
        <n v="65400"/>
        <n v="3200"/>
        <n v="75400"/>
        <n v="58140"/>
        <n v="98670"/>
        <n v="80850"/>
        <n v="7480"/>
        <n v="53640"/>
        <n v="63250"/>
        <n v="50500"/>
        <n v="57690"/>
        <n v="47790"/>
        <n v="3850"/>
        <n v="59000"/>
        <n v="70600"/>
        <n v="61490"/>
        <n v="57640"/>
        <n v="6890"/>
        <n v="53280"/>
        <n v="78300"/>
        <n v="41490"/>
        <n v="68970"/>
        <n v="85300"/>
        <n v="3080"/>
        <n v="71760"/>
        <n v="59700"/>
        <n v="64920"/>
        <n v="37530"/>
        <n v="64080"/>
        <n v="60390"/>
        <n v="64350"/>
        <n v="70900"/>
        <n v="46560"/>
        <n v="4730"/>
        <n v="6820"/>
        <n v="59900"/>
        <n v="79560"/>
        <n v="63910"/>
        <n v="6400"/>
        <n v="66780"/>
        <n v="8760"/>
        <n v="94160"/>
        <n v="51570"/>
        <n v="52700"/>
        <n v="101010"/>
        <n v="53400"/>
        <n v="72120"/>
        <n v="77100"/>
        <n v="3300"/>
        <n v="63720"/>
        <n v="93730"/>
        <n v="87300"/>
        <n v="5670"/>
        <n v="65800"/>
        <n v="36720"/>
        <n v="59100"/>
        <n v="77440"/>
        <n v="45700"/>
        <n v="80740"/>
        <n v="31350"/>
        <n v="35000"/>
        <n v="68000"/>
        <n v="84500"/>
        <n v="75500"/>
        <n v="90600"/>
        <n v="64320"/>
        <n v="31700"/>
        <n v="74280"/>
        <n v="80520"/>
        <n v="63600"/>
        <n v="32800"/>
        <n v="44190"/>
        <n v="50400"/>
        <n v="88400"/>
        <n v="66550"/>
        <n v="65780"/>
        <n v="51810"/>
        <n v="55660"/>
        <n v="44640"/>
        <n v="77660"/>
        <n v="5640"/>
        <n v="3190"/>
        <n v="53440"/>
        <n v="65250"/>
        <n v="87100"/>
        <n v="50380"/>
        <n v="57860"/>
        <n v="6240"/>
        <n v="66600"/>
        <n v="70920"/>
        <n v="39480"/>
        <n v="67650"/>
        <n v="64900"/>
        <n v="35900"/>
        <n v="52200"/>
        <n v="78000"/>
        <n v="67200"/>
        <n v="68760"/>
        <n v="65040"/>
        <n v="82800"/>
        <n v="61700"/>
        <n v="78100"/>
        <n v="65520"/>
        <n v="4500"/>
        <n v="42700"/>
        <n v="5580"/>
        <n v="3600"/>
        <n v="2800"/>
        <n v="54000"/>
        <n v="48950"/>
        <n v="77800"/>
        <n v="52560"/>
        <n v="44110"/>
        <n v="74360"/>
        <n v="62280"/>
        <n v="26730"/>
        <n v="66200"/>
        <n v="45500"/>
        <n v="53040"/>
        <n v="44200"/>
        <n v="49950"/>
        <n v="100210"/>
        <n v="49140"/>
        <n v="66840"/>
        <n v="62460"/>
        <n v="62810"/>
        <n v="54160"/>
        <n v="48400"/>
        <n v="51480"/>
        <n v="51700"/>
        <n v="5220"/>
        <n v="73320"/>
        <n v="74900"/>
        <n v="76920"/>
        <n v="77990"/>
        <n v="59670"/>
        <n v="44880"/>
        <n v="82830"/>
        <n v="84480"/>
        <n v="53020"/>
        <n v="24200"/>
        <n v="43230"/>
        <n v="5850"/>
        <n v="94560"/>
        <n v="7800"/>
        <n v="61270"/>
        <n v="71440"/>
        <n v="55600"/>
        <n v="5000"/>
        <n v="95810"/>
        <n v="81120"/>
        <n v="91260"/>
        <n v="60600"/>
        <n v="66880"/>
        <n v="58200"/>
        <n v="60570"/>
        <n v="69680"/>
        <n v="55700"/>
        <n v="62370"/>
        <n v="54340"/>
        <n v="55170"/>
        <n v="58500"/>
        <n v="59940"/>
        <n v="73400"/>
        <n v="41850"/>
        <n v="57330"/>
        <n v="81960"/>
        <n v="3770"/>
        <n v="7400"/>
        <n v="54810"/>
        <n v="49400"/>
        <n v="68750"/>
        <n v="76890"/>
        <n v="56070"/>
        <n v="56000"/>
        <n v="4290"/>
        <n v="60750"/>
        <n v="48730"/>
        <n v="95150"/>
        <n v="103560"/>
        <n v="79500"/>
        <n v="76230"/>
        <n v="59520"/>
        <n v="47760"/>
        <n v="84590"/>
        <n v="61650"/>
        <n v="81400"/>
        <n v="58410"/>
        <n v="38610"/>
        <n v="57600"/>
        <n v="53190"/>
        <n v="64620"/>
        <n v="90480"/>
        <n v="55900"/>
        <n v="63800"/>
        <n v="58160"/>
        <n v="104610"/>
        <n v="69850"/>
        <n v="62900"/>
        <n v="81500"/>
        <n v="50000"/>
        <n v="48290"/>
        <n v="59070"/>
        <n v="63300"/>
        <n v="2250"/>
        <n v="54120"/>
        <n v="80280"/>
        <n v="4680"/>
        <n v="39720"/>
        <n v="63580"/>
        <n v="73370"/>
        <n v="86790"/>
        <n v="49800"/>
        <n v="42900"/>
        <n v="53820"/>
        <n v="53370"/>
        <n v="61600"/>
        <n v="74160"/>
        <n v="80100"/>
        <n v="6560"/>
        <n v="58800"/>
        <n v="53730"/>
        <n v="35750"/>
        <n v="42840"/>
        <n v="87960"/>
        <n v="47800"/>
        <n v="3840"/>
        <n v="77000"/>
        <n v="88110"/>
        <n v="47740"/>
        <n v="58960"/>
        <n v="2160"/>
        <n v="78870"/>
        <n v="2700"/>
        <n v="75960"/>
        <n v="75570"/>
        <n v="90240"/>
        <n v="80960"/>
        <n v="79080"/>
        <n v="52400"/>
        <n v="61400"/>
        <n v="74140"/>
        <n v="83160"/>
        <n v="10790"/>
        <n v="48070"/>
        <n v="51030"/>
        <n v="43280"/>
        <n v="76400"/>
        <n v="75460"/>
        <n v="69000"/>
        <n v="8640"/>
        <n v="67210"/>
        <n v="42500"/>
        <n v="86400"/>
        <n v="4620"/>
        <n v="41700"/>
        <n v="77330"/>
        <n v="5160"/>
        <n v="24570"/>
        <n v="84100"/>
        <n v="61560"/>
        <n v="44240"/>
        <n v="57700"/>
        <n v="108030"/>
        <n v="54300"/>
        <n v="32280"/>
        <n v="84600"/>
        <n v="69700"/>
        <n v="36400"/>
        <n v="37520"/>
        <n v="79090"/>
        <n v="67770"/>
        <n v="47400"/>
        <n v="71100"/>
        <n v="69400"/>
        <n v="55000"/>
        <n v="51090"/>
        <n v="64200"/>
        <n v="67320"/>
        <n v="85020"/>
        <n v="68090"/>
        <n v="6030"/>
        <n v="5100"/>
        <n v="4590"/>
        <n v="72400"/>
        <n v="65100"/>
        <n v="64260"/>
        <n v="79970"/>
        <n v="56610"/>
        <n v="54450"/>
        <n v="61920"/>
        <n v="43700"/>
        <n v="4400"/>
        <n v="71640"/>
        <n v="61740"/>
        <n v="57500"/>
        <n v="8700"/>
        <n v="54890"/>
        <n v="74030"/>
        <n v="4900"/>
        <n v="77770"/>
        <n v="40600"/>
        <n v="45270"/>
        <n v="47080"/>
        <n v="40700"/>
        <n v="78980"/>
        <n v="85250"/>
        <n v="72840"/>
        <n v="6050"/>
        <n v="87890"/>
        <n v="60500"/>
        <n v="88220"/>
        <n v="53800"/>
        <n v="54360"/>
        <n v="2860"/>
        <n v="5490"/>
        <n v="7370"/>
        <n v="41520"/>
        <n v="89650"/>
        <n v="39690"/>
        <n v="62260"/>
        <n v="51920"/>
        <n v="57100"/>
        <n v="68300"/>
        <n v="5060"/>
        <n v="69930"/>
        <n v="77700"/>
        <n v="91080"/>
        <n v="48360"/>
        <n v="95000"/>
        <n v="3900"/>
        <n v="60210"/>
        <n v="43600"/>
        <n v="59500"/>
        <n v="41690"/>
        <n v="63100"/>
        <n v="62880"/>
        <n v="66240"/>
        <n v="65440"/>
        <n v="32320"/>
        <n v="33480"/>
        <n v="4200"/>
        <n v="57970"/>
        <n v="32480"/>
        <n v="60480"/>
        <n v="40260"/>
        <n v="95900"/>
        <n v="56160"/>
        <n v="63030"/>
        <n v="63470"/>
        <n v="44440"/>
        <n v="77200"/>
        <n v="57000"/>
        <n v="55110"/>
        <n v="74400"/>
        <n v="35300"/>
        <n v="41580"/>
        <n v="79320"/>
        <n v="82610"/>
        <n v="78600"/>
        <n v="51390"/>
        <n v="70200"/>
        <n v="66480"/>
        <n v="55400"/>
        <n v="49900"/>
        <n v="74880"/>
        <n v="105820"/>
        <n v="7150"/>
        <n v="55800"/>
        <n v="5830"/>
        <n v="85900"/>
        <n v="7110"/>
        <n v="36960"/>
        <n v="64400"/>
        <n v="1920"/>
        <n v="86130"/>
        <n v="82170"/>
        <n v="50300"/>
        <n v="66660"/>
        <n v="78320"/>
        <n v="105040"/>
        <n v="50700"/>
        <n v="51840"/>
        <n v="55200"/>
        <n v="9100"/>
        <n v="67600"/>
        <n v="40800"/>
        <n v="81240"/>
        <n v="29300"/>
        <n v="76450"/>
        <n v="90530"/>
        <n v="8030"/>
        <n v="63900"/>
        <n v="38640"/>
        <n v="87900"/>
        <n v="82060"/>
        <n v="52290"/>
        <n v="68200"/>
        <n v="65560"/>
        <n v="45000"/>
        <n v="61800"/>
        <n v="64570"/>
        <n v="70500"/>
        <n v="57900"/>
        <n v="37800"/>
        <n v="31680"/>
        <n v="100"/>
        <n v="56340"/>
        <n v="69740"/>
        <n v="80880"/>
        <n v="49390"/>
        <n v="69360"/>
        <n v="3740"/>
        <n v="35860"/>
        <n v="50050"/>
        <n v="28440"/>
        <n v="45540"/>
        <n v="38700"/>
        <n v="57240"/>
        <n v="44400"/>
        <n v="92730"/>
        <n v="30700"/>
        <n v="56600"/>
        <n v="34800"/>
        <n v="73260"/>
        <n v="48000"/>
        <n v="73800"/>
        <n v="78200"/>
        <n v="3520"/>
        <n v="72900"/>
        <n v="70700"/>
        <n v="74800"/>
        <n v="4100"/>
        <n v="45100"/>
        <n v="57310"/>
        <n v="84920"/>
        <n v="61050"/>
        <n v="69080"/>
        <n v="4560"/>
        <n v="67800"/>
        <n v="9000"/>
        <n v="85320"/>
        <n v="51370"/>
        <n v="51600"/>
        <n v="48870"/>
        <n v="5590"/>
        <n v="54960"/>
        <n v="39800"/>
        <n v="68580"/>
        <n v="90860"/>
        <n v="5700"/>
        <n v="94930"/>
        <n v="56320"/>
        <n v="83490"/>
        <n v="49410"/>
        <n v="58850"/>
        <n v="82400"/>
        <n v="47430"/>
        <n v="59300"/>
        <n v="66900"/>
        <n v="40810"/>
        <n v="52650"/>
        <n v="42240"/>
        <n v="59490"/>
        <n v="7700"/>
        <n v="61440"/>
        <n v="58560"/>
        <n v="67300"/>
        <n v="36740"/>
        <n v="85690"/>
        <n v="34160"/>
        <n v="61320"/>
        <n v="79680"/>
        <n v="52250"/>
        <n v="53900"/>
        <n v="8970"/>
        <n v="6000"/>
        <n v="64680"/>
        <n v="59200"/>
        <n v="40500"/>
        <n v="60000"/>
        <n v="75690"/>
        <n v="64300"/>
        <n v="65430"/>
        <n v="42680"/>
        <n v="87780"/>
        <n v="72800"/>
        <n v="71190"/>
        <n v="62640"/>
        <n v="69630"/>
        <n v="76010"/>
        <n v="44220"/>
        <n v="57200"/>
        <n v="75790"/>
        <n v="32670"/>
        <n v="3870"/>
        <n v="91520"/>
        <n v="74690"/>
        <n v="55260"/>
        <n v="51400"/>
        <n v="48780"/>
        <n v="52380"/>
        <n v="71800"/>
        <n v="68240"/>
        <n v="46860"/>
        <n v="78500"/>
        <n v="70830"/>
        <n v="68040"/>
        <n v="43560"/>
        <n v="60840"/>
        <n v="68160"/>
        <n v="89520"/>
        <n v="45180"/>
        <n v="7590"/>
        <n v="80080"/>
        <n v="4800"/>
        <n v="90400"/>
        <n v="54200"/>
        <n v="51800"/>
        <n v="49100"/>
        <n v="98280"/>
        <n v="54560"/>
        <n v="61100"/>
        <n v="51900"/>
        <n v="3440"/>
        <n v="76900"/>
        <n v="60320"/>
        <n v="60700"/>
        <n v="34290"/>
        <n v="46980"/>
        <n v="36700"/>
        <n v="6480"/>
        <n v="87200"/>
        <n v="108480"/>
        <n v="67500"/>
      </sharedItems>
    </cacheField>
    <cacheField name="injury_claim" numFmtId="0">
      <sharedItems containsString="0" containsBlank="1" containsNumber="1" containsInteger="1" minValue="0" maxValue="21450" count="638">
        <n v="6510"/>
        <n v="780"/>
        <n v="7700"/>
        <n v="6340"/>
        <n v="1300"/>
        <n v="6410"/>
        <n v="21450"/>
        <n v="9380"/>
        <n v="2770"/>
        <n v="4700"/>
        <n v="7910"/>
        <n v="17680"/>
        <n v="4710"/>
        <n v="1120"/>
        <n v="4200"/>
        <n v="10520"/>
        <n v="5790"/>
        <n v="14160"/>
        <n v="6630"/>
        <n v="6040"/>
        <n v="0"/>
        <n v="17880"/>
        <n v="8180"/>
        <n v="7080"/>
        <n v="1640"/>
        <n v="1040"/>
        <n v="7760"/>
        <n v="14100"/>
        <n v="12600"/>
        <n v="7460"/>
        <n v="3310"/>
        <n v="14020"/>
        <n v="10800"/>
        <n v="10620"/>
        <n v="6020"/>
        <n v="1230"/>
        <n v="12460"/>
        <n v="10940"/>
        <n v="8000"/>
        <n v="16180"/>
        <n v="5740"/>
        <n v="5680"/>
        <n v="11280"/>
        <n v="6890"/>
        <n v="6280"/>
        <n v="810"/>
        <n v="15320"/>
        <n v="16360"/>
        <n v="1320"/>
        <n v="430"/>
        <n v="12820"/>
        <n v="480"/>
        <n v="15780"/>
        <n v="300"/>
        <n v="7310"/>
        <n v="11440"/>
        <n v="15440"/>
        <n v="7380"/>
        <n v="5630"/>
        <n v="11420"/>
        <n v="6570"/>
        <n v="13720"/>
        <n v="13800"/>
        <n v="860"/>
        <n v="12420"/>
        <n v="6810"/>
        <n v="3010"/>
        <n v="9520"/>
        <n v="9540"/>
        <n v="11380"/>
        <n v="14900"/>
        <n v="10860"/>
        <n v="1240"/>
        <n v="14440"/>
        <n v="10160"/>
        <n v="660"/>
        <n v="750"/>
        <n v="1180"/>
        <n v="5540"/>
        <n v="5830"/>
        <n v="11400"/>
        <n v="11680"/>
        <n v="940"/>
        <n v="10300"/>
        <n v="8940"/>
        <n v="590"/>
        <n v="5890"/>
        <n v="17040"/>
        <n v="1260"/>
        <n v="7210"/>
        <n v="900"/>
        <n v="700"/>
        <n v="15860"/>
        <n v="10560"/>
        <n v="330"/>
        <n v="15580"/>
        <n v="6650"/>
        <n v="7420"/>
        <n v="7470"/>
        <n v="14000"/>
        <n v="14740"/>
        <n v="14430"/>
        <n v="4770"/>
        <n v="9320"/>
        <n v="6400"/>
        <n v="18000"/>
        <n v="13240"/>
        <n v="13860"/>
        <n v="12760"/>
        <n v="8570"/>
        <n v="7000"/>
        <n v="3300"/>
        <n v="5760"/>
        <n v="10640"/>
        <n v="4970"/>
        <n v="14120"/>
        <n v="6150"/>
        <n v="8500"/>
        <n v="4680"/>
        <n v="17360"/>
        <n v="13840"/>
        <n v="410"/>
        <n v="6550"/>
        <n v="12260"/>
        <n v="9460"/>
        <n v="470"/>
        <n v="1890"/>
        <n v="5070"/>
        <n v="7640"/>
        <n v="12800"/>
        <n v="4730"/>
        <n v="8960"/>
        <n v="17280"/>
        <n v="7520"/>
        <n v="10680"/>
        <n v="9780"/>
        <n v="10540"/>
        <n v="9040"/>
        <n v="13040"/>
        <n v="560"/>
        <n v="11700"/>
        <n v="10790"/>
        <n v="18180"/>
        <n v="11160"/>
        <n v="12960"/>
        <n v="670"/>
        <n v="11940"/>
        <n v="6700"/>
        <n v="4990"/>
        <n v="11100"/>
        <n v="610"/>
        <n v="15920"/>
        <n v="8560"/>
        <n v="13100"/>
        <n v="450"/>
        <n v="10220"/>
        <n v="16800"/>
        <n v="16540"/>
        <n v="14880"/>
        <n v="5490"/>
        <n v="8060"/>
        <n v="2250"/>
        <n v="1100"/>
        <n v="13440"/>
        <n v="18520"/>
        <n v="980"/>
        <n v="5610"/>
        <n v="5550"/>
        <n v="1280"/>
        <n v="5020"/>
        <n v="6960"/>
        <n v="530"/>
        <n v="650"/>
        <n v="5940"/>
        <n v="280"/>
        <n v="960"/>
        <n v="7670"/>
        <n v="740"/>
        <n v="7150"/>
        <n v="4240"/>
        <n v="5440"/>
        <n v="5980"/>
        <n v="7200"/>
        <n v="7230"/>
        <n v="1760"/>
        <n v="1020"/>
        <n v="8580"/>
        <n v="9720"/>
        <n v="6780"/>
        <n v="7370"/>
        <n v="5260"/>
        <n v="1440"/>
        <n v="12780"/>
        <n v="9260"/>
        <n v="2810"/>
        <n v="8920"/>
        <n v="12980"/>
        <n v="7350"/>
        <n v="6840"/>
        <n v="12990"/>
        <n v="6560"/>
        <n v="14460"/>
        <n v="4880"/>
        <n v="3050"/>
        <n v="6910"/>
        <n v="14500"/>
        <n v="5360"/>
        <n v="4570"/>
        <n v="14300"/>
        <n v="6460"/>
        <n v="3530"/>
        <n v="5350"/>
        <n v="630"/>
        <n v="10900"/>
        <n v="640"/>
        <n v="7540"/>
        <n v="15180"/>
        <n v="5040"/>
        <n v="680"/>
        <n v="5960"/>
        <n v="5750"/>
        <n v="9840"/>
        <n v="10100"/>
        <n v="5310"/>
        <n v="350"/>
        <n v="5900"/>
        <n v="7060"/>
        <n v="5590"/>
        <n v="5240"/>
        <n v="1060"/>
        <n v="11840"/>
        <n v="15660"/>
        <n v="4610"/>
        <n v="12540"/>
        <n v="17060"/>
        <n v="11040"/>
        <n v="10820"/>
        <n v="4170"/>
        <n v="7120"/>
        <n v="10980"/>
        <n v="5850"/>
        <n v="14180"/>
        <n v="11980"/>
        <n v="13260"/>
        <n v="5810"/>
        <n v="1460"/>
        <n v="5730"/>
        <n v="15540"/>
        <n v="5340"/>
        <n v="12020"/>
        <n v="7710"/>
        <n v="600"/>
        <n v="1080"/>
        <n v="14420"/>
        <n v="17460"/>
        <n v="13160"/>
        <n v="4080"/>
        <n v="4800"/>
        <n v="5910"/>
        <n v="14080"/>
        <n v="7340"/>
        <n v="2850"/>
        <n v="3500"/>
        <n v="13600"/>
        <n v="13000"/>
        <n v="7550"/>
        <n v="15100"/>
        <n v="12380"/>
        <n v="13420"/>
        <n v="6360"/>
        <n v="3280"/>
        <n v="9820"/>
        <n v="10080"/>
        <n v="12100"/>
        <n v="9420"/>
        <n v="5060"/>
        <n v="9920"/>
        <n v="580"/>
        <n v="7250"/>
        <n v="4920"/>
        <n v="7810"/>
        <n v="8710"/>
        <n v="4580"/>
        <n v="16650"/>
        <n v="11820"/>
        <n v="6580"/>
        <n v="12300"/>
        <n v="14840"/>
        <n v="7180"/>
        <n v="5220"/>
        <n v="6500"/>
        <n v="6720"/>
        <n v="11500"/>
        <n v="11460"/>
        <n v="10840"/>
        <n v="20700"/>
        <n v="6170"/>
        <n v="15620"/>
        <n v="9360"/>
        <n v="620"/>
        <n v="360"/>
        <n v="6000"/>
        <n v="4450"/>
        <n v="15560"/>
        <n v="4010"/>
        <n v="13520"/>
        <n v="5190"/>
        <n v="4860"/>
        <n v="6620"/>
        <n v="9100"/>
        <n v="4420"/>
        <n v="6270"/>
        <n v="18220"/>
        <n v="5460"/>
        <n v="16710"/>
        <n v="6940"/>
        <n v="6770"/>
        <n v="9680"/>
        <n v="5720"/>
        <n v="5170"/>
        <n v="10920"/>
        <n v="6110"/>
        <n v="14980"/>
        <n v="7090"/>
        <n v="9180"/>
        <n v="8160"/>
        <n v="7530"/>
        <n v="7680"/>
        <n v="15960"/>
        <n v="9640"/>
        <n v="2200"/>
        <n v="7860"/>
        <n v="290"/>
        <n v="11580"/>
        <n v="7880"/>
        <n v="5570"/>
        <n v="8930"/>
        <n v="11120"/>
        <n v="1000"/>
        <n v="6930"/>
        <n v="14040"/>
        <n v="6060"/>
        <n v="6480"/>
        <n v="6080"/>
        <n v="5820"/>
        <n v="6730"/>
        <n v="5670"/>
        <n v="9880"/>
        <n v="6130"/>
        <n v="6660"/>
        <n v="4650"/>
        <n v="6370"/>
        <n v="13660"/>
        <n v="6090"/>
        <n v="4940"/>
        <n v="12500"/>
        <n v="6990"/>
        <n v="6230"/>
        <n v="6750"/>
        <n v="4430"/>
        <n v="17300"/>
        <n v="13300"/>
        <n v="8630"/>
        <n v="15900"/>
        <n v="5970"/>
        <n v="15380"/>
        <n v="6850"/>
        <n v="8140"/>
        <n v="3510"/>
        <n v="9600"/>
        <m/>
        <n v="15080"/>
        <n v="6380"/>
        <n v="7270"/>
        <n v="19020"/>
        <n v="12700"/>
        <n v="12580"/>
        <n v="16300"/>
        <n v="15000"/>
        <n v="8780"/>
        <n v="5370"/>
        <n v="12660"/>
        <n v="11960"/>
        <n v="11600"/>
        <n v="250"/>
        <n v="4510"/>
        <n v="13380"/>
        <n v="520"/>
        <n v="5780"/>
        <n v="13340"/>
        <n v="7890"/>
        <n v="9960"/>
        <n v="7040"/>
        <n v="12740"/>
        <n v="5930"/>
        <n v="6160"/>
        <n v="6180"/>
        <n v="8900"/>
        <n v="820"/>
        <n v="11760"/>
        <n v="5050"/>
        <n v="3570"/>
        <n v="14660"/>
        <n v="4780"/>
        <n v="16020"/>
        <n v="4340"/>
        <n v="7170"/>
        <n v="6330"/>
        <n v="6870"/>
        <n v="15040"/>
        <n v="14720"/>
        <n v="6590"/>
        <n v="5690"/>
        <n v="6140"/>
        <n v="13480"/>
        <n v="1660"/>
        <n v="8740"/>
        <n v="15280"/>
        <n v="12220"/>
        <n v="4250"/>
        <n v="14400"/>
        <n v="840"/>
        <n v="8340"/>
        <n v="14060"/>
        <n v="2730"/>
        <n v="3900"/>
        <n v="16820"/>
        <n v="5530"/>
        <n v="11540"/>
        <n v="16620"/>
        <n v="5380"/>
        <n v="16920"/>
        <n v="6970"/>
        <n v="3640"/>
        <n v="4690"/>
        <n v="14380"/>
        <n v="9480"/>
        <n v="7110"/>
        <n v="13880"/>
        <n v="5000"/>
        <n v="6420"/>
        <n v="12240"/>
        <n v="6920"/>
        <n v="13080"/>
        <n v="510"/>
        <n v="7240"/>
        <n v="6290"/>
        <n v="7690"/>
        <n v="500"/>
        <n v="6050"/>
        <n v="6880"/>
        <n v="4370"/>
        <n v="10000"/>
        <n v="6860"/>
        <n v="870"/>
        <n v="15420"/>
        <n v="6600"/>
        <n v="9980"/>
        <n v="11180"/>
        <n v="490"/>
        <n v="14140"/>
        <n v="4060"/>
        <n v="10060"/>
        <n v="4280"/>
        <n v="4070"/>
        <n v="6300"/>
        <n v="400"/>
        <n v="15500"/>
        <n v="12140"/>
        <n v="15980"/>
        <n v="11000"/>
        <n v="16040"/>
        <n v="9760"/>
        <n v="4530"/>
        <n v="5080"/>
        <n v="8150"/>
        <n v="5660"/>
        <n v="9440"/>
        <n v="5710"/>
        <n v="6830"/>
        <n v="460"/>
        <n v="7770"/>
        <n v="16560"/>
        <n v="4030"/>
        <n v="9500"/>
        <n v="11880"/>
        <n v="6690"/>
        <n v="8720"/>
        <n v="11900"/>
        <n v="7580"/>
        <n v="6310"/>
        <n v="17400"/>
        <n v="10700"/>
        <n v="4040"/>
        <n v="3720"/>
        <n v="440"/>
        <n v="550"/>
        <n v="4270"/>
        <n v="3660"/>
        <n v="13700"/>
        <n v="6240"/>
        <n v="5770"/>
        <n v="8080"/>
        <n v="1200"/>
        <n v="9650"/>
        <n v="4300"/>
        <n v="5010"/>
        <n v="4630"/>
        <n v="3780"/>
        <n v="13220"/>
        <n v="7510"/>
        <n v="7020"/>
        <n v="9900"/>
        <n v="12480"/>
        <n v="16280"/>
        <n v="17180"/>
        <n v="790"/>
        <n v="6440"/>
        <n v="14940"/>
        <n v="16160"/>
        <n v="8640"/>
        <n v="5280"/>
        <n v="9200"/>
        <n v="1400"/>
        <n v="6800"/>
        <n v="13020"/>
        <n v="2930"/>
        <n v="6950"/>
        <n v="16460"/>
        <n v="6390"/>
        <n v="4830"/>
        <n v="9220"/>
        <n v="17580"/>
        <n v="14920"/>
        <n v="12400"/>
        <n v="13500"/>
        <n v="11920"/>
        <n v="12360"/>
        <n v="5870"/>
        <n v="7050"/>
        <n v="17370"/>
        <n v="8400"/>
        <n v="8840"/>
        <n v="3520"/>
        <n v="10"/>
        <n v="6260"/>
        <n v="6740"/>
        <n v="8980"/>
        <n v="11560"/>
        <n v="3260"/>
        <n v="10740"/>
        <n v="3160"/>
        <n v="8280"/>
        <n v="7740"/>
        <n v="16860"/>
        <n v="3070"/>
        <n v="11320"/>
        <n v="3480"/>
        <n v="7950"/>
        <n v="5600"/>
        <n v="10440"/>
        <n v="15640"/>
        <n v="14580"/>
        <n v="7070"/>
        <n v="5470"/>
        <n v="720"/>
        <n v="8200"/>
        <n v="12120"/>
        <n v="10600"/>
        <n v="5210"/>
        <n v="7720"/>
        <n v="12560"/>
        <n v="760"/>
        <n v="11300"/>
        <n v="21330"/>
        <n v="540"/>
        <n v="9340"/>
        <n v="10320"/>
        <n v="5430"/>
        <n v="7960"/>
        <n v="5270"/>
        <n v="7620"/>
        <n v="570"/>
        <n v="7590"/>
        <n v="8240"/>
        <n v="13640"/>
        <n v="7100"/>
        <n v="11860"/>
        <n v="3710"/>
        <n v="420"/>
        <n v="6610"/>
        <n v="770"/>
        <n v="10240"/>
        <n v="3340"/>
        <n v="13280"/>
        <n v="5390"/>
        <n v="220"/>
        <n v="1380"/>
        <n v="4050"/>
        <n v="11220"/>
        <n v="8410"/>
        <n v="6430"/>
        <n v="14540"/>
        <n v="3880"/>
        <n v="7980"/>
        <n v="14560"/>
        <n v="13820"/>
        <n v="8040"/>
        <n v="5200"/>
        <n v="13780"/>
        <n v="8320"/>
        <n v="6790"/>
        <n v="13200"/>
        <n v="5140"/>
        <n v="5420"/>
        <n v="14360"/>
        <n v="8530"/>
        <n v="8520"/>
        <n v="15700"/>
        <n v="7870"/>
        <n v="15120"/>
        <n v="5300"/>
        <n v="4840"/>
        <n v="11360"/>
        <n v="9020"/>
        <n v="12320"/>
        <n v="390"/>
        <n v="5180"/>
        <n v="13560"/>
        <n v="4440"/>
        <n v="15400"/>
        <n v="9280"/>
        <n v="5920"/>
        <n v="3810"/>
        <n v="3670"/>
        <n v="17440"/>
        <n v="18080"/>
        <n v="7500"/>
      </sharedItems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 count="726">
        <n v="52080"/>
        <n v="3510"/>
        <n v="23100"/>
        <n v="50720"/>
        <n v="4550"/>
        <n v="51280"/>
        <n v="50050"/>
        <n v="32830"/>
        <n v="22160"/>
        <n v="32900"/>
        <n v="63280"/>
        <n v="79560"/>
        <n v="42390"/>
        <n v="5040"/>
        <n v="33600"/>
        <n v="42080"/>
        <n v="40530"/>
        <n v="56640"/>
        <n v="53040"/>
        <n v="48320"/>
        <n v="41920"/>
        <n v="33110"/>
        <n v="47680"/>
        <n v="73620"/>
        <n v="6560"/>
        <n v="4160"/>
        <n v="46560"/>
        <n v="63450"/>
        <n v="50400"/>
        <n v="52220"/>
        <n v="23170"/>
        <n v="49070"/>
        <n v="48600"/>
        <n v="37170"/>
        <n v="48160"/>
        <n v="3280"/>
        <n v="43610"/>
        <n v="38290"/>
        <n v="28000"/>
        <n v="64720"/>
        <n v="40180"/>
        <n v="39760"/>
        <n v="33840"/>
        <n v="48230"/>
        <n v="63090"/>
        <n v="50240"/>
        <n v="5670"/>
        <n v="53620"/>
        <n v="57260"/>
        <n v="5280"/>
        <n v="3440"/>
        <n v="44870"/>
        <n v="1680"/>
        <n v="55230"/>
        <n v="50160"/>
        <n v="1800"/>
        <n v="51170"/>
        <n v="45760"/>
        <n v="54040"/>
        <n v="33210"/>
        <n v="39410"/>
        <n v="51390"/>
        <n v="45990"/>
        <n v="61740"/>
        <n v="62100"/>
        <n v="30160"/>
        <n v="49840"/>
        <n v="2580"/>
        <n v="49680"/>
        <n v="47670"/>
        <n v="27090"/>
        <n v="42840"/>
        <n v="28620"/>
        <n v="34140"/>
        <n v="67050"/>
        <n v="38010"/>
        <n v="5580"/>
        <n v="50540"/>
        <n v="30480"/>
        <n v="4620"/>
        <n v="5250"/>
        <n v="4130"/>
        <n v="44320"/>
        <n v="40810"/>
        <n v="45600"/>
        <n v="40880"/>
        <n v="3290"/>
        <n v="39480"/>
        <n v="46350"/>
        <n v="71520"/>
        <n v="4720"/>
        <n v="53010"/>
        <n v="68160"/>
        <n v="59670"/>
        <n v="50470"/>
        <n v="3600"/>
        <n v="4200"/>
        <n v="47580"/>
        <n v="36960"/>
        <n v="25200"/>
        <n v="2310"/>
        <n v="70110"/>
        <n v="3360"/>
        <n v="53200"/>
        <n v="51940"/>
        <n v="48870"/>
        <n v="52290"/>
        <n v="49000"/>
        <n v="51590"/>
        <n v="33670"/>
        <n v="33390"/>
        <n v="32620"/>
        <n v="51200"/>
        <n v="63000"/>
        <n v="52960"/>
        <n v="41580"/>
        <n v="51040"/>
        <n v="49280"/>
        <n v="51420"/>
        <n v="28800"/>
        <n v="2970"/>
        <n v="42560"/>
        <n v="34790"/>
        <n v="56480"/>
        <n v="43050"/>
        <n v="34000"/>
        <n v="32760"/>
        <n v="48440"/>
        <n v="2870"/>
        <n v="52400"/>
        <n v="55360"/>
        <n v="49040"/>
        <n v="37840"/>
        <n v="3760"/>
        <n v="49560"/>
        <n v="35490"/>
        <n v="76400"/>
        <n v="44800"/>
        <n v="53760"/>
        <n v="77760"/>
        <n v="60160"/>
        <n v="32040"/>
        <n v="44010"/>
        <n v="42160"/>
        <n v="36160"/>
        <n v="37280"/>
        <n v="52160"/>
        <n v="4340"/>
        <n v="3920"/>
        <n v="52650"/>
        <n v="59580"/>
        <n v="75530"/>
        <n v="63630"/>
        <n v="44640"/>
        <n v="45360"/>
        <n v="5360"/>
        <n v="31840"/>
        <n v="40200"/>
        <n v="34930"/>
        <n v="29600"/>
        <n v="4270"/>
        <n v="47760"/>
        <n v="59920"/>
        <n v="39830"/>
        <n v="58950"/>
        <n v="35770"/>
        <n v="67200"/>
        <n v="57890"/>
        <n v="59520"/>
        <n v="43920"/>
        <n v="64480"/>
        <n v="13500"/>
        <n v="3850"/>
        <n v="64820"/>
        <n v="3430"/>
        <n v="39270"/>
        <n v="38850"/>
        <n v="5120"/>
        <n v="35140"/>
        <n v="41760"/>
        <n v="4240"/>
        <n v="3900"/>
        <n v="1960"/>
        <n v="3840"/>
        <n v="61360"/>
        <n v="4440"/>
        <n v="12720"/>
        <n v="43520"/>
        <n v="47840"/>
        <n v="57600"/>
        <n v="43380"/>
        <n v="6160"/>
        <n v="4080"/>
        <n v="5310"/>
        <n v="21450"/>
        <n v="34020"/>
        <n v="61020"/>
        <n v="58960"/>
        <n v="47340"/>
        <n v="51120"/>
        <n v="41670"/>
        <n v="19670"/>
        <n v="31220"/>
        <n v="44380"/>
        <n v="51920"/>
        <n v="51450"/>
        <n v="68400"/>
        <n v="30310"/>
        <n v="45920"/>
        <n v="57840"/>
        <n v="24400"/>
        <n v="55280"/>
        <n v="50750"/>
        <n v="37520"/>
        <n v="57420"/>
        <n v="31990"/>
        <n v="57200"/>
        <n v="51680"/>
        <n v="31770"/>
        <n v="42800"/>
        <n v="43600"/>
        <n v="2240"/>
        <n v="52780"/>
        <n v="45220"/>
        <n v="68310"/>
        <n v="40320"/>
        <n v="58800"/>
        <n v="6120"/>
        <n v="41720"/>
        <n v="46000"/>
        <n v="39360"/>
        <n v="35350"/>
        <n v="38460"/>
        <n v="3150"/>
        <n v="47200"/>
        <n v="49420"/>
        <n v="44720"/>
        <n v="4770"/>
        <n v="35520"/>
        <n v="54810"/>
        <n v="32270"/>
        <n v="59710"/>
        <n v="35820"/>
        <n v="43280"/>
        <n v="29190"/>
        <n v="46800"/>
        <n v="49630"/>
        <n v="31040"/>
        <n v="3010"/>
        <n v="41930"/>
        <n v="46480"/>
        <n v="5840"/>
        <n v="68480"/>
        <n v="34380"/>
        <n v="31620"/>
        <n v="69930"/>
        <n v="42720"/>
        <n v="48080"/>
        <n v="53970"/>
        <n v="2700"/>
        <n v="4320"/>
        <n v="35400"/>
        <n v="5760"/>
        <n v="57680"/>
        <n v="52380"/>
        <n v="3780"/>
        <n v="46060"/>
        <n v="28560"/>
        <n v="38400"/>
        <n v="47280"/>
        <n v="56320"/>
        <n v="36560"/>
        <n v="58720"/>
        <n v="22800"/>
        <n v="24500"/>
        <n v="47600"/>
        <n v="58500"/>
        <n v="52850"/>
        <n v="60400"/>
        <n v="48240"/>
        <n v="22190"/>
        <n v="49520"/>
        <n v="60390"/>
        <n v="44520"/>
        <n v="26240"/>
        <n v="29460"/>
        <n v="35280"/>
        <n v="61880"/>
        <n v="48400"/>
        <n v="37680"/>
        <n v="40480"/>
        <n v="29760"/>
        <n v="2030"/>
        <n v="46760"/>
        <n v="34440"/>
        <n v="54670"/>
        <n v="69680"/>
        <n v="41220"/>
        <n v="26320"/>
        <n v="47430"/>
        <n v="49200"/>
        <n v="38940"/>
        <n v="25130"/>
        <n v="36540"/>
        <n v="51570"/>
        <n v="43360"/>
        <n v="48300"/>
        <n v="49360"/>
        <n v="36600"/>
        <n v="2520"/>
        <n v="42000"/>
        <n v="35600"/>
        <n v="46680"/>
        <n v="35040"/>
        <n v="32080"/>
        <n v="54080"/>
        <n v="4760"/>
        <n v="46710"/>
        <n v="17010"/>
        <n v="31850"/>
        <n v="44200"/>
        <n v="35560"/>
        <n v="35360"/>
        <n v="43890"/>
        <n v="63770"/>
        <n v="38220"/>
        <n v="44560"/>
        <n v="48580"/>
        <n v="39970"/>
        <n v="40620"/>
        <n v="33880"/>
        <n v="40040"/>
        <n v="36190"/>
        <n v="49140"/>
        <n v="4060"/>
        <n v="54990"/>
        <n v="52430"/>
        <n v="2320"/>
        <n v="57690"/>
        <n v="56720"/>
        <n v="41310"/>
        <n v="32640"/>
        <n v="60240"/>
        <n v="61440"/>
        <n v="55860"/>
        <n v="33740"/>
        <n v="17600"/>
        <n v="27510"/>
        <n v="4960"/>
        <n v="46320"/>
        <n v="70920"/>
        <n v="6240"/>
        <n v="53580"/>
        <n v="38920"/>
        <n v="3500"/>
        <n v="66330"/>
        <n v="48510"/>
        <n v="47320"/>
        <n v="63180"/>
        <n v="42420"/>
        <n v="48640"/>
        <n v="47110"/>
        <n v="52260"/>
        <n v="38990"/>
        <n v="51030"/>
        <n v="44460"/>
        <n v="42910"/>
        <n v="40950"/>
        <n v="46620"/>
        <n v="32550"/>
        <n v="4480"/>
        <n v="44590"/>
        <n v="54640"/>
        <n v="2610"/>
        <n v="5180"/>
        <n v="42630"/>
        <n v="34580"/>
        <n v="50000"/>
        <n v="55920"/>
        <n v="37380"/>
        <n v="3120"/>
        <n v="47250"/>
        <n v="39870"/>
        <n v="60550"/>
        <n v="59850"/>
        <n v="77670"/>
        <n v="55650"/>
        <n v="55440"/>
        <n v="39680"/>
        <n v="61520"/>
        <n v="47950"/>
        <n v="65120"/>
        <n v="42480"/>
        <n v="31590"/>
        <n v="35460"/>
        <n v="57440"/>
        <n v="60320"/>
        <n v="43620"/>
        <n v="4410"/>
        <n v="66570"/>
        <n v="50800"/>
        <n v="44030"/>
        <n v="46410"/>
        <n v="57050"/>
        <n v="30000"/>
        <n v="30730"/>
        <n v="48330"/>
        <n v="44310"/>
        <n v="41860"/>
        <n v="52200"/>
        <n v="1750"/>
        <n v="40590"/>
        <n v="53520"/>
        <n v="26480"/>
        <n v="52020"/>
        <n v="53360"/>
        <n v="34860"/>
        <n v="34320"/>
        <n v="35880"/>
        <n v="41510"/>
        <n v="38720"/>
        <n v="43120"/>
        <n v="55620"/>
        <n v="62300"/>
        <n v="4920"/>
        <n v="41160"/>
        <n v="45450"/>
        <n v="26000"/>
        <n v="32130"/>
        <n v="58640"/>
        <n v="38240"/>
        <n v="2560"/>
        <n v="56000"/>
        <n v="56070"/>
        <n v="39060"/>
        <n v="42880"/>
        <n v="1440"/>
        <n v="5300"/>
        <n v="57360"/>
        <n v="2100"/>
        <n v="63300"/>
        <n v="54960"/>
        <n v="58880"/>
        <n v="59310"/>
        <n v="45520"/>
        <n v="39300"/>
        <n v="46240"/>
        <n v="49120"/>
        <n v="47180"/>
        <n v="62370"/>
        <n v="8300"/>
        <n v="30590"/>
        <n v="37870"/>
        <n v="53480"/>
        <n v="48020"/>
        <n v="6480"/>
        <n v="42770"/>
        <n v="64800"/>
        <n v="2940"/>
        <n v="25020"/>
        <n v="49210"/>
        <n v="19110"/>
        <n v="39040"/>
        <n v="35100"/>
        <n v="58870"/>
        <n v="47880"/>
        <n v="33180"/>
        <n v="40390"/>
        <n v="74790"/>
        <n v="21520"/>
        <n v="59220"/>
        <n v="55760"/>
        <n v="25480"/>
        <n v="28140"/>
        <n v="50330"/>
        <n v="45180"/>
        <n v="49770"/>
        <n v="40000"/>
        <n v="35370"/>
        <n v="38520"/>
        <n v="58860"/>
        <n v="43330"/>
        <n v="4690"/>
        <n v="3570"/>
        <n v="50680"/>
        <n v="49980"/>
        <n v="50890"/>
        <n v="69210"/>
        <n v="52000"/>
        <n v="4000"/>
        <n v="36300"/>
        <n v="34960"/>
        <n v="35000"/>
        <n v="53730"/>
        <n v="6090"/>
        <n v="46200"/>
        <n v="39920"/>
        <n v="53840"/>
        <n v="39130"/>
        <n v="49490"/>
        <n v="32480"/>
        <n v="25150"/>
        <n v="34240"/>
        <n v="32560"/>
        <n v="2400"/>
        <n v="62000"/>
        <n v="54630"/>
        <n v="63920"/>
        <n v="44000"/>
        <n v="56140"/>
        <n v="43040"/>
        <n v="40770"/>
        <n v="39520"/>
        <n v="2080"/>
        <n v="40640"/>
        <n v="31140"/>
        <n v="65200"/>
        <n v="39690"/>
        <n v="50940"/>
        <n v="37760"/>
        <n v="38880"/>
        <n v="45680"/>
        <n v="47810"/>
        <n v="3680"/>
        <n v="39600"/>
        <n v="54390"/>
        <n v="43750"/>
        <n v="57960"/>
        <n v="36270"/>
        <n v="76000"/>
        <n v="2730"/>
        <n v="46830"/>
        <n v="30520"/>
        <n v="43960"/>
        <n v="41650"/>
        <n v="26530"/>
        <n v="44170"/>
        <n v="47160"/>
        <n v="46400"/>
        <n v="44160"/>
        <n v="49080"/>
        <n v="24240"/>
        <n v="26040"/>
        <n v="2880"/>
        <n v="24360"/>
        <n v="47040"/>
        <n v="1760"/>
        <n v="4400"/>
        <n v="34160"/>
        <n v="29280"/>
        <n v="61650"/>
        <n v="37440"/>
        <n v="45840"/>
        <n v="46160"/>
        <n v="32320"/>
        <n v="57900"/>
        <n v="34400"/>
        <n v="40080"/>
        <n v="28240"/>
        <n v="46300"/>
        <n v="30240"/>
        <n v="59490"/>
        <n v="67590"/>
        <n v="45850"/>
        <n v="56160"/>
        <n v="49860"/>
        <n v="36640"/>
        <n v="44550"/>
        <n v="38780"/>
        <n v="49920"/>
        <n v="73260"/>
        <n v="5200"/>
        <n v="33480"/>
        <n v="3710"/>
        <n v="51540"/>
        <n v="4740"/>
        <n v="26880"/>
        <n v="51520"/>
        <n v="62640"/>
        <n v="59760"/>
        <n v="35210"/>
        <n v="30940"/>
        <n v="54540"/>
        <n v="56960"/>
        <n v="72720"/>
        <n v="40560"/>
        <n v="34560"/>
        <n v="42240"/>
        <n v="32200"/>
        <n v="6300"/>
        <n v="27200"/>
        <n v="54160"/>
        <n v="20510"/>
        <n v="55600"/>
        <n v="57610"/>
        <n v="28980"/>
        <n v="27660"/>
        <n v="57520"/>
        <n v="61530"/>
        <n v="59680"/>
        <n v="32240"/>
        <n v="43400"/>
        <n v="40500"/>
        <n v="44730"/>
        <n v="43260"/>
        <n v="46960"/>
        <n v="49350"/>
        <n v="34740"/>
        <n v="50640"/>
        <n v="24640"/>
        <n v="70"/>
        <n v="43820"/>
        <n v="57060"/>
        <n v="60660"/>
        <n v="35920"/>
        <n v="2380"/>
        <n v="26080"/>
        <n v="38500"/>
        <n v="42960"/>
        <n v="22120"/>
        <n v="42930"/>
        <n v="42120"/>
        <n v="33300"/>
        <n v="67440"/>
        <n v="21490"/>
        <n v="39620"/>
        <n v="2640"/>
        <n v="63600"/>
        <n v="56980"/>
        <n v="54740"/>
        <n v="3640"/>
        <n v="43740"/>
        <n v="43760"/>
        <n v="54400"/>
        <n v="32800"/>
        <n v="48480"/>
        <n v="37100"/>
        <n v="41680"/>
        <n v="41300"/>
        <n v="42350"/>
        <n v="61760"/>
        <n v="44400"/>
        <n v="3420"/>
        <n v="45200"/>
        <n v="56880"/>
        <n v="37360"/>
        <n v="36120"/>
        <n v="3870"/>
        <n v="48090"/>
        <n v="27860"/>
        <n v="43680"/>
        <n v="36890"/>
        <n v="53340"/>
        <n v="58410"/>
        <n v="4560"/>
        <n v="60720"/>
        <n v="38430"/>
        <n v="29750"/>
        <n v="37450"/>
        <n v="65920"/>
        <n v="40680"/>
        <n v="59360"/>
        <n v="47740"/>
        <n v="49700"/>
        <n v="29680"/>
        <n v="46270"/>
        <n v="5390"/>
        <n v="40960"/>
        <n v="38080"/>
        <n v="26720"/>
        <n v="54530"/>
        <n v="29890"/>
        <n v="53120"/>
        <n v="38000"/>
        <n v="37730"/>
        <n v="1980"/>
        <n v="6210"/>
        <n v="38640"/>
        <n v="47360"/>
        <n v="55520"/>
        <n v="32400"/>
        <n v="45000"/>
        <n v="44880"/>
        <n v="51440"/>
        <n v="4500"/>
        <n v="71820"/>
        <n v="2800"/>
        <n v="32160"/>
        <n v="41600"/>
        <n v="55120"/>
        <n v="23760"/>
        <n v="66560"/>
        <n v="54320"/>
        <n v="35980"/>
        <n v="32520"/>
        <n v="40740"/>
        <n v="43080"/>
        <n v="29820"/>
        <n v="54950"/>
        <n v="55090"/>
        <n v="47700"/>
        <n v="45440"/>
        <n v="31570"/>
        <n v="52920"/>
        <n v="5520"/>
        <n v="72320"/>
        <n v="37940"/>
        <n v="36260"/>
        <n v="4800"/>
        <n v="53920"/>
        <n v="47460"/>
        <n v="34370"/>
        <n v="75600"/>
        <n v="39960"/>
        <n v="53830"/>
        <n v="34720"/>
        <n v="67230"/>
        <n v="36330"/>
        <n v="34260"/>
        <n v="53900"/>
        <n v="42490"/>
        <n v="26670"/>
        <n v="25690"/>
        <n v="4860"/>
        <n v="61040"/>
        <n v="52500"/>
      </sharedItems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x v="0"/>
    <x v="0"/>
    <d v="2014-10-17T00:00:00"/>
    <x v="0"/>
    <s v="250/500"/>
    <n v="1000"/>
    <x v="0"/>
    <n v="0"/>
    <x v="0"/>
    <x v="0"/>
    <x v="0"/>
    <x v="0"/>
    <x v="0"/>
    <s v="husband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3020"/>
    <x v="0"/>
    <s v="Saab"/>
    <s v="92x"/>
    <n v="2004"/>
    <x v="0"/>
    <n v="0"/>
  </r>
  <r>
    <n v="228"/>
    <x v="1"/>
    <x v="1"/>
    <d v="2006-06-27T00:00:00"/>
    <x v="1"/>
    <s v="250/500"/>
    <n v="2000"/>
    <x v="1"/>
    <n v="5000000"/>
    <x v="1"/>
    <x v="0"/>
    <x v="0"/>
    <x v="1"/>
    <x v="1"/>
    <s v="other-relative"/>
    <x v="1"/>
    <x v="0"/>
    <x v="1"/>
    <x v="1"/>
    <x v="1"/>
    <x v="1"/>
    <x v="0"/>
    <x v="1"/>
    <x v="1"/>
    <x v="1"/>
    <x v="1"/>
    <x v="0"/>
    <x v="1"/>
    <x v="1"/>
    <x v="1"/>
    <x v="1"/>
    <x v="1"/>
    <x v="1"/>
    <n v="780"/>
    <x v="1"/>
    <s v="Mercedes"/>
    <s v="E400"/>
    <n v="2007"/>
    <x v="0"/>
    <n v="0"/>
  </r>
  <r>
    <n v="134"/>
    <x v="2"/>
    <x v="2"/>
    <d v="2000-09-06T00:00:00"/>
    <x v="0"/>
    <s v="100/300"/>
    <n v="2000"/>
    <x v="2"/>
    <n v="5000000"/>
    <x v="2"/>
    <x v="1"/>
    <x v="1"/>
    <x v="2"/>
    <x v="2"/>
    <s v="own-child"/>
    <x v="2"/>
    <x v="0"/>
    <x v="2"/>
    <x v="2"/>
    <x v="2"/>
    <x v="1"/>
    <x v="0"/>
    <x v="2"/>
    <x v="0"/>
    <x v="2"/>
    <x v="2"/>
    <x v="1"/>
    <x v="2"/>
    <x v="2"/>
    <x v="2"/>
    <x v="2"/>
    <x v="2"/>
    <x v="2"/>
    <n v="3850"/>
    <x v="2"/>
    <s v="Dodge"/>
    <s v="RAM"/>
    <n v="2007"/>
    <x v="1"/>
    <n v="0"/>
  </r>
  <r>
    <n v="256"/>
    <x v="3"/>
    <x v="3"/>
    <d v="1990-05-25T00:00:00"/>
    <x v="2"/>
    <s v="250/500"/>
    <n v="2000"/>
    <x v="3"/>
    <n v="6000000"/>
    <x v="3"/>
    <x v="1"/>
    <x v="1"/>
    <x v="3"/>
    <x v="3"/>
    <s v="unmarried"/>
    <x v="3"/>
    <x v="1"/>
    <x v="3"/>
    <x v="0"/>
    <x v="3"/>
    <x v="0"/>
    <x v="0"/>
    <x v="3"/>
    <x v="2"/>
    <x v="3"/>
    <x v="0"/>
    <x v="0"/>
    <x v="1"/>
    <x v="0"/>
    <x v="0"/>
    <x v="2"/>
    <x v="3"/>
    <x v="3"/>
    <n v="6340"/>
    <x v="3"/>
    <s v="Chevrolet"/>
    <s v="Tahoe"/>
    <n v="2014"/>
    <x v="0"/>
    <n v="0"/>
  </r>
  <r>
    <n v="228"/>
    <x v="4"/>
    <x v="4"/>
    <d v="2014-06-06T00:00:00"/>
    <x v="2"/>
    <s v="500/1000"/>
    <n v="1000"/>
    <x v="4"/>
    <n v="6000000"/>
    <x v="4"/>
    <x v="0"/>
    <x v="2"/>
    <x v="2"/>
    <x v="3"/>
    <s v="unmarried"/>
    <x v="4"/>
    <x v="2"/>
    <x v="4"/>
    <x v="1"/>
    <x v="1"/>
    <x v="1"/>
    <x v="1"/>
    <x v="2"/>
    <x v="2"/>
    <x v="4"/>
    <x v="3"/>
    <x v="0"/>
    <x v="2"/>
    <x v="1"/>
    <x v="3"/>
    <x v="2"/>
    <x v="4"/>
    <x v="4"/>
    <n v="650"/>
    <x v="4"/>
    <s v="Accura"/>
    <s v="RSX"/>
    <n v="2009"/>
    <x v="1"/>
    <n v="0"/>
  </r>
  <r>
    <n v="256"/>
    <x v="5"/>
    <x v="5"/>
    <d v="2006-10-12T00:00:00"/>
    <x v="0"/>
    <s v="250/500"/>
    <n v="1000"/>
    <x v="5"/>
    <n v="0"/>
    <x v="5"/>
    <x v="1"/>
    <x v="1"/>
    <x v="4"/>
    <x v="4"/>
    <s v="unmarried"/>
    <x v="1"/>
    <x v="0"/>
    <x v="5"/>
    <x v="2"/>
    <x v="2"/>
    <x v="0"/>
    <x v="2"/>
    <x v="0"/>
    <x v="2"/>
    <x v="5"/>
    <x v="4"/>
    <x v="1"/>
    <x v="2"/>
    <x v="1"/>
    <x v="0"/>
    <x v="2"/>
    <x v="5"/>
    <x v="5"/>
    <n v="6410"/>
    <x v="5"/>
    <s v="Saab"/>
    <n v="95"/>
    <n v="2003"/>
    <x v="0"/>
    <n v="0"/>
  </r>
  <r>
    <n v="137"/>
    <x v="6"/>
    <x v="6"/>
    <d v="2000-06-04T00:00:00"/>
    <x v="1"/>
    <s v="250/500"/>
    <n v="1000"/>
    <x v="6"/>
    <n v="0"/>
    <x v="6"/>
    <x v="0"/>
    <x v="3"/>
    <x v="5"/>
    <x v="2"/>
    <s v="husband"/>
    <x v="1"/>
    <x v="3"/>
    <x v="6"/>
    <x v="2"/>
    <x v="3"/>
    <x v="1"/>
    <x v="0"/>
    <x v="2"/>
    <x v="3"/>
    <x v="6"/>
    <x v="5"/>
    <x v="1"/>
    <x v="1"/>
    <x v="1"/>
    <x v="1"/>
    <x v="1"/>
    <x v="6"/>
    <x v="6"/>
    <n v="7150"/>
    <x v="6"/>
    <s v="Nissan"/>
    <s v="Pathfinder"/>
    <n v="2012"/>
    <x v="1"/>
    <n v="0"/>
  </r>
  <r>
    <n v="165"/>
    <x v="7"/>
    <x v="7"/>
    <d v="1990-02-03T00:00:00"/>
    <x v="2"/>
    <s v="100/300"/>
    <n v="1000"/>
    <x v="7"/>
    <n v="0"/>
    <x v="7"/>
    <x v="0"/>
    <x v="2"/>
    <x v="4"/>
    <x v="5"/>
    <s v="unmarried"/>
    <x v="1"/>
    <x v="0"/>
    <x v="7"/>
    <x v="2"/>
    <x v="3"/>
    <x v="2"/>
    <x v="0"/>
    <x v="1"/>
    <x v="0"/>
    <x v="7"/>
    <x v="6"/>
    <x v="1"/>
    <x v="1"/>
    <x v="2"/>
    <x v="0"/>
    <x v="0"/>
    <x v="7"/>
    <x v="7"/>
    <n v="9380"/>
    <x v="7"/>
    <s v="Audi"/>
    <s v="A5"/>
    <n v="2015"/>
    <x v="1"/>
    <n v="0"/>
  </r>
  <r>
    <n v="27"/>
    <x v="8"/>
    <x v="8"/>
    <d v="1997-02-05T00:00:00"/>
    <x v="2"/>
    <s v="100/300"/>
    <n v="500"/>
    <x v="8"/>
    <n v="0"/>
    <x v="8"/>
    <x v="1"/>
    <x v="1"/>
    <x v="6"/>
    <x v="6"/>
    <s v="own-child"/>
    <x v="1"/>
    <x v="0"/>
    <x v="8"/>
    <x v="0"/>
    <x v="3"/>
    <x v="2"/>
    <x v="0"/>
    <x v="4"/>
    <x v="2"/>
    <x v="8"/>
    <x v="7"/>
    <x v="0"/>
    <x v="2"/>
    <x v="0"/>
    <x v="3"/>
    <x v="0"/>
    <x v="8"/>
    <x v="8"/>
    <n v="2770"/>
    <x v="8"/>
    <s v="Toyota"/>
    <s v="Camry"/>
    <n v="2012"/>
    <x v="1"/>
    <n v="0"/>
  </r>
  <r>
    <n v="212"/>
    <x v="1"/>
    <x v="9"/>
    <d v="2011-07-25T00:00:00"/>
    <x v="2"/>
    <s v="100/300"/>
    <n v="500"/>
    <x v="9"/>
    <n v="0"/>
    <x v="9"/>
    <x v="0"/>
    <x v="1"/>
    <x v="7"/>
    <x v="7"/>
    <s v="wife"/>
    <x v="1"/>
    <x v="4"/>
    <x v="9"/>
    <x v="0"/>
    <x v="2"/>
    <x v="2"/>
    <x v="3"/>
    <x v="5"/>
    <x v="4"/>
    <x v="9"/>
    <x v="8"/>
    <x v="0"/>
    <x v="2"/>
    <x v="2"/>
    <x v="3"/>
    <x v="1"/>
    <x v="9"/>
    <x v="9"/>
    <n v="4700"/>
    <x v="9"/>
    <s v="Saab"/>
    <s v="92x"/>
    <n v="1996"/>
    <x v="1"/>
    <n v="0"/>
  </r>
  <r>
    <n v="235"/>
    <x v="1"/>
    <x v="10"/>
    <d v="2002-05-26T00:00:00"/>
    <x v="0"/>
    <s v="100/300"/>
    <n v="500"/>
    <x v="10"/>
    <n v="4000000"/>
    <x v="10"/>
    <x v="1"/>
    <x v="4"/>
    <x v="8"/>
    <x v="8"/>
    <s v="other-relative"/>
    <x v="5"/>
    <x v="0"/>
    <x v="10"/>
    <x v="0"/>
    <x v="3"/>
    <x v="2"/>
    <x v="0"/>
    <x v="2"/>
    <x v="5"/>
    <x v="10"/>
    <x v="9"/>
    <x v="0"/>
    <x v="0"/>
    <x v="2"/>
    <x v="0"/>
    <x v="1"/>
    <x v="10"/>
    <x v="10"/>
    <n v="15820"/>
    <x v="10"/>
    <s v="Ford"/>
    <s v="F150"/>
    <n v="2002"/>
    <x v="1"/>
    <n v="0"/>
  </r>
  <r>
    <n v="447"/>
    <x v="9"/>
    <x v="11"/>
    <d v="1999-05-29T00:00:00"/>
    <x v="0"/>
    <s v="100/300"/>
    <n v="2000"/>
    <x v="11"/>
    <n v="0"/>
    <x v="11"/>
    <x v="1"/>
    <x v="5"/>
    <x v="8"/>
    <x v="9"/>
    <s v="other-relative"/>
    <x v="1"/>
    <x v="5"/>
    <x v="11"/>
    <x v="2"/>
    <x v="3"/>
    <x v="0"/>
    <x v="2"/>
    <x v="6"/>
    <x v="3"/>
    <x v="11"/>
    <x v="7"/>
    <x v="1"/>
    <x v="0"/>
    <x v="0"/>
    <x v="0"/>
    <x v="0"/>
    <x v="11"/>
    <x v="11"/>
    <n v="17680"/>
    <x v="11"/>
    <s v="Audi"/>
    <s v="A3"/>
    <n v="2006"/>
    <x v="1"/>
    <n v="2"/>
  </r>
  <r>
    <n v="60"/>
    <x v="10"/>
    <x v="12"/>
    <d v="1997-11-20T00:00:00"/>
    <x v="0"/>
    <s v="500/1000"/>
    <n v="500"/>
    <x v="12"/>
    <n v="3000000"/>
    <x v="12"/>
    <x v="0"/>
    <x v="0"/>
    <x v="9"/>
    <x v="1"/>
    <s v="wife"/>
    <x v="1"/>
    <x v="0"/>
    <x v="12"/>
    <x v="0"/>
    <x v="2"/>
    <x v="2"/>
    <x v="4"/>
    <x v="0"/>
    <x v="5"/>
    <x v="12"/>
    <x v="10"/>
    <x v="0"/>
    <x v="0"/>
    <x v="0"/>
    <x v="1"/>
    <x v="2"/>
    <x v="12"/>
    <x v="12"/>
    <n v="9420"/>
    <x v="12"/>
    <s v="Saab"/>
    <n v="95"/>
    <n v="2000"/>
    <x v="1"/>
    <n v="0"/>
  </r>
  <r>
    <n v="121"/>
    <x v="6"/>
    <x v="13"/>
    <d v="2012-10-26T00:00:00"/>
    <x v="0"/>
    <s v="100/300"/>
    <n v="1000"/>
    <x v="13"/>
    <n v="0"/>
    <x v="13"/>
    <x v="1"/>
    <x v="0"/>
    <x v="3"/>
    <x v="4"/>
    <s v="wife"/>
    <x v="6"/>
    <x v="6"/>
    <x v="13"/>
    <x v="3"/>
    <x v="1"/>
    <x v="1"/>
    <x v="1"/>
    <x v="0"/>
    <x v="3"/>
    <x v="13"/>
    <x v="0"/>
    <x v="0"/>
    <x v="2"/>
    <x v="0"/>
    <x v="3"/>
    <x v="2"/>
    <x v="13"/>
    <x v="13"/>
    <n v="1120"/>
    <x v="13"/>
    <s v="Toyota"/>
    <s v="Highlander"/>
    <n v="2010"/>
    <x v="1"/>
    <n v="0"/>
  </r>
  <r>
    <n v="180"/>
    <x v="11"/>
    <x v="14"/>
    <d v="1998-12-28T00:00:00"/>
    <x v="0"/>
    <s v="250/500"/>
    <n v="2000"/>
    <x v="14"/>
    <n v="0"/>
    <x v="14"/>
    <x v="1"/>
    <x v="3"/>
    <x v="1"/>
    <x v="2"/>
    <s v="not-in-family"/>
    <x v="7"/>
    <x v="7"/>
    <x v="14"/>
    <x v="0"/>
    <x v="2"/>
    <x v="2"/>
    <x v="0"/>
    <x v="0"/>
    <x v="3"/>
    <x v="14"/>
    <x v="11"/>
    <x v="0"/>
    <x v="2"/>
    <x v="1"/>
    <x v="0"/>
    <x v="0"/>
    <x v="14"/>
    <x v="14"/>
    <n v="8400"/>
    <x v="14"/>
    <s v="Dodge"/>
    <s v="Neon"/>
    <n v="2003"/>
    <x v="0"/>
    <n v="0"/>
  </r>
  <r>
    <n v="473"/>
    <x v="12"/>
    <x v="15"/>
    <d v="1992-10-19T00:00:00"/>
    <x v="1"/>
    <s v="100/300"/>
    <n v="2000"/>
    <x v="15"/>
    <n v="0"/>
    <x v="15"/>
    <x v="1"/>
    <x v="0"/>
    <x v="10"/>
    <x v="10"/>
    <s v="other-relative"/>
    <x v="8"/>
    <x v="0"/>
    <x v="15"/>
    <x v="2"/>
    <x v="0"/>
    <x v="0"/>
    <x v="3"/>
    <x v="4"/>
    <x v="4"/>
    <x v="15"/>
    <x v="11"/>
    <x v="2"/>
    <x v="0"/>
    <x v="1"/>
    <x v="1"/>
    <x v="2"/>
    <x v="15"/>
    <x v="15"/>
    <n v="10520"/>
    <x v="15"/>
    <s v="Accura"/>
    <s v="MDX"/>
    <n v="1999"/>
    <x v="0"/>
    <n v="0"/>
  </r>
  <r>
    <n v="70"/>
    <x v="13"/>
    <x v="16"/>
    <d v="2005-06-08T00:00:00"/>
    <x v="0"/>
    <s v="500/1000"/>
    <n v="1000"/>
    <x v="16"/>
    <n v="5000000"/>
    <x v="16"/>
    <x v="0"/>
    <x v="3"/>
    <x v="1"/>
    <x v="11"/>
    <s v="own-child"/>
    <x v="9"/>
    <x v="0"/>
    <x v="2"/>
    <x v="2"/>
    <x v="2"/>
    <x v="0"/>
    <x v="3"/>
    <x v="2"/>
    <x v="1"/>
    <x v="16"/>
    <x v="5"/>
    <x v="1"/>
    <x v="1"/>
    <x v="0"/>
    <x v="0"/>
    <x v="0"/>
    <x v="16"/>
    <x v="16"/>
    <n v="5790"/>
    <x v="16"/>
    <s v="Nissan"/>
    <s v="Maxima"/>
    <n v="2012"/>
    <x v="1"/>
    <n v="0"/>
  </r>
  <r>
    <n v="140"/>
    <x v="14"/>
    <x v="17"/>
    <d v="2004-11-15T00:00:00"/>
    <x v="1"/>
    <s v="500/1000"/>
    <n v="500"/>
    <x v="17"/>
    <n v="6000000"/>
    <x v="17"/>
    <x v="0"/>
    <x v="5"/>
    <x v="1"/>
    <x v="1"/>
    <s v="unmarried"/>
    <x v="10"/>
    <x v="0"/>
    <x v="10"/>
    <x v="0"/>
    <x v="0"/>
    <x v="2"/>
    <x v="0"/>
    <x v="4"/>
    <x v="5"/>
    <x v="17"/>
    <x v="10"/>
    <x v="0"/>
    <x v="2"/>
    <x v="1"/>
    <x v="0"/>
    <x v="0"/>
    <x v="17"/>
    <x v="17"/>
    <n v="7080"/>
    <x v="17"/>
    <s v="Suburu"/>
    <s v="Legacy"/>
    <n v="2015"/>
    <x v="1"/>
    <n v="0"/>
  </r>
  <r>
    <n v="160"/>
    <x v="7"/>
    <x v="18"/>
    <d v="2014-12-28T00:00:00"/>
    <x v="0"/>
    <s v="500/1000"/>
    <n v="500"/>
    <x v="18"/>
    <n v="0"/>
    <x v="18"/>
    <x v="1"/>
    <x v="0"/>
    <x v="0"/>
    <x v="12"/>
    <s v="other-relative"/>
    <x v="11"/>
    <x v="8"/>
    <x v="16"/>
    <x v="0"/>
    <x v="0"/>
    <x v="2"/>
    <x v="3"/>
    <x v="2"/>
    <x v="6"/>
    <x v="18"/>
    <x v="4"/>
    <x v="0"/>
    <x v="0"/>
    <x v="0"/>
    <x v="1"/>
    <x v="2"/>
    <x v="18"/>
    <x v="18"/>
    <n v="13260"/>
    <x v="18"/>
    <s v="Accura"/>
    <s v="TL"/>
    <n v="2015"/>
    <x v="1"/>
    <n v="0"/>
  </r>
  <r>
    <n v="196"/>
    <x v="5"/>
    <x v="19"/>
    <d v="1992-08-02T00:00:00"/>
    <x v="1"/>
    <s v="500/1000"/>
    <n v="2000"/>
    <x v="19"/>
    <n v="0"/>
    <x v="19"/>
    <x v="1"/>
    <x v="5"/>
    <x v="11"/>
    <x v="7"/>
    <s v="own-child"/>
    <x v="12"/>
    <x v="9"/>
    <x v="2"/>
    <x v="2"/>
    <x v="0"/>
    <x v="0"/>
    <x v="0"/>
    <x v="1"/>
    <x v="0"/>
    <x v="19"/>
    <x v="1"/>
    <x v="1"/>
    <x v="1"/>
    <x v="2"/>
    <x v="1"/>
    <x v="2"/>
    <x v="19"/>
    <x v="19"/>
    <n v="6040"/>
    <x v="19"/>
    <s v="Nissan"/>
    <s v="Pathfinder"/>
    <n v="2014"/>
    <x v="1"/>
    <n v="0"/>
  </r>
  <r>
    <n v="460"/>
    <x v="15"/>
    <x v="20"/>
    <d v="2002-06-25T00:00:00"/>
    <x v="1"/>
    <s v="250/500"/>
    <n v="1000"/>
    <x v="20"/>
    <n v="4000000"/>
    <x v="20"/>
    <x v="0"/>
    <x v="6"/>
    <x v="6"/>
    <x v="4"/>
    <s v="own-child"/>
    <x v="1"/>
    <x v="0"/>
    <x v="17"/>
    <x v="2"/>
    <x v="2"/>
    <x v="1"/>
    <x v="0"/>
    <x v="2"/>
    <x v="0"/>
    <x v="20"/>
    <x v="3"/>
    <x v="1"/>
    <x v="2"/>
    <x v="0"/>
    <x v="1"/>
    <x v="1"/>
    <x v="20"/>
    <x v="20"/>
    <n v="5240"/>
    <x v="20"/>
    <s v="Suburu"/>
    <s v="Impreza"/>
    <n v="2011"/>
    <x v="1"/>
    <n v="0"/>
  </r>
  <r>
    <n v="217"/>
    <x v="3"/>
    <x v="21"/>
    <d v="2005-11-27T00:00:00"/>
    <x v="2"/>
    <s v="500/1000"/>
    <n v="2000"/>
    <x v="21"/>
    <n v="0"/>
    <x v="21"/>
    <x v="1"/>
    <x v="2"/>
    <x v="1"/>
    <x v="9"/>
    <s v="own-child"/>
    <x v="13"/>
    <x v="0"/>
    <x v="18"/>
    <x v="2"/>
    <x v="0"/>
    <x v="2"/>
    <x v="0"/>
    <x v="0"/>
    <x v="2"/>
    <x v="21"/>
    <x v="12"/>
    <x v="1"/>
    <x v="1"/>
    <x v="0"/>
    <x v="0"/>
    <x v="1"/>
    <x v="21"/>
    <x v="20"/>
    <n v="4730"/>
    <x v="21"/>
    <s v="Accura"/>
    <s v="RSX"/>
    <n v="1996"/>
    <x v="1"/>
    <n v="0"/>
  </r>
  <r>
    <n v="370"/>
    <x v="16"/>
    <x v="22"/>
    <d v="1994-05-27T00:00:00"/>
    <x v="2"/>
    <s v="100/300"/>
    <n v="2000"/>
    <x v="11"/>
    <n v="0"/>
    <x v="22"/>
    <x v="0"/>
    <x v="5"/>
    <x v="5"/>
    <x v="13"/>
    <s v="other-relative"/>
    <x v="14"/>
    <x v="10"/>
    <x v="19"/>
    <x v="2"/>
    <x v="2"/>
    <x v="0"/>
    <x v="4"/>
    <x v="0"/>
    <x v="4"/>
    <x v="22"/>
    <x v="3"/>
    <x v="1"/>
    <x v="2"/>
    <x v="1"/>
    <x v="1"/>
    <x v="0"/>
    <x v="22"/>
    <x v="21"/>
    <n v="5960"/>
    <x v="22"/>
    <s v="Suburu"/>
    <s v="Forrestor"/>
    <n v="2000"/>
    <x v="0"/>
    <n v="1"/>
  </r>
  <r>
    <n v="413"/>
    <x v="16"/>
    <x v="23"/>
    <d v="1991-02-08T00:00:00"/>
    <x v="1"/>
    <s v="100/300"/>
    <n v="2000"/>
    <x v="22"/>
    <n v="0"/>
    <x v="23"/>
    <x v="0"/>
    <x v="0"/>
    <x v="7"/>
    <x v="14"/>
    <s v="own-child"/>
    <x v="1"/>
    <x v="11"/>
    <x v="16"/>
    <x v="0"/>
    <x v="3"/>
    <x v="2"/>
    <x v="4"/>
    <x v="4"/>
    <x v="5"/>
    <x v="23"/>
    <x v="12"/>
    <x v="0"/>
    <x v="1"/>
    <x v="2"/>
    <x v="0"/>
    <x v="1"/>
    <x v="23"/>
    <x v="22"/>
    <n v="16360"/>
    <x v="23"/>
    <s v="Dodge"/>
    <s v="RAM"/>
    <n v="2011"/>
    <x v="0"/>
    <n v="0"/>
  </r>
  <r>
    <n v="237"/>
    <x v="17"/>
    <x v="24"/>
    <d v="1996-02-02T00:00:00"/>
    <x v="1"/>
    <s v="100/300"/>
    <n v="1000"/>
    <x v="23"/>
    <n v="0"/>
    <x v="24"/>
    <x v="0"/>
    <x v="3"/>
    <x v="0"/>
    <x v="15"/>
    <s v="husband"/>
    <x v="15"/>
    <x v="12"/>
    <x v="20"/>
    <x v="0"/>
    <x v="2"/>
    <x v="1"/>
    <x v="3"/>
    <x v="1"/>
    <x v="1"/>
    <x v="24"/>
    <x v="13"/>
    <x v="0"/>
    <x v="2"/>
    <x v="0"/>
    <x v="2"/>
    <x v="2"/>
    <x v="17"/>
    <x v="23"/>
    <n v="14160"/>
    <x v="17"/>
    <s v="Ford"/>
    <s v="Escape"/>
    <n v="2005"/>
    <x v="1"/>
    <n v="1"/>
  </r>
  <r>
    <n v="257"/>
    <x v="18"/>
    <x v="25"/>
    <d v="1990-09-20T00:00:00"/>
    <x v="1"/>
    <s v="100/300"/>
    <n v="2000"/>
    <x v="24"/>
    <n v="0"/>
    <x v="25"/>
    <x v="0"/>
    <x v="5"/>
    <x v="5"/>
    <x v="6"/>
    <s v="own-child"/>
    <x v="1"/>
    <x v="13"/>
    <x v="21"/>
    <x v="3"/>
    <x v="1"/>
    <x v="1"/>
    <x v="0"/>
    <x v="7"/>
    <x v="2"/>
    <x v="25"/>
    <x v="14"/>
    <x v="0"/>
    <x v="0"/>
    <x v="0"/>
    <x v="2"/>
    <x v="0"/>
    <x v="24"/>
    <x v="24"/>
    <n v="820"/>
    <x v="24"/>
    <s v="Toyota"/>
    <s v="Camry"/>
    <n v="2005"/>
    <x v="1"/>
    <n v="0"/>
  </r>
  <r>
    <n v="202"/>
    <x v="6"/>
    <x v="26"/>
    <d v="2002-07-18T00:00:00"/>
    <x v="1"/>
    <s v="100/300"/>
    <n v="500"/>
    <x v="25"/>
    <n v="3000000"/>
    <x v="26"/>
    <x v="0"/>
    <x v="6"/>
    <x v="8"/>
    <x v="14"/>
    <s v="not-in-family"/>
    <x v="16"/>
    <x v="14"/>
    <x v="22"/>
    <x v="1"/>
    <x v="1"/>
    <x v="1"/>
    <x v="1"/>
    <x v="1"/>
    <x v="6"/>
    <x v="26"/>
    <x v="0"/>
    <x v="0"/>
    <x v="0"/>
    <x v="2"/>
    <x v="3"/>
    <x v="1"/>
    <x v="25"/>
    <x v="25"/>
    <n v="520"/>
    <x v="25"/>
    <s v="Suburu"/>
    <s v="Forrestor"/>
    <n v="2003"/>
    <x v="0"/>
    <n v="0"/>
  </r>
  <r>
    <n v="224"/>
    <x v="17"/>
    <x v="27"/>
    <d v="1990-02-08T00:00:00"/>
    <x v="0"/>
    <s v="100/300"/>
    <n v="2000"/>
    <x v="26"/>
    <n v="0"/>
    <x v="27"/>
    <x v="1"/>
    <x v="6"/>
    <x v="2"/>
    <x v="15"/>
    <s v="not-in-family"/>
    <x v="1"/>
    <x v="15"/>
    <x v="13"/>
    <x v="0"/>
    <x v="0"/>
    <x v="1"/>
    <x v="3"/>
    <x v="0"/>
    <x v="5"/>
    <x v="27"/>
    <x v="7"/>
    <x v="0"/>
    <x v="2"/>
    <x v="0"/>
    <x v="1"/>
    <x v="0"/>
    <x v="26"/>
    <x v="26"/>
    <n v="15520"/>
    <x v="26"/>
    <s v="Dodge"/>
    <s v="Neon"/>
    <n v="2009"/>
    <x v="1"/>
    <n v="0"/>
  </r>
  <r>
    <n v="241"/>
    <x v="19"/>
    <x v="28"/>
    <d v="2014-03-04T00:00:00"/>
    <x v="2"/>
    <s v="500/1000"/>
    <n v="2000"/>
    <x v="27"/>
    <n v="0"/>
    <x v="28"/>
    <x v="1"/>
    <x v="1"/>
    <x v="1"/>
    <x v="16"/>
    <s v="unmarried"/>
    <x v="1"/>
    <x v="0"/>
    <x v="11"/>
    <x v="0"/>
    <x v="2"/>
    <x v="1"/>
    <x v="0"/>
    <x v="0"/>
    <x v="6"/>
    <x v="28"/>
    <x v="0"/>
    <x v="0"/>
    <x v="2"/>
    <x v="2"/>
    <x v="0"/>
    <x v="2"/>
    <x v="27"/>
    <x v="27"/>
    <n v="14100"/>
    <x v="27"/>
    <s v="Accura"/>
    <s v="TL"/>
    <n v="2011"/>
    <x v="1"/>
    <n v="0"/>
  </r>
  <r>
    <n v="64"/>
    <x v="20"/>
    <x v="29"/>
    <d v="2000-02-18T00:00:00"/>
    <x v="2"/>
    <s v="250/500"/>
    <n v="1000"/>
    <x v="28"/>
    <n v="0"/>
    <x v="29"/>
    <x v="0"/>
    <x v="4"/>
    <x v="5"/>
    <x v="17"/>
    <s v="husband"/>
    <x v="17"/>
    <x v="0"/>
    <x v="23"/>
    <x v="2"/>
    <x v="0"/>
    <x v="0"/>
    <x v="4"/>
    <x v="0"/>
    <x v="0"/>
    <x v="29"/>
    <x v="9"/>
    <x v="2"/>
    <x v="2"/>
    <x v="1"/>
    <x v="1"/>
    <x v="1"/>
    <x v="28"/>
    <x v="28"/>
    <n v="12600"/>
    <x v="28"/>
    <s v="Toyota"/>
    <s v="Corolla"/>
    <n v="2005"/>
    <x v="1"/>
    <n v="0"/>
  </r>
  <r>
    <n v="166"/>
    <x v="7"/>
    <x v="30"/>
    <d v="2008-06-19T00:00:00"/>
    <x v="2"/>
    <s v="100/300"/>
    <n v="2000"/>
    <x v="29"/>
    <n v="8000000"/>
    <x v="30"/>
    <x v="0"/>
    <x v="6"/>
    <x v="0"/>
    <x v="1"/>
    <s v="husband"/>
    <x v="18"/>
    <x v="0"/>
    <x v="24"/>
    <x v="2"/>
    <x v="0"/>
    <x v="0"/>
    <x v="0"/>
    <x v="4"/>
    <x v="1"/>
    <x v="30"/>
    <x v="15"/>
    <x v="1"/>
    <x v="2"/>
    <x v="2"/>
    <x v="0"/>
    <x v="1"/>
    <x v="29"/>
    <x v="29"/>
    <n v="7460"/>
    <x v="29"/>
    <s v="Ford"/>
    <s v="F150"/>
    <n v="2006"/>
    <x v="0"/>
    <n v="0"/>
  </r>
  <r>
    <n v="155"/>
    <x v="21"/>
    <x v="31"/>
    <d v="2003-08-01T00:00:00"/>
    <x v="2"/>
    <s v="500/1000"/>
    <n v="1000"/>
    <x v="30"/>
    <n v="0"/>
    <x v="31"/>
    <x v="1"/>
    <x v="2"/>
    <x v="12"/>
    <x v="12"/>
    <s v="other-relative"/>
    <x v="19"/>
    <x v="0"/>
    <x v="20"/>
    <x v="2"/>
    <x v="3"/>
    <x v="2"/>
    <x v="0"/>
    <x v="2"/>
    <x v="2"/>
    <x v="31"/>
    <x v="16"/>
    <x v="1"/>
    <x v="0"/>
    <x v="2"/>
    <x v="2"/>
    <x v="2"/>
    <x v="30"/>
    <x v="30"/>
    <n v="3310"/>
    <x v="30"/>
    <s v="BMW"/>
    <s v="3 Series"/>
    <n v="2008"/>
    <x v="1"/>
    <n v="0"/>
  </r>
  <r>
    <n v="114"/>
    <x v="22"/>
    <x v="32"/>
    <d v="1992-04-04T00:00:00"/>
    <x v="2"/>
    <s v="100/300"/>
    <n v="1000"/>
    <x v="31"/>
    <n v="0"/>
    <x v="32"/>
    <x v="0"/>
    <x v="5"/>
    <x v="13"/>
    <x v="17"/>
    <s v="wife"/>
    <x v="20"/>
    <x v="16"/>
    <x v="25"/>
    <x v="2"/>
    <x v="3"/>
    <x v="0"/>
    <x v="4"/>
    <x v="2"/>
    <x v="4"/>
    <x v="32"/>
    <x v="17"/>
    <x v="1"/>
    <x v="2"/>
    <x v="0"/>
    <x v="0"/>
    <x v="1"/>
    <x v="31"/>
    <x v="31"/>
    <n v="14020"/>
    <x v="31"/>
    <s v="Suburu"/>
    <s v="Impreza"/>
    <n v="2015"/>
    <x v="1"/>
    <n v="0"/>
  </r>
  <r>
    <n v="149"/>
    <x v="7"/>
    <x v="33"/>
    <d v="1991-01-13T00:00:00"/>
    <x v="2"/>
    <s v="500/1000"/>
    <n v="500"/>
    <x v="32"/>
    <n v="0"/>
    <x v="33"/>
    <x v="0"/>
    <x v="1"/>
    <x v="5"/>
    <x v="12"/>
    <s v="own-child"/>
    <x v="1"/>
    <x v="0"/>
    <x v="26"/>
    <x v="0"/>
    <x v="0"/>
    <x v="2"/>
    <x v="2"/>
    <x v="4"/>
    <x v="4"/>
    <x v="33"/>
    <x v="18"/>
    <x v="0"/>
    <x v="0"/>
    <x v="1"/>
    <x v="3"/>
    <x v="0"/>
    <x v="32"/>
    <x v="32"/>
    <n v="5400"/>
    <x v="32"/>
    <s v="Audi"/>
    <s v="A3"/>
    <n v="1999"/>
    <x v="1"/>
    <n v="0"/>
  </r>
  <r>
    <n v="147"/>
    <x v="8"/>
    <x v="34"/>
    <d v="2010-08-08T00:00:00"/>
    <x v="0"/>
    <s v="100/300"/>
    <n v="1000"/>
    <x v="33"/>
    <n v="6000000"/>
    <x v="34"/>
    <x v="0"/>
    <x v="5"/>
    <x v="0"/>
    <x v="1"/>
    <s v="not-in-family"/>
    <x v="0"/>
    <x v="17"/>
    <x v="27"/>
    <x v="0"/>
    <x v="3"/>
    <x v="0"/>
    <x v="3"/>
    <x v="4"/>
    <x v="3"/>
    <x v="34"/>
    <x v="12"/>
    <x v="0"/>
    <x v="0"/>
    <x v="2"/>
    <x v="1"/>
    <x v="0"/>
    <x v="33"/>
    <x v="33"/>
    <n v="5310"/>
    <x v="33"/>
    <s v="Mercedes"/>
    <s v="C300"/>
    <n v="1995"/>
    <x v="0"/>
    <n v="0"/>
  </r>
  <r>
    <n v="62"/>
    <x v="23"/>
    <x v="35"/>
    <d v="2003-03-09T00:00:00"/>
    <x v="2"/>
    <s v="100/300"/>
    <n v="1000"/>
    <x v="34"/>
    <n v="0"/>
    <x v="35"/>
    <x v="1"/>
    <x v="4"/>
    <x v="9"/>
    <x v="7"/>
    <s v="unmarried"/>
    <x v="1"/>
    <x v="0"/>
    <x v="25"/>
    <x v="0"/>
    <x v="2"/>
    <x v="2"/>
    <x v="0"/>
    <x v="2"/>
    <x v="6"/>
    <x v="35"/>
    <x v="19"/>
    <x v="0"/>
    <x v="1"/>
    <x v="0"/>
    <x v="3"/>
    <x v="0"/>
    <x v="34"/>
    <x v="34"/>
    <n v="6020"/>
    <x v="34"/>
    <s v="Suburu"/>
    <s v="Forrestor"/>
    <n v="2004"/>
    <x v="0"/>
    <n v="0"/>
  </r>
  <r>
    <n v="289"/>
    <x v="24"/>
    <x v="36"/>
    <d v="1993-02-03T00:00:00"/>
    <x v="2"/>
    <s v="500/1000"/>
    <n v="2000"/>
    <x v="35"/>
    <n v="0"/>
    <x v="36"/>
    <x v="1"/>
    <x v="6"/>
    <x v="7"/>
    <x v="6"/>
    <s v="unmarried"/>
    <x v="1"/>
    <x v="0"/>
    <x v="23"/>
    <x v="3"/>
    <x v="1"/>
    <x v="1"/>
    <x v="1"/>
    <x v="4"/>
    <x v="2"/>
    <x v="36"/>
    <x v="16"/>
    <x v="0"/>
    <x v="2"/>
    <x v="0"/>
    <x v="3"/>
    <x v="0"/>
    <x v="35"/>
    <x v="35"/>
    <n v="820"/>
    <x v="35"/>
    <s v="Suburu"/>
    <s v="Legacy"/>
    <n v="2001"/>
    <x v="1"/>
    <n v="0"/>
  </r>
  <r>
    <n v="431"/>
    <x v="25"/>
    <x v="37"/>
    <d v="2002-11-25T00:00:00"/>
    <x v="1"/>
    <s v="500/1000"/>
    <n v="2000"/>
    <x v="36"/>
    <n v="0"/>
    <x v="37"/>
    <x v="1"/>
    <x v="0"/>
    <x v="0"/>
    <x v="4"/>
    <s v="unmarried"/>
    <x v="21"/>
    <x v="0"/>
    <x v="1"/>
    <x v="2"/>
    <x v="2"/>
    <x v="0"/>
    <x v="0"/>
    <x v="2"/>
    <x v="4"/>
    <x v="37"/>
    <x v="14"/>
    <x v="1"/>
    <x v="1"/>
    <x v="2"/>
    <x v="1"/>
    <x v="1"/>
    <x v="36"/>
    <x v="36"/>
    <n v="6230"/>
    <x v="36"/>
    <s v="Jeep"/>
    <s v="Wrangler"/>
    <n v="2007"/>
    <x v="1"/>
    <n v="0"/>
  </r>
  <r>
    <n v="199"/>
    <x v="7"/>
    <x v="38"/>
    <d v="1997-07-27T00:00:00"/>
    <x v="1"/>
    <s v="250/500"/>
    <n v="500"/>
    <x v="37"/>
    <n v="0"/>
    <x v="38"/>
    <x v="0"/>
    <x v="6"/>
    <x v="4"/>
    <x v="17"/>
    <s v="wife"/>
    <x v="22"/>
    <x v="0"/>
    <x v="13"/>
    <x v="0"/>
    <x v="3"/>
    <x v="0"/>
    <x v="4"/>
    <x v="5"/>
    <x v="0"/>
    <x v="38"/>
    <x v="14"/>
    <x v="0"/>
    <x v="1"/>
    <x v="1"/>
    <x v="2"/>
    <x v="2"/>
    <x v="37"/>
    <x v="37"/>
    <n v="10940"/>
    <x v="37"/>
    <s v="Nissan"/>
    <s v="Pathfinder"/>
    <n v="2011"/>
    <x v="0"/>
    <n v="0"/>
  </r>
  <r>
    <n v="79"/>
    <x v="13"/>
    <x v="39"/>
    <d v="1995-05-08T00:00:00"/>
    <x v="2"/>
    <s v="100/300"/>
    <n v="500"/>
    <x v="38"/>
    <n v="0"/>
    <x v="39"/>
    <x v="0"/>
    <x v="2"/>
    <x v="4"/>
    <x v="15"/>
    <s v="not-in-family"/>
    <x v="1"/>
    <x v="18"/>
    <x v="28"/>
    <x v="0"/>
    <x v="2"/>
    <x v="1"/>
    <x v="4"/>
    <x v="4"/>
    <x v="0"/>
    <x v="39"/>
    <x v="4"/>
    <x v="0"/>
    <x v="2"/>
    <x v="2"/>
    <x v="0"/>
    <x v="1"/>
    <x v="38"/>
    <x v="38"/>
    <n v="4000"/>
    <x v="38"/>
    <s v="BMW"/>
    <s v="M5"/>
    <n v="2010"/>
    <x v="1"/>
    <n v="0"/>
  </r>
  <r>
    <n v="116"/>
    <x v="6"/>
    <x v="40"/>
    <d v="2012-08-30T00:00:00"/>
    <x v="1"/>
    <s v="250/500"/>
    <n v="500"/>
    <x v="39"/>
    <n v="0"/>
    <x v="40"/>
    <x v="0"/>
    <x v="2"/>
    <x v="10"/>
    <x v="14"/>
    <s v="unmarried"/>
    <x v="1"/>
    <x v="19"/>
    <x v="17"/>
    <x v="0"/>
    <x v="0"/>
    <x v="0"/>
    <x v="0"/>
    <x v="4"/>
    <x v="6"/>
    <x v="40"/>
    <x v="17"/>
    <x v="0"/>
    <x v="1"/>
    <x v="0"/>
    <x v="3"/>
    <x v="1"/>
    <x v="39"/>
    <x v="39"/>
    <n v="16180"/>
    <x v="39"/>
    <s v="BMW"/>
    <s v="X5"/>
    <n v="2001"/>
    <x v="0"/>
    <n v="0"/>
  </r>
  <r>
    <n v="37"/>
    <x v="11"/>
    <x v="41"/>
    <d v="2006-04-30T00:00:00"/>
    <x v="2"/>
    <s v="500/1000"/>
    <n v="500"/>
    <x v="40"/>
    <n v="0"/>
    <x v="41"/>
    <x v="1"/>
    <x v="3"/>
    <x v="5"/>
    <x v="11"/>
    <s v="husband"/>
    <x v="1"/>
    <x v="20"/>
    <x v="29"/>
    <x v="2"/>
    <x v="0"/>
    <x v="1"/>
    <x v="3"/>
    <x v="0"/>
    <x v="3"/>
    <x v="41"/>
    <x v="18"/>
    <x v="1"/>
    <x v="0"/>
    <x v="0"/>
    <x v="1"/>
    <x v="2"/>
    <x v="40"/>
    <x v="40"/>
    <n v="5740"/>
    <x v="40"/>
    <s v="Dodge"/>
    <s v="RAM"/>
    <n v="2010"/>
    <x v="1"/>
    <n v="0"/>
  </r>
  <r>
    <n v="106"/>
    <x v="22"/>
    <x v="42"/>
    <d v="2003-04-13T00:00:00"/>
    <x v="0"/>
    <s v="250/500"/>
    <n v="500"/>
    <x v="41"/>
    <n v="0"/>
    <x v="42"/>
    <x v="1"/>
    <x v="1"/>
    <x v="10"/>
    <x v="1"/>
    <s v="own-child"/>
    <x v="23"/>
    <x v="21"/>
    <x v="18"/>
    <x v="0"/>
    <x v="2"/>
    <x v="2"/>
    <x v="3"/>
    <x v="5"/>
    <x v="2"/>
    <x v="42"/>
    <x v="6"/>
    <x v="0"/>
    <x v="2"/>
    <x v="2"/>
    <x v="0"/>
    <x v="2"/>
    <x v="41"/>
    <x v="41"/>
    <n v="5680"/>
    <x v="41"/>
    <s v="Mercedes"/>
    <s v="E400"/>
    <n v="2005"/>
    <x v="1"/>
    <n v="0"/>
  </r>
  <r>
    <n v="269"/>
    <x v="4"/>
    <x v="43"/>
    <d v="2007-12-05T00:00:00"/>
    <x v="2"/>
    <s v="100/300"/>
    <n v="2000"/>
    <x v="42"/>
    <n v="0"/>
    <x v="43"/>
    <x v="0"/>
    <x v="6"/>
    <x v="7"/>
    <x v="1"/>
    <s v="unmarried"/>
    <x v="24"/>
    <x v="22"/>
    <x v="30"/>
    <x v="0"/>
    <x v="3"/>
    <x v="1"/>
    <x v="3"/>
    <x v="0"/>
    <x v="3"/>
    <x v="43"/>
    <x v="8"/>
    <x v="0"/>
    <x v="0"/>
    <x v="1"/>
    <x v="0"/>
    <x v="1"/>
    <x v="42"/>
    <x v="42"/>
    <n v="11280"/>
    <x v="42"/>
    <s v="Toyota"/>
    <s v="Highlander"/>
    <n v="2014"/>
    <x v="1"/>
    <n v="0"/>
  </r>
  <r>
    <n v="265"/>
    <x v="17"/>
    <x v="44"/>
    <d v="2006-08-21T00:00:00"/>
    <x v="2"/>
    <s v="250/500"/>
    <n v="1000"/>
    <x v="43"/>
    <n v="0"/>
    <x v="44"/>
    <x v="1"/>
    <x v="0"/>
    <x v="9"/>
    <x v="12"/>
    <s v="husband"/>
    <x v="1"/>
    <x v="0"/>
    <x v="31"/>
    <x v="2"/>
    <x v="2"/>
    <x v="2"/>
    <x v="3"/>
    <x v="2"/>
    <x v="2"/>
    <x v="44"/>
    <x v="18"/>
    <x v="1"/>
    <x v="2"/>
    <x v="2"/>
    <x v="2"/>
    <x v="1"/>
    <x v="43"/>
    <x v="43"/>
    <n v="0"/>
    <x v="43"/>
    <s v="Accura"/>
    <s v="MDX"/>
    <n v="2002"/>
    <x v="1"/>
    <n v="0"/>
  </r>
  <r>
    <n v="163"/>
    <x v="8"/>
    <x v="45"/>
    <d v="1990-01-08T00:00:00"/>
    <x v="1"/>
    <s v="100/300"/>
    <n v="500"/>
    <x v="44"/>
    <n v="0"/>
    <x v="45"/>
    <x v="1"/>
    <x v="2"/>
    <x v="6"/>
    <x v="18"/>
    <s v="husband"/>
    <x v="25"/>
    <x v="0"/>
    <x v="32"/>
    <x v="2"/>
    <x v="2"/>
    <x v="2"/>
    <x v="2"/>
    <x v="5"/>
    <x v="5"/>
    <x v="45"/>
    <x v="20"/>
    <x v="1"/>
    <x v="0"/>
    <x v="0"/>
    <x v="3"/>
    <x v="1"/>
    <x v="31"/>
    <x v="20"/>
    <n v="14020"/>
    <x v="44"/>
    <s v="Honda"/>
    <s v="Civic"/>
    <n v="2014"/>
    <x v="1"/>
    <n v="0"/>
  </r>
  <r>
    <n v="355"/>
    <x v="26"/>
    <x v="46"/>
    <d v="1990-03-18T00:00:00"/>
    <x v="0"/>
    <s v="500/1000"/>
    <n v="2000"/>
    <x v="45"/>
    <n v="4000000"/>
    <x v="46"/>
    <x v="0"/>
    <x v="3"/>
    <x v="6"/>
    <x v="15"/>
    <s v="husband"/>
    <x v="1"/>
    <x v="0"/>
    <x v="3"/>
    <x v="2"/>
    <x v="3"/>
    <x v="0"/>
    <x v="2"/>
    <x v="4"/>
    <x v="2"/>
    <x v="46"/>
    <x v="4"/>
    <x v="1"/>
    <x v="2"/>
    <x v="2"/>
    <x v="3"/>
    <x v="2"/>
    <x v="44"/>
    <x v="44"/>
    <n v="6280"/>
    <x v="45"/>
    <s v="Audi"/>
    <s v="A3"/>
    <n v="2003"/>
    <x v="0"/>
    <n v="0"/>
  </r>
  <r>
    <n v="175"/>
    <x v="6"/>
    <x v="47"/>
    <d v="2008-01-07T00:00:00"/>
    <x v="1"/>
    <s v="500/1000"/>
    <n v="1000"/>
    <x v="46"/>
    <n v="8000000"/>
    <x v="47"/>
    <x v="1"/>
    <x v="1"/>
    <x v="9"/>
    <x v="8"/>
    <s v="other-relative"/>
    <x v="1"/>
    <x v="0"/>
    <x v="33"/>
    <x v="1"/>
    <x v="1"/>
    <x v="3"/>
    <x v="0"/>
    <x v="2"/>
    <x v="2"/>
    <x v="47"/>
    <x v="0"/>
    <x v="0"/>
    <x v="1"/>
    <x v="2"/>
    <x v="1"/>
    <x v="0"/>
    <x v="45"/>
    <x v="45"/>
    <n v="810"/>
    <x v="46"/>
    <s v="Volkswagen"/>
    <s v="Passat"/>
    <n v="1995"/>
    <x v="1"/>
    <n v="0"/>
  </r>
  <r>
    <n v="192"/>
    <x v="21"/>
    <x v="48"/>
    <d v="1997-03-10T00:00:00"/>
    <x v="2"/>
    <s v="100/300"/>
    <n v="1000"/>
    <x v="47"/>
    <n v="0"/>
    <x v="48"/>
    <x v="1"/>
    <x v="4"/>
    <x v="8"/>
    <x v="10"/>
    <s v="wife"/>
    <x v="1"/>
    <x v="23"/>
    <x v="17"/>
    <x v="0"/>
    <x v="2"/>
    <x v="2"/>
    <x v="3"/>
    <x v="4"/>
    <x v="3"/>
    <x v="48"/>
    <x v="4"/>
    <x v="0"/>
    <x v="2"/>
    <x v="1"/>
    <x v="1"/>
    <x v="1"/>
    <x v="46"/>
    <x v="46"/>
    <n v="7660"/>
    <x v="47"/>
    <s v="Mercedes"/>
    <s v="C300"/>
    <n v="2000"/>
    <x v="1"/>
    <n v="0"/>
  </r>
  <r>
    <n v="430"/>
    <x v="27"/>
    <x v="49"/>
    <d v="2004-01-10T00:00:00"/>
    <x v="0"/>
    <s v="250/500"/>
    <n v="2000"/>
    <x v="48"/>
    <n v="7000000"/>
    <x v="49"/>
    <x v="0"/>
    <x v="0"/>
    <x v="6"/>
    <x v="4"/>
    <s v="own-child"/>
    <x v="1"/>
    <x v="0"/>
    <x v="28"/>
    <x v="2"/>
    <x v="3"/>
    <x v="1"/>
    <x v="2"/>
    <x v="2"/>
    <x v="1"/>
    <x v="49"/>
    <x v="4"/>
    <x v="1"/>
    <x v="1"/>
    <x v="1"/>
    <x v="2"/>
    <x v="0"/>
    <x v="47"/>
    <x v="47"/>
    <n v="8180"/>
    <x v="48"/>
    <s v="Nissan"/>
    <s v="Pathfinder"/>
    <n v="1998"/>
    <x v="1"/>
    <n v="0"/>
  </r>
  <r>
    <n v="91"/>
    <x v="28"/>
    <x v="50"/>
    <d v="1994-08-20T00:00:00"/>
    <x v="2"/>
    <s v="100/300"/>
    <n v="2000"/>
    <x v="49"/>
    <n v="0"/>
    <x v="50"/>
    <x v="1"/>
    <x v="6"/>
    <x v="13"/>
    <x v="18"/>
    <s v="husband"/>
    <x v="1"/>
    <x v="0"/>
    <x v="34"/>
    <x v="1"/>
    <x v="1"/>
    <x v="3"/>
    <x v="1"/>
    <x v="2"/>
    <x v="2"/>
    <x v="50"/>
    <x v="14"/>
    <x v="0"/>
    <x v="1"/>
    <x v="0"/>
    <x v="0"/>
    <x v="1"/>
    <x v="48"/>
    <x v="48"/>
    <n v="660"/>
    <x v="49"/>
    <s v="BMW"/>
    <s v="M5"/>
    <n v="2008"/>
    <x v="1"/>
    <n v="0"/>
  </r>
  <r>
    <n v="217"/>
    <x v="5"/>
    <x v="51"/>
    <d v="2002-06-02T00:00:00"/>
    <x v="1"/>
    <s v="100/300"/>
    <n v="1000"/>
    <x v="50"/>
    <n v="0"/>
    <x v="51"/>
    <x v="0"/>
    <x v="3"/>
    <x v="3"/>
    <x v="16"/>
    <s v="not-in-family"/>
    <x v="1"/>
    <x v="0"/>
    <x v="2"/>
    <x v="1"/>
    <x v="1"/>
    <x v="1"/>
    <x v="1"/>
    <x v="4"/>
    <x v="5"/>
    <x v="51"/>
    <x v="1"/>
    <x v="0"/>
    <x v="1"/>
    <x v="2"/>
    <x v="3"/>
    <x v="0"/>
    <x v="49"/>
    <x v="49"/>
    <n v="430"/>
    <x v="50"/>
    <s v="Toyota"/>
    <s v="Corolla"/>
    <n v="2000"/>
    <x v="1"/>
    <n v="0"/>
  </r>
  <r>
    <n v="223"/>
    <x v="17"/>
    <x v="52"/>
    <d v="1994-04-28T00:00:00"/>
    <x v="1"/>
    <s v="100/300"/>
    <n v="500"/>
    <x v="51"/>
    <n v="0"/>
    <x v="52"/>
    <x v="1"/>
    <x v="6"/>
    <x v="7"/>
    <x v="10"/>
    <s v="husband"/>
    <x v="26"/>
    <x v="24"/>
    <x v="35"/>
    <x v="2"/>
    <x v="0"/>
    <x v="0"/>
    <x v="0"/>
    <x v="5"/>
    <x v="0"/>
    <x v="52"/>
    <x v="2"/>
    <x v="1"/>
    <x v="0"/>
    <x v="0"/>
    <x v="1"/>
    <x v="1"/>
    <x v="50"/>
    <x v="50"/>
    <n v="12820"/>
    <x v="51"/>
    <s v="Suburu"/>
    <s v="Forrestor"/>
    <n v="1999"/>
    <x v="1"/>
    <n v="0"/>
  </r>
  <r>
    <n v="195"/>
    <x v="5"/>
    <x v="53"/>
    <d v="2014-08-17T00:00:00"/>
    <x v="0"/>
    <s v="250/500"/>
    <n v="1000"/>
    <x v="52"/>
    <n v="0"/>
    <x v="53"/>
    <x v="0"/>
    <x v="1"/>
    <x v="1"/>
    <x v="10"/>
    <s v="not-in-family"/>
    <x v="27"/>
    <x v="25"/>
    <x v="7"/>
    <x v="3"/>
    <x v="1"/>
    <x v="1"/>
    <x v="0"/>
    <x v="1"/>
    <x v="5"/>
    <x v="53"/>
    <x v="0"/>
    <x v="0"/>
    <x v="2"/>
    <x v="1"/>
    <x v="3"/>
    <x v="0"/>
    <x v="51"/>
    <x v="51"/>
    <n v="480"/>
    <x v="52"/>
    <s v="Ford"/>
    <s v="F150"/>
    <n v="2009"/>
    <x v="1"/>
    <n v="0"/>
  </r>
  <r>
    <n v="22"/>
    <x v="13"/>
    <x v="54"/>
    <d v="2007-08-11T00:00:00"/>
    <x v="0"/>
    <s v="100/300"/>
    <n v="1000"/>
    <x v="53"/>
    <n v="0"/>
    <x v="54"/>
    <x v="0"/>
    <x v="1"/>
    <x v="0"/>
    <x v="9"/>
    <s v="not-in-family"/>
    <x v="28"/>
    <x v="0"/>
    <x v="10"/>
    <x v="0"/>
    <x v="2"/>
    <x v="1"/>
    <x v="2"/>
    <x v="2"/>
    <x v="2"/>
    <x v="54"/>
    <x v="19"/>
    <x v="0"/>
    <x v="0"/>
    <x v="0"/>
    <x v="0"/>
    <x v="2"/>
    <x v="52"/>
    <x v="52"/>
    <n v="7890"/>
    <x v="53"/>
    <s v="Chevrolet"/>
    <s v="Silverado"/>
    <n v="1995"/>
    <x v="1"/>
    <n v="0"/>
  </r>
  <r>
    <n v="439"/>
    <x v="29"/>
    <x v="55"/>
    <d v="2008-11-20T00:00:00"/>
    <x v="1"/>
    <s v="250/500"/>
    <n v="500"/>
    <x v="54"/>
    <n v="0"/>
    <x v="55"/>
    <x v="1"/>
    <x v="1"/>
    <x v="5"/>
    <x v="14"/>
    <s v="unmarried"/>
    <x v="29"/>
    <x v="26"/>
    <x v="24"/>
    <x v="2"/>
    <x v="3"/>
    <x v="0"/>
    <x v="2"/>
    <x v="0"/>
    <x v="0"/>
    <x v="55"/>
    <x v="11"/>
    <x v="1"/>
    <x v="1"/>
    <x v="2"/>
    <x v="2"/>
    <x v="1"/>
    <x v="53"/>
    <x v="20"/>
    <n v="6270"/>
    <x v="54"/>
    <s v="Honda"/>
    <s v="CRV"/>
    <n v="2014"/>
    <x v="1"/>
    <n v="0"/>
  </r>
  <r>
    <n v="94"/>
    <x v="30"/>
    <x v="56"/>
    <d v="1995-10-18T00:00:00"/>
    <x v="1"/>
    <s v="500/1000"/>
    <n v="1000"/>
    <x v="55"/>
    <n v="0"/>
    <x v="56"/>
    <x v="1"/>
    <x v="4"/>
    <x v="12"/>
    <x v="11"/>
    <s v="own-child"/>
    <x v="1"/>
    <x v="0"/>
    <x v="2"/>
    <x v="3"/>
    <x v="1"/>
    <x v="1"/>
    <x v="1"/>
    <x v="1"/>
    <x v="1"/>
    <x v="56"/>
    <x v="4"/>
    <x v="0"/>
    <x v="2"/>
    <x v="0"/>
    <x v="2"/>
    <x v="2"/>
    <x v="54"/>
    <x v="53"/>
    <n v="300"/>
    <x v="55"/>
    <s v="Chevrolet"/>
    <s v="Silverado"/>
    <n v="2014"/>
    <x v="1"/>
    <n v="0"/>
  </r>
  <r>
    <n v="11"/>
    <x v="5"/>
    <x v="57"/>
    <d v="1993-05-19T00:00:00"/>
    <x v="2"/>
    <s v="250/500"/>
    <n v="2000"/>
    <x v="56"/>
    <n v="0"/>
    <x v="57"/>
    <x v="0"/>
    <x v="1"/>
    <x v="6"/>
    <x v="12"/>
    <s v="husband"/>
    <x v="30"/>
    <x v="27"/>
    <x v="22"/>
    <x v="0"/>
    <x v="3"/>
    <x v="2"/>
    <x v="4"/>
    <x v="4"/>
    <x v="1"/>
    <x v="57"/>
    <x v="9"/>
    <x v="0"/>
    <x v="0"/>
    <x v="1"/>
    <x v="3"/>
    <x v="2"/>
    <x v="55"/>
    <x v="54"/>
    <n v="7310"/>
    <x v="56"/>
    <s v="Saab"/>
    <n v="93"/>
    <n v="2007"/>
    <x v="1"/>
    <n v="0"/>
  </r>
  <r>
    <n v="151"/>
    <x v="31"/>
    <x v="58"/>
    <d v="2005-02-26T00:00:00"/>
    <x v="0"/>
    <s v="250/500"/>
    <n v="2000"/>
    <x v="57"/>
    <n v="0"/>
    <x v="58"/>
    <x v="1"/>
    <x v="0"/>
    <x v="12"/>
    <x v="15"/>
    <s v="own-child"/>
    <x v="31"/>
    <x v="28"/>
    <x v="10"/>
    <x v="2"/>
    <x v="0"/>
    <x v="1"/>
    <x v="0"/>
    <x v="1"/>
    <x v="4"/>
    <x v="58"/>
    <x v="11"/>
    <x v="1"/>
    <x v="2"/>
    <x v="0"/>
    <x v="3"/>
    <x v="2"/>
    <x v="56"/>
    <x v="55"/>
    <n v="5720"/>
    <x v="57"/>
    <s v="Ford"/>
    <s v="Escape"/>
    <n v="2000"/>
    <x v="1"/>
    <n v="0"/>
  </r>
  <r>
    <n v="154"/>
    <x v="6"/>
    <x v="59"/>
    <d v="1990-02-14T00:00:00"/>
    <x v="1"/>
    <s v="100/300"/>
    <n v="500"/>
    <x v="58"/>
    <n v="0"/>
    <x v="59"/>
    <x v="0"/>
    <x v="1"/>
    <x v="1"/>
    <x v="5"/>
    <s v="other-relative"/>
    <x v="32"/>
    <x v="0"/>
    <x v="3"/>
    <x v="2"/>
    <x v="2"/>
    <x v="0"/>
    <x v="0"/>
    <x v="2"/>
    <x v="3"/>
    <x v="59"/>
    <x v="12"/>
    <x v="1"/>
    <x v="0"/>
    <x v="2"/>
    <x v="3"/>
    <x v="1"/>
    <x v="57"/>
    <x v="56"/>
    <n v="0"/>
    <x v="58"/>
    <s v="Nissan"/>
    <s v="Maxima"/>
    <n v="2014"/>
    <x v="0"/>
    <n v="0"/>
  </r>
  <r>
    <n v="245"/>
    <x v="4"/>
    <x v="60"/>
    <d v="1993-09-30T00:00:00"/>
    <x v="2"/>
    <s v="500/1000"/>
    <n v="1000"/>
    <x v="59"/>
    <n v="0"/>
    <x v="60"/>
    <x v="0"/>
    <x v="6"/>
    <x v="11"/>
    <x v="16"/>
    <s v="husband"/>
    <x v="33"/>
    <x v="0"/>
    <x v="36"/>
    <x v="2"/>
    <x v="0"/>
    <x v="2"/>
    <x v="3"/>
    <x v="3"/>
    <x v="3"/>
    <x v="60"/>
    <x v="6"/>
    <x v="1"/>
    <x v="2"/>
    <x v="1"/>
    <x v="2"/>
    <x v="2"/>
    <x v="58"/>
    <x v="57"/>
    <n v="3690"/>
    <x v="59"/>
    <s v="Honda"/>
    <s v="Accord"/>
    <n v="1997"/>
    <x v="1"/>
    <n v="0"/>
  </r>
  <r>
    <n v="119"/>
    <x v="30"/>
    <x v="61"/>
    <d v="2014-06-10T00:00:00"/>
    <x v="2"/>
    <s v="500/1000"/>
    <n v="1000"/>
    <x v="60"/>
    <n v="0"/>
    <x v="61"/>
    <x v="0"/>
    <x v="5"/>
    <x v="3"/>
    <x v="4"/>
    <s v="unmarried"/>
    <x v="1"/>
    <x v="29"/>
    <x v="37"/>
    <x v="0"/>
    <x v="0"/>
    <x v="1"/>
    <x v="3"/>
    <x v="4"/>
    <x v="4"/>
    <x v="61"/>
    <x v="11"/>
    <x v="0"/>
    <x v="2"/>
    <x v="1"/>
    <x v="2"/>
    <x v="0"/>
    <x v="59"/>
    <x v="58"/>
    <n v="11260"/>
    <x v="60"/>
    <s v="BMW"/>
    <s v="M5"/>
    <n v="2011"/>
    <x v="1"/>
    <n v="0"/>
  </r>
  <r>
    <n v="215"/>
    <x v="1"/>
    <x v="62"/>
    <d v="2008-10-28T00:00:00"/>
    <x v="0"/>
    <s v="500/1000"/>
    <n v="500"/>
    <x v="61"/>
    <n v="0"/>
    <x v="62"/>
    <x v="0"/>
    <x v="6"/>
    <x v="10"/>
    <x v="17"/>
    <s v="own-child"/>
    <x v="1"/>
    <x v="30"/>
    <x v="38"/>
    <x v="2"/>
    <x v="3"/>
    <x v="0"/>
    <x v="2"/>
    <x v="4"/>
    <x v="5"/>
    <x v="62"/>
    <x v="3"/>
    <x v="1"/>
    <x v="0"/>
    <x v="2"/>
    <x v="0"/>
    <x v="0"/>
    <x v="60"/>
    <x v="59"/>
    <n v="5710"/>
    <x v="61"/>
    <s v="Suburu"/>
    <s v="Legacy"/>
    <n v="2003"/>
    <x v="0"/>
    <n v="0"/>
  </r>
  <r>
    <n v="295"/>
    <x v="1"/>
    <x v="63"/>
    <d v="2007-04-24T00:00:00"/>
    <x v="0"/>
    <s v="250/500"/>
    <n v="1000"/>
    <x v="62"/>
    <n v="5000000"/>
    <x v="63"/>
    <x v="0"/>
    <x v="1"/>
    <x v="2"/>
    <x v="14"/>
    <s v="not-in-family"/>
    <x v="34"/>
    <x v="0"/>
    <x v="39"/>
    <x v="2"/>
    <x v="2"/>
    <x v="2"/>
    <x v="2"/>
    <x v="1"/>
    <x v="1"/>
    <x v="63"/>
    <x v="16"/>
    <x v="1"/>
    <x v="2"/>
    <x v="1"/>
    <x v="1"/>
    <x v="2"/>
    <x v="61"/>
    <x v="60"/>
    <n v="6570"/>
    <x v="62"/>
    <s v="Ford"/>
    <s v="Escape"/>
    <n v="2006"/>
    <x v="0"/>
    <n v="0"/>
  </r>
  <r>
    <n v="254"/>
    <x v="5"/>
    <x v="64"/>
    <d v="1993-12-13T00:00:00"/>
    <x v="1"/>
    <s v="100/300"/>
    <n v="500"/>
    <x v="63"/>
    <n v="0"/>
    <x v="64"/>
    <x v="1"/>
    <x v="0"/>
    <x v="8"/>
    <x v="14"/>
    <s v="other-relative"/>
    <x v="35"/>
    <x v="0"/>
    <x v="2"/>
    <x v="2"/>
    <x v="3"/>
    <x v="1"/>
    <x v="4"/>
    <x v="2"/>
    <x v="2"/>
    <x v="64"/>
    <x v="13"/>
    <x v="1"/>
    <x v="0"/>
    <x v="2"/>
    <x v="0"/>
    <x v="2"/>
    <x v="62"/>
    <x v="61"/>
    <n v="6860"/>
    <x v="63"/>
    <s v="Dodge"/>
    <s v="Neon"/>
    <n v="1995"/>
    <x v="0"/>
    <n v="0"/>
  </r>
  <r>
    <n v="107"/>
    <x v="14"/>
    <x v="65"/>
    <d v="2011-08-17T00:00:00"/>
    <x v="1"/>
    <s v="250/500"/>
    <n v="500"/>
    <x v="64"/>
    <n v="7000000"/>
    <x v="65"/>
    <x v="1"/>
    <x v="5"/>
    <x v="4"/>
    <x v="13"/>
    <s v="not-in-family"/>
    <x v="36"/>
    <x v="31"/>
    <x v="8"/>
    <x v="0"/>
    <x v="0"/>
    <x v="1"/>
    <x v="2"/>
    <x v="0"/>
    <x v="3"/>
    <x v="65"/>
    <x v="11"/>
    <x v="0"/>
    <x v="0"/>
    <x v="1"/>
    <x v="3"/>
    <x v="2"/>
    <x v="63"/>
    <x v="62"/>
    <n v="13800"/>
    <x v="64"/>
    <s v="Audi"/>
    <s v="A5"/>
    <n v="2009"/>
    <x v="0"/>
    <n v="0"/>
  </r>
  <r>
    <n v="478"/>
    <x v="32"/>
    <x v="66"/>
    <d v="1990-08-20T00:00:00"/>
    <x v="0"/>
    <s v="250/500"/>
    <n v="500"/>
    <x v="65"/>
    <n v="0"/>
    <x v="66"/>
    <x v="1"/>
    <x v="2"/>
    <x v="12"/>
    <x v="1"/>
    <s v="unmarried"/>
    <x v="37"/>
    <x v="0"/>
    <x v="40"/>
    <x v="2"/>
    <x v="0"/>
    <x v="1"/>
    <x v="2"/>
    <x v="4"/>
    <x v="4"/>
    <x v="66"/>
    <x v="18"/>
    <x v="1"/>
    <x v="2"/>
    <x v="0"/>
    <x v="3"/>
    <x v="2"/>
    <x v="64"/>
    <x v="20"/>
    <n v="3770"/>
    <x v="65"/>
    <s v="BMW"/>
    <s v="X6"/>
    <n v="1998"/>
    <x v="1"/>
    <n v="0"/>
  </r>
  <r>
    <n v="128"/>
    <x v="22"/>
    <x v="67"/>
    <d v="1994-02-11T00:00:00"/>
    <x v="0"/>
    <s v="100/300"/>
    <n v="1000"/>
    <x v="66"/>
    <n v="0"/>
    <x v="67"/>
    <x v="0"/>
    <x v="0"/>
    <x v="1"/>
    <x v="10"/>
    <s v="own-child"/>
    <x v="38"/>
    <x v="32"/>
    <x v="3"/>
    <x v="0"/>
    <x v="3"/>
    <x v="0"/>
    <x v="4"/>
    <x v="4"/>
    <x v="6"/>
    <x v="67"/>
    <x v="1"/>
    <x v="0"/>
    <x v="2"/>
    <x v="1"/>
    <x v="2"/>
    <x v="2"/>
    <x v="65"/>
    <x v="36"/>
    <n v="6230"/>
    <x v="66"/>
    <s v="Audi"/>
    <s v="A5"/>
    <n v="1997"/>
    <x v="1"/>
    <n v="0"/>
  </r>
  <r>
    <n v="338"/>
    <x v="24"/>
    <x v="68"/>
    <d v="1994-02-22T00:00:00"/>
    <x v="1"/>
    <s v="500/1000"/>
    <n v="1000"/>
    <x v="67"/>
    <n v="0"/>
    <x v="68"/>
    <x v="0"/>
    <x v="0"/>
    <x v="6"/>
    <x v="15"/>
    <s v="own-child"/>
    <x v="1"/>
    <x v="33"/>
    <x v="7"/>
    <x v="3"/>
    <x v="1"/>
    <x v="1"/>
    <x v="1"/>
    <x v="5"/>
    <x v="1"/>
    <x v="68"/>
    <x v="21"/>
    <x v="0"/>
    <x v="2"/>
    <x v="1"/>
    <x v="3"/>
    <x v="1"/>
    <x v="49"/>
    <x v="63"/>
    <n v="860"/>
    <x v="67"/>
    <s v="Ford"/>
    <s v="F150"/>
    <n v="2004"/>
    <x v="1"/>
    <n v="0"/>
  </r>
  <r>
    <n v="271"/>
    <x v="1"/>
    <x v="69"/>
    <d v="2011-08-15T00:00:00"/>
    <x v="0"/>
    <s v="100/300"/>
    <n v="500"/>
    <x v="68"/>
    <n v="0"/>
    <x v="69"/>
    <x v="1"/>
    <x v="2"/>
    <x v="5"/>
    <x v="0"/>
    <s v="own-child"/>
    <x v="39"/>
    <x v="34"/>
    <x v="41"/>
    <x v="2"/>
    <x v="0"/>
    <x v="0"/>
    <x v="3"/>
    <x v="0"/>
    <x v="4"/>
    <x v="69"/>
    <x v="11"/>
    <x v="3"/>
    <x v="1"/>
    <x v="2"/>
    <x v="2"/>
    <x v="1"/>
    <x v="66"/>
    <x v="64"/>
    <n v="6210"/>
    <x v="68"/>
    <s v="Audi"/>
    <s v="A3"/>
    <n v="2003"/>
    <x v="0"/>
    <n v="0"/>
  </r>
  <r>
    <n v="222"/>
    <x v="3"/>
    <x v="70"/>
    <d v="1998-11-11T00:00:00"/>
    <x v="0"/>
    <s v="100/300"/>
    <n v="2000"/>
    <x v="69"/>
    <n v="0"/>
    <x v="70"/>
    <x v="1"/>
    <x v="0"/>
    <x v="3"/>
    <x v="19"/>
    <s v="not-in-family"/>
    <x v="40"/>
    <x v="35"/>
    <x v="42"/>
    <x v="0"/>
    <x v="3"/>
    <x v="2"/>
    <x v="3"/>
    <x v="4"/>
    <x v="6"/>
    <x v="70"/>
    <x v="2"/>
    <x v="0"/>
    <x v="2"/>
    <x v="1"/>
    <x v="0"/>
    <x v="2"/>
    <x v="67"/>
    <x v="65"/>
    <n v="6810"/>
    <x v="69"/>
    <s v="Honda"/>
    <s v="Civic"/>
    <n v="1995"/>
    <x v="0"/>
    <n v="0"/>
  </r>
  <r>
    <n v="199"/>
    <x v="3"/>
    <x v="71"/>
    <d v="1995-12-04T00:00:00"/>
    <x v="0"/>
    <s v="250/500"/>
    <n v="1000"/>
    <x v="70"/>
    <n v="0"/>
    <x v="71"/>
    <x v="1"/>
    <x v="2"/>
    <x v="2"/>
    <x v="13"/>
    <s v="husband"/>
    <x v="1"/>
    <x v="0"/>
    <x v="36"/>
    <x v="0"/>
    <x v="2"/>
    <x v="1"/>
    <x v="4"/>
    <x v="5"/>
    <x v="2"/>
    <x v="71"/>
    <x v="15"/>
    <x v="0"/>
    <x v="2"/>
    <x v="0"/>
    <x v="0"/>
    <x v="2"/>
    <x v="68"/>
    <x v="66"/>
    <n v="0"/>
    <x v="70"/>
    <s v="Chevrolet"/>
    <s v="Malibu"/>
    <n v="1999"/>
    <x v="1"/>
    <n v="0"/>
  </r>
  <r>
    <n v="215"/>
    <x v="7"/>
    <x v="72"/>
    <d v="2002-12-28T00:00:00"/>
    <x v="1"/>
    <s v="100/300"/>
    <n v="500"/>
    <x v="71"/>
    <n v="0"/>
    <x v="72"/>
    <x v="1"/>
    <x v="3"/>
    <x v="10"/>
    <x v="6"/>
    <s v="not-in-family"/>
    <x v="1"/>
    <x v="36"/>
    <x v="43"/>
    <x v="2"/>
    <x v="2"/>
    <x v="1"/>
    <x v="2"/>
    <x v="0"/>
    <x v="1"/>
    <x v="72"/>
    <x v="2"/>
    <x v="1"/>
    <x v="2"/>
    <x v="2"/>
    <x v="1"/>
    <x v="0"/>
    <x v="69"/>
    <x v="67"/>
    <n v="4760"/>
    <x v="71"/>
    <s v="Mercedes"/>
    <s v="C300"/>
    <n v="2002"/>
    <x v="1"/>
    <n v="0"/>
  </r>
  <r>
    <n v="192"/>
    <x v="17"/>
    <x v="73"/>
    <d v="2004-04-15T00:00:00"/>
    <x v="2"/>
    <s v="100/300"/>
    <n v="1000"/>
    <x v="72"/>
    <n v="0"/>
    <x v="73"/>
    <x v="1"/>
    <x v="2"/>
    <x v="2"/>
    <x v="12"/>
    <s v="wife"/>
    <x v="1"/>
    <x v="0"/>
    <x v="44"/>
    <x v="2"/>
    <x v="0"/>
    <x v="1"/>
    <x v="4"/>
    <x v="1"/>
    <x v="3"/>
    <x v="73"/>
    <x v="22"/>
    <x v="1"/>
    <x v="0"/>
    <x v="0"/>
    <x v="1"/>
    <x v="0"/>
    <x v="70"/>
    <x v="68"/>
    <n v="4770"/>
    <x v="72"/>
    <s v="BMW"/>
    <s v="X6"/>
    <n v="2005"/>
    <x v="1"/>
    <n v="0"/>
  </r>
  <r>
    <n v="120"/>
    <x v="21"/>
    <x v="74"/>
    <d v="2001-02-02T00:00:00"/>
    <x v="0"/>
    <s v="100/300"/>
    <n v="1000"/>
    <x v="73"/>
    <n v="0"/>
    <x v="74"/>
    <x v="1"/>
    <x v="5"/>
    <x v="10"/>
    <x v="4"/>
    <s v="other-relative"/>
    <x v="41"/>
    <x v="0"/>
    <x v="14"/>
    <x v="2"/>
    <x v="3"/>
    <x v="2"/>
    <x v="4"/>
    <x v="0"/>
    <x v="1"/>
    <x v="74"/>
    <x v="9"/>
    <x v="1"/>
    <x v="2"/>
    <x v="2"/>
    <x v="1"/>
    <x v="2"/>
    <x v="71"/>
    <x v="69"/>
    <n v="5690"/>
    <x v="73"/>
    <s v="Ford"/>
    <s v="Fusion"/>
    <n v="2010"/>
    <x v="1"/>
    <n v="0"/>
  </r>
  <r>
    <n v="270"/>
    <x v="19"/>
    <x v="75"/>
    <d v="2010-01-12T00:00:00"/>
    <x v="0"/>
    <s v="500/1000"/>
    <n v="1000"/>
    <x v="74"/>
    <n v="0"/>
    <x v="75"/>
    <x v="1"/>
    <x v="3"/>
    <x v="11"/>
    <x v="6"/>
    <s v="husband"/>
    <x v="1"/>
    <x v="37"/>
    <x v="45"/>
    <x v="2"/>
    <x v="3"/>
    <x v="1"/>
    <x v="2"/>
    <x v="2"/>
    <x v="3"/>
    <x v="75"/>
    <x v="22"/>
    <x v="1"/>
    <x v="2"/>
    <x v="0"/>
    <x v="3"/>
    <x v="0"/>
    <x v="72"/>
    <x v="70"/>
    <n v="7450"/>
    <x v="74"/>
    <s v="Suburu"/>
    <s v="Legacy"/>
    <n v="1998"/>
    <x v="1"/>
    <n v="0"/>
  </r>
  <r>
    <n v="319"/>
    <x v="26"/>
    <x v="76"/>
    <d v="1992-04-14T00:00:00"/>
    <x v="1"/>
    <s v="250/500"/>
    <n v="500"/>
    <x v="75"/>
    <n v="0"/>
    <x v="76"/>
    <x v="0"/>
    <x v="3"/>
    <x v="10"/>
    <x v="8"/>
    <s v="not-in-family"/>
    <x v="1"/>
    <x v="0"/>
    <x v="4"/>
    <x v="2"/>
    <x v="3"/>
    <x v="2"/>
    <x v="0"/>
    <x v="4"/>
    <x v="6"/>
    <x v="76"/>
    <x v="9"/>
    <x v="1"/>
    <x v="2"/>
    <x v="1"/>
    <x v="0"/>
    <x v="1"/>
    <x v="73"/>
    <x v="71"/>
    <n v="10860"/>
    <x v="75"/>
    <s v="Audi"/>
    <s v="A3"/>
    <n v="2005"/>
    <x v="1"/>
    <n v="0"/>
  </r>
  <r>
    <n v="194"/>
    <x v="5"/>
    <x v="77"/>
    <d v="2010-05-21T00:00:00"/>
    <x v="0"/>
    <s v="500/1000"/>
    <n v="1000"/>
    <x v="76"/>
    <n v="6000000"/>
    <x v="77"/>
    <x v="1"/>
    <x v="6"/>
    <x v="6"/>
    <x v="15"/>
    <s v="wife"/>
    <x v="1"/>
    <x v="38"/>
    <x v="27"/>
    <x v="1"/>
    <x v="1"/>
    <x v="1"/>
    <x v="1"/>
    <x v="0"/>
    <x v="3"/>
    <x v="77"/>
    <x v="12"/>
    <x v="0"/>
    <x v="0"/>
    <x v="2"/>
    <x v="0"/>
    <x v="0"/>
    <x v="74"/>
    <x v="72"/>
    <n v="1240"/>
    <x v="76"/>
    <s v="Saab"/>
    <n v="95"/>
    <n v="2004"/>
    <x v="1"/>
    <n v="0"/>
  </r>
  <r>
    <n v="227"/>
    <x v="11"/>
    <x v="78"/>
    <d v="2013-10-27T00:00:00"/>
    <x v="0"/>
    <s v="500/1000"/>
    <n v="500"/>
    <x v="77"/>
    <n v="0"/>
    <x v="78"/>
    <x v="1"/>
    <x v="1"/>
    <x v="11"/>
    <x v="18"/>
    <s v="unmarried"/>
    <x v="1"/>
    <x v="0"/>
    <x v="1"/>
    <x v="0"/>
    <x v="2"/>
    <x v="0"/>
    <x v="2"/>
    <x v="0"/>
    <x v="6"/>
    <x v="78"/>
    <x v="16"/>
    <x v="0"/>
    <x v="1"/>
    <x v="0"/>
    <x v="0"/>
    <x v="1"/>
    <x v="75"/>
    <x v="73"/>
    <n v="7220"/>
    <x v="77"/>
    <s v="BMW"/>
    <s v="M5"/>
    <n v="2013"/>
    <x v="0"/>
    <n v="0"/>
  </r>
  <r>
    <n v="137"/>
    <x v="14"/>
    <x v="79"/>
    <d v="1994-10-12T00:00:00"/>
    <x v="0"/>
    <s v="250/500"/>
    <n v="2000"/>
    <x v="78"/>
    <n v="0"/>
    <x v="79"/>
    <x v="0"/>
    <x v="5"/>
    <x v="8"/>
    <x v="13"/>
    <s v="husband"/>
    <x v="42"/>
    <x v="39"/>
    <x v="46"/>
    <x v="2"/>
    <x v="0"/>
    <x v="1"/>
    <x v="4"/>
    <x v="5"/>
    <x v="2"/>
    <x v="79"/>
    <x v="13"/>
    <x v="1"/>
    <x v="2"/>
    <x v="0"/>
    <x v="0"/>
    <x v="2"/>
    <x v="76"/>
    <x v="74"/>
    <n v="10160"/>
    <x v="78"/>
    <s v="Accura"/>
    <s v="MDX"/>
    <n v="2005"/>
    <x v="1"/>
    <n v="0"/>
  </r>
  <r>
    <n v="244"/>
    <x v="11"/>
    <x v="80"/>
    <d v="1997-07-04T00:00:00"/>
    <x v="0"/>
    <s v="500/1000"/>
    <n v="2000"/>
    <x v="79"/>
    <n v="5000000"/>
    <x v="80"/>
    <x v="1"/>
    <x v="4"/>
    <x v="8"/>
    <x v="17"/>
    <s v="wife"/>
    <x v="1"/>
    <x v="0"/>
    <x v="28"/>
    <x v="1"/>
    <x v="1"/>
    <x v="3"/>
    <x v="1"/>
    <x v="5"/>
    <x v="6"/>
    <x v="80"/>
    <x v="15"/>
    <x v="0"/>
    <x v="1"/>
    <x v="2"/>
    <x v="3"/>
    <x v="1"/>
    <x v="77"/>
    <x v="75"/>
    <n v="1320"/>
    <x v="79"/>
    <s v="Accura"/>
    <s v="TL"/>
    <n v="2005"/>
    <x v="1"/>
    <n v="0"/>
  </r>
  <r>
    <n v="78"/>
    <x v="2"/>
    <x v="81"/>
    <d v="2011-02-15T00:00:00"/>
    <x v="2"/>
    <s v="250/500"/>
    <n v="1000"/>
    <x v="80"/>
    <n v="6000000"/>
    <x v="81"/>
    <x v="0"/>
    <x v="4"/>
    <x v="6"/>
    <x v="4"/>
    <s v="other-relative"/>
    <x v="1"/>
    <x v="0"/>
    <x v="15"/>
    <x v="1"/>
    <x v="1"/>
    <x v="1"/>
    <x v="0"/>
    <x v="2"/>
    <x v="6"/>
    <x v="81"/>
    <x v="19"/>
    <x v="0"/>
    <x v="0"/>
    <x v="2"/>
    <x v="0"/>
    <x v="2"/>
    <x v="78"/>
    <x v="76"/>
    <n v="1500"/>
    <x v="80"/>
    <s v="Nissan"/>
    <s v="Maxima"/>
    <n v="2002"/>
    <x v="1"/>
    <n v="0"/>
  </r>
  <r>
    <n v="200"/>
    <x v="21"/>
    <x v="82"/>
    <d v="1994-08-21T00:00:00"/>
    <x v="1"/>
    <s v="250/500"/>
    <n v="2000"/>
    <x v="81"/>
    <n v="0"/>
    <x v="82"/>
    <x v="0"/>
    <x v="5"/>
    <x v="8"/>
    <x v="17"/>
    <s v="wife"/>
    <x v="43"/>
    <x v="40"/>
    <x v="16"/>
    <x v="1"/>
    <x v="1"/>
    <x v="3"/>
    <x v="1"/>
    <x v="1"/>
    <x v="4"/>
    <x v="82"/>
    <x v="21"/>
    <x v="0"/>
    <x v="2"/>
    <x v="1"/>
    <x v="2"/>
    <x v="0"/>
    <x v="79"/>
    <x v="77"/>
    <n v="1180"/>
    <x v="81"/>
    <s v="Volkswagen"/>
    <s v="Jetta"/>
    <n v="2002"/>
    <x v="1"/>
    <n v="0"/>
  </r>
  <r>
    <n v="284"/>
    <x v="0"/>
    <x v="83"/>
    <d v="1997-05-15T00:00:00"/>
    <x v="1"/>
    <s v="500/1000"/>
    <n v="2000"/>
    <x v="82"/>
    <n v="0"/>
    <x v="83"/>
    <x v="0"/>
    <x v="4"/>
    <x v="5"/>
    <x v="10"/>
    <s v="not-in-family"/>
    <x v="1"/>
    <x v="41"/>
    <x v="16"/>
    <x v="2"/>
    <x v="0"/>
    <x v="0"/>
    <x v="4"/>
    <x v="2"/>
    <x v="4"/>
    <x v="83"/>
    <x v="16"/>
    <x v="3"/>
    <x v="1"/>
    <x v="2"/>
    <x v="2"/>
    <x v="2"/>
    <x v="80"/>
    <x v="78"/>
    <n v="11080"/>
    <x v="82"/>
    <s v="Audi"/>
    <s v="A3"/>
    <n v="2013"/>
    <x v="0"/>
    <n v="0"/>
  </r>
  <r>
    <n v="275"/>
    <x v="3"/>
    <x v="84"/>
    <d v="1996-10-26T00:00:00"/>
    <x v="0"/>
    <s v="100/300"/>
    <n v="2000"/>
    <x v="83"/>
    <n v="0"/>
    <x v="84"/>
    <x v="0"/>
    <x v="5"/>
    <x v="10"/>
    <x v="2"/>
    <s v="own-child"/>
    <x v="35"/>
    <x v="0"/>
    <x v="40"/>
    <x v="2"/>
    <x v="3"/>
    <x v="0"/>
    <x v="2"/>
    <x v="2"/>
    <x v="6"/>
    <x v="84"/>
    <x v="21"/>
    <x v="1"/>
    <x v="0"/>
    <x v="1"/>
    <x v="3"/>
    <x v="1"/>
    <x v="81"/>
    <x v="79"/>
    <n v="11660"/>
    <x v="83"/>
    <s v="Suburu"/>
    <s v="Legacy"/>
    <n v="2007"/>
    <x v="1"/>
    <n v="0"/>
  </r>
  <r>
    <n v="153"/>
    <x v="6"/>
    <x v="85"/>
    <d v="2006-03-04T00:00:00"/>
    <x v="2"/>
    <s v="500/1000"/>
    <n v="1000"/>
    <x v="84"/>
    <n v="4000000"/>
    <x v="85"/>
    <x v="1"/>
    <x v="2"/>
    <x v="7"/>
    <x v="12"/>
    <s v="husband"/>
    <x v="44"/>
    <x v="0"/>
    <x v="8"/>
    <x v="2"/>
    <x v="3"/>
    <x v="1"/>
    <x v="3"/>
    <x v="0"/>
    <x v="0"/>
    <x v="85"/>
    <x v="10"/>
    <x v="1"/>
    <x v="2"/>
    <x v="2"/>
    <x v="3"/>
    <x v="1"/>
    <x v="82"/>
    <x v="80"/>
    <n v="11400"/>
    <x v="84"/>
    <s v="Ford"/>
    <s v="F150"/>
    <n v="2007"/>
    <x v="1"/>
    <n v="0"/>
  </r>
  <r>
    <n v="134"/>
    <x v="30"/>
    <x v="86"/>
    <d v="1991-01-02T00:00:00"/>
    <x v="2"/>
    <s v="500/1000"/>
    <n v="500"/>
    <x v="85"/>
    <n v="0"/>
    <x v="86"/>
    <x v="1"/>
    <x v="0"/>
    <x v="6"/>
    <x v="12"/>
    <s v="own-child"/>
    <x v="24"/>
    <x v="0"/>
    <x v="13"/>
    <x v="0"/>
    <x v="0"/>
    <x v="2"/>
    <x v="2"/>
    <x v="1"/>
    <x v="3"/>
    <x v="86"/>
    <x v="23"/>
    <x v="0"/>
    <x v="1"/>
    <x v="2"/>
    <x v="3"/>
    <x v="0"/>
    <x v="83"/>
    <x v="81"/>
    <n v="11680"/>
    <x v="85"/>
    <s v="BMW"/>
    <s v="3 Series"/>
    <n v="2015"/>
    <x v="1"/>
    <n v="0"/>
  </r>
  <r>
    <n v="31"/>
    <x v="31"/>
    <x v="87"/>
    <d v="1999-08-15T00:00:00"/>
    <x v="2"/>
    <s v="500/1000"/>
    <n v="2000"/>
    <x v="86"/>
    <n v="9000000"/>
    <x v="87"/>
    <x v="1"/>
    <x v="3"/>
    <x v="5"/>
    <x v="15"/>
    <s v="not-in-family"/>
    <x v="1"/>
    <x v="42"/>
    <x v="8"/>
    <x v="3"/>
    <x v="1"/>
    <x v="3"/>
    <x v="1"/>
    <x v="4"/>
    <x v="2"/>
    <x v="87"/>
    <x v="10"/>
    <x v="0"/>
    <x v="2"/>
    <x v="1"/>
    <x v="3"/>
    <x v="0"/>
    <x v="84"/>
    <x v="82"/>
    <n v="470"/>
    <x v="86"/>
    <s v="Dodge"/>
    <s v="Neon"/>
    <n v="2002"/>
    <x v="1"/>
    <n v="0"/>
  </r>
  <r>
    <n v="41"/>
    <x v="20"/>
    <x v="88"/>
    <d v="1992-01-15T00:00:00"/>
    <x v="1"/>
    <s v="100/300"/>
    <n v="1000"/>
    <x v="87"/>
    <n v="0"/>
    <x v="88"/>
    <x v="1"/>
    <x v="3"/>
    <x v="8"/>
    <x v="20"/>
    <s v="not-in-family"/>
    <x v="1"/>
    <x v="43"/>
    <x v="22"/>
    <x v="2"/>
    <x v="0"/>
    <x v="0"/>
    <x v="3"/>
    <x v="0"/>
    <x v="0"/>
    <x v="88"/>
    <x v="11"/>
    <x v="1"/>
    <x v="0"/>
    <x v="2"/>
    <x v="1"/>
    <x v="1"/>
    <x v="85"/>
    <x v="20"/>
    <n v="5640"/>
    <x v="87"/>
    <s v="Accura"/>
    <s v="MDX"/>
    <n v="2011"/>
    <x v="0"/>
    <n v="0"/>
  </r>
  <r>
    <n v="127"/>
    <x v="2"/>
    <x v="89"/>
    <d v="1999-12-07T00:00:00"/>
    <x v="0"/>
    <s v="250/500"/>
    <n v="2000"/>
    <x v="88"/>
    <n v="5000000"/>
    <x v="89"/>
    <x v="1"/>
    <x v="5"/>
    <x v="2"/>
    <x v="2"/>
    <s v="own-child"/>
    <x v="1"/>
    <x v="0"/>
    <x v="20"/>
    <x v="2"/>
    <x v="3"/>
    <x v="2"/>
    <x v="2"/>
    <x v="0"/>
    <x v="2"/>
    <x v="89"/>
    <x v="11"/>
    <x v="3"/>
    <x v="0"/>
    <x v="0"/>
    <x v="3"/>
    <x v="1"/>
    <x v="86"/>
    <x v="83"/>
    <n v="10300"/>
    <x v="88"/>
    <s v="Saab"/>
    <n v="93"/>
    <n v="1995"/>
    <x v="1"/>
    <n v="0"/>
  </r>
  <r>
    <n v="61"/>
    <x v="10"/>
    <x v="90"/>
    <d v="1993-06-06T00:00:00"/>
    <x v="2"/>
    <s v="250/500"/>
    <n v="2000"/>
    <x v="89"/>
    <n v="4000000"/>
    <x v="90"/>
    <x v="1"/>
    <x v="2"/>
    <x v="4"/>
    <x v="20"/>
    <s v="own-child"/>
    <x v="1"/>
    <x v="1"/>
    <x v="40"/>
    <x v="0"/>
    <x v="0"/>
    <x v="0"/>
    <x v="0"/>
    <x v="2"/>
    <x v="0"/>
    <x v="90"/>
    <x v="8"/>
    <x v="0"/>
    <x v="2"/>
    <x v="1"/>
    <x v="2"/>
    <x v="1"/>
    <x v="87"/>
    <x v="84"/>
    <n v="17880"/>
    <x v="89"/>
    <s v="Honda"/>
    <s v="Accord"/>
    <n v="2004"/>
    <x v="0"/>
    <n v="0"/>
  </r>
  <r>
    <n v="207"/>
    <x v="1"/>
    <x v="91"/>
    <d v="2000-10-03T00:00:00"/>
    <x v="2"/>
    <s v="250/500"/>
    <n v="2000"/>
    <x v="90"/>
    <n v="0"/>
    <x v="91"/>
    <x v="0"/>
    <x v="1"/>
    <x v="13"/>
    <x v="12"/>
    <s v="own-child"/>
    <x v="45"/>
    <x v="0"/>
    <x v="24"/>
    <x v="3"/>
    <x v="1"/>
    <x v="3"/>
    <x v="1"/>
    <x v="4"/>
    <x v="3"/>
    <x v="91"/>
    <x v="10"/>
    <x v="0"/>
    <x v="2"/>
    <x v="1"/>
    <x v="3"/>
    <x v="2"/>
    <x v="88"/>
    <x v="85"/>
    <n v="590"/>
    <x v="90"/>
    <s v="BMW"/>
    <s v="X5"/>
    <n v="2007"/>
    <x v="1"/>
    <n v="0"/>
  </r>
  <r>
    <n v="219"/>
    <x v="18"/>
    <x v="92"/>
    <d v="2010-12-29T00:00:00"/>
    <x v="1"/>
    <s v="100/300"/>
    <n v="1000"/>
    <x v="91"/>
    <n v="0"/>
    <x v="92"/>
    <x v="1"/>
    <x v="0"/>
    <x v="8"/>
    <x v="20"/>
    <s v="not-in-family"/>
    <x v="46"/>
    <x v="44"/>
    <x v="47"/>
    <x v="2"/>
    <x v="3"/>
    <x v="0"/>
    <x v="4"/>
    <x v="5"/>
    <x v="1"/>
    <x v="92"/>
    <x v="19"/>
    <x v="1"/>
    <x v="2"/>
    <x v="0"/>
    <x v="3"/>
    <x v="1"/>
    <x v="89"/>
    <x v="86"/>
    <n v="11780"/>
    <x v="91"/>
    <s v="Ford"/>
    <s v="Fusion"/>
    <n v="2009"/>
    <x v="1"/>
    <n v="0"/>
  </r>
  <r>
    <n v="271"/>
    <x v="1"/>
    <x v="93"/>
    <d v="1990-03-17T00:00:00"/>
    <x v="2"/>
    <s v="100/300"/>
    <n v="500"/>
    <x v="92"/>
    <n v="0"/>
    <x v="93"/>
    <x v="1"/>
    <x v="5"/>
    <x v="1"/>
    <x v="11"/>
    <s v="not-in-family"/>
    <x v="1"/>
    <x v="0"/>
    <x v="16"/>
    <x v="2"/>
    <x v="2"/>
    <x v="2"/>
    <x v="4"/>
    <x v="0"/>
    <x v="5"/>
    <x v="93"/>
    <x v="7"/>
    <x v="1"/>
    <x v="2"/>
    <x v="0"/>
    <x v="1"/>
    <x v="2"/>
    <x v="90"/>
    <x v="87"/>
    <n v="8520"/>
    <x v="92"/>
    <s v="Mercedes"/>
    <s v="ML350"/>
    <n v="2005"/>
    <x v="1"/>
    <n v="0"/>
  </r>
  <r>
    <n v="80"/>
    <x v="20"/>
    <x v="94"/>
    <d v="2012-03-01T00:00:00"/>
    <x v="2"/>
    <s v="100/300"/>
    <n v="2000"/>
    <x v="93"/>
    <n v="5000000"/>
    <x v="94"/>
    <x v="1"/>
    <x v="1"/>
    <x v="3"/>
    <x v="20"/>
    <s v="husband"/>
    <x v="47"/>
    <x v="45"/>
    <x v="31"/>
    <x v="1"/>
    <x v="1"/>
    <x v="1"/>
    <x v="1"/>
    <x v="3"/>
    <x v="6"/>
    <x v="94"/>
    <x v="0"/>
    <x v="0"/>
    <x v="2"/>
    <x v="2"/>
    <x v="1"/>
    <x v="0"/>
    <x v="91"/>
    <x v="88"/>
    <n v="630"/>
    <x v="13"/>
    <s v="Toyota"/>
    <s v="Highlander"/>
    <n v="2001"/>
    <x v="1"/>
    <n v="0"/>
  </r>
  <r>
    <n v="325"/>
    <x v="26"/>
    <x v="95"/>
    <d v="2006-02-05T00:00:00"/>
    <x v="1"/>
    <s v="500/1000"/>
    <n v="1000"/>
    <x v="94"/>
    <n v="0"/>
    <x v="95"/>
    <x v="1"/>
    <x v="2"/>
    <x v="9"/>
    <x v="11"/>
    <s v="not-in-family"/>
    <x v="48"/>
    <x v="0"/>
    <x v="45"/>
    <x v="0"/>
    <x v="0"/>
    <x v="0"/>
    <x v="2"/>
    <x v="1"/>
    <x v="3"/>
    <x v="95"/>
    <x v="20"/>
    <x v="0"/>
    <x v="0"/>
    <x v="1"/>
    <x v="2"/>
    <x v="2"/>
    <x v="18"/>
    <x v="18"/>
    <n v="6630"/>
    <x v="93"/>
    <s v="Dodge"/>
    <s v="RAM"/>
    <n v="2006"/>
    <x v="0"/>
    <n v="0"/>
  </r>
  <r>
    <n v="29"/>
    <x v="20"/>
    <x v="96"/>
    <d v="2014-11-01T00:00:00"/>
    <x v="2"/>
    <s v="250/500"/>
    <n v="2000"/>
    <x v="95"/>
    <n v="0"/>
    <x v="96"/>
    <x v="0"/>
    <x v="4"/>
    <x v="13"/>
    <x v="9"/>
    <s v="own-child"/>
    <x v="1"/>
    <x v="46"/>
    <x v="12"/>
    <x v="2"/>
    <x v="2"/>
    <x v="1"/>
    <x v="3"/>
    <x v="0"/>
    <x v="4"/>
    <x v="96"/>
    <x v="14"/>
    <x v="2"/>
    <x v="0"/>
    <x v="0"/>
    <x v="0"/>
    <x v="0"/>
    <x v="92"/>
    <x v="89"/>
    <n v="7210"/>
    <x v="94"/>
    <s v="Nissan"/>
    <s v="Pathfinder"/>
    <n v="2013"/>
    <x v="0"/>
    <n v="0"/>
  </r>
  <r>
    <n v="295"/>
    <x v="0"/>
    <x v="97"/>
    <d v="2009-06-17T00:00:00"/>
    <x v="0"/>
    <s v="250/500"/>
    <n v="1000"/>
    <x v="96"/>
    <n v="0"/>
    <x v="97"/>
    <x v="1"/>
    <x v="3"/>
    <x v="1"/>
    <x v="15"/>
    <s v="wife"/>
    <x v="1"/>
    <x v="0"/>
    <x v="2"/>
    <x v="3"/>
    <x v="1"/>
    <x v="3"/>
    <x v="1"/>
    <x v="4"/>
    <x v="0"/>
    <x v="97"/>
    <x v="13"/>
    <x v="0"/>
    <x v="1"/>
    <x v="0"/>
    <x v="0"/>
    <x v="0"/>
    <x v="93"/>
    <x v="90"/>
    <n v="900"/>
    <x v="95"/>
    <s v="Saab"/>
    <n v="95"/>
    <n v="1999"/>
    <x v="1"/>
    <n v="0"/>
  </r>
  <r>
    <n v="239"/>
    <x v="1"/>
    <x v="98"/>
    <d v="1999-09-20T00:00:00"/>
    <x v="2"/>
    <s v="100/300"/>
    <n v="1000"/>
    <x v="97"/>
    <n v="0"/>
    <x v="98"/>
    <x v="0"/>
    <x v="3"/>
    <x v="8"/>
    <x v="1"/>
    <s v="not-in-family"/>
    <x v="1"/>
    <x v="0"/>
    <x v="48"/>
    <x v="1"/>
    <x v="1"/>
    <x v="3"/>
    <x v="1"/>
    <x v="5"/>
    <x v="6"/>
    <x v="98"/>
    <x v="15"/>
    <x v="0"/>
    <x v="2"/>
    <x v="1"/>
    <x v="1"/>
    <x v="1"/>
    <x v="94"/>
    <x v="91"/>
    <n v="700"/>
    <x v="96"/>
    <s v="Audi"/>
    <s v="A3"/>
    <n v="2007"/>
    <x v="1"/>
    <n v="0"/>
  </r>
  <r>
    <n v="269"/>
    <x v="3"/>
    <x v="99"/>
    <d v="1990-10-19T00:00:00"/>
    <x v="1"/>
    <s v="100/300"/>
    <n v="500"/>
    <x v="98"/>
    <n v="0"/>
    <x v="99"/>
    <x v="1"/>
    <x v="3"/>
    <x v="9"/>
    <x v="12"/>
    <s v="not-in-family"/>
    <x v="1"/>
    <x v="47"/>
    <x v="27"/>
    <x v="0"/>
    <x v="2"/>
    <x v="1"/>
    <x v="0"/>
    <x v="0"/>
    <x v="5"/>
    <x v="99"/>
    <x v="6"/>
    <x v="0"/>
    <x v="0"/>
    <x v="1"/>
    <x v="1"/>
    <x v="1"/>
    <x v="95"/>
    <x v="92"/>
    <n v="15860"/>
    <x v="97"/>
    <s v="Saab"/>
    <s v="92x"/>
    <n v="2007"/>
    <x v="1"/>
    <n v="0"/>
  </r>
  <r>
    <n v="80"/>
    <x v="28"/>
    <x v="100"/>
    <d v="1996-08-05T00:00:00"/>
    <x v="2"/>
    <s v="100/300"/>
    <n v="1000"/>
    <x v="99"/>
    <n v="0"/>
    <x v="100"/>
    <x v="1"/>
    <x v="3"/>
    <x v="4"/>
    <x v="20"/>
    <s v="unmarried"/>
    <x v="1"/>
    <x v="0"/>
    <x v="46"/>
    <x v="0"/>
    <x v="0"/>
    <x v="0"/>
    <x v="0"/>
    <x v="4"/>
    <x v="5"/>
    <x v="100"/>
    <x v="21"/>
    <x v="0"/>
    <x v="0"/>
    <x v="0"/>
    <x v="1"/>
    <x v="0"/>
    <x v="96"/>
    <x v="93"/>
    <n v="5280"/>
    <x v="98"/>
    <s v="Saab"/>
    <n v="95"/>
    <n v="2004"/>
    <x v="1"/>
    <n v="0"/>
  </r>
  <r>
    <n v="279"/>
    <x v="3"/>
    <x v="101"/>
    <d v="2001-06-06T00:00:00"/>
    <x v="2"/>
    <s v="250/500"/>
    <n v="500"/>
    <x v="100"/>
    <n v="0"/>
    <x v="101"/>
    <x v="1"/>
    <x v="6"/>
    <x v="5"/>
    <x v="4"/>
    <s v="husband"/>
    <x v="49"/>
    <x v="48"/>
    <x v="15"/>
    <x v="2"/>
    <x v="3"/>
    <x v="1"/>
    <x v="2"/>
    <x v="5"/>
    <x v="6"/>
    <x v="101"/>
    <x v="16"/>
    <x v="1"/>
    <x v="1"/>
    <x v="2"/>
    <x v="2"/>
    <x v="2"/>
    <x v="97"/>
    <x v="20"/>
    <n v="3600"/>
    <x v="99"/>
    <s v="Ford"/>
    <s v="Fusion"/>
    <n v="2013"/>
    <x v="1"/>
    <n v="0"/>
  </r>
  <r>
    <n v="165"/>
    <x v="8"/>
    <x v="102"/>
    <d v="2007-03-25T00:00:00"/>
    <x v="0"/>
    <s v="100/300"/>
    <n v="1000"/>
    <x v="101"/>
    <n v="0"/>
    <x v="102"/>
    <x v="1"/>
    <x v="2"/>
    <x v="4"/>
    <x v="15"/>
    <s v="other-relative"/>
    <x v="25"/>
    <x v="49"/>
    <x v="11"/>
    <x v="3"/>
    <x v="1"/>
    <x v="1"/>
    <x v="0"/>
    <x v="4"/>
    <x v="5"/>
    <x v="102"/>
    <x v="19"/>
    <x v="0"/>
    <x v="2"/>
    <x v="0"/>
    <x v="3"/>
    <x v="2"/>
    <x v="98"/>
    <x v="94"/>
    <n v="330"/>
    <x v="100"/>
    <s v="Toyota"/>
    <s v="Highlander"/>
    <n v="2008"/>
    <x v="1"/>
    <n v="0"/>
  </r>
  <r>
    <n v="350"/>
    <x v="25"/>
    <x v="103"/>
    <d v="2013-10-31T00:00:00"/>
    <x v="0"/>
    <s v="500/1000"/>
    <n v="500"/>
    <x v="102"/>
    <n v="0"/>
    <x v="103"/>
    <x v="0"/>
    <x v="3"/>
    <x v="6"/>
    <x v="16"/>
    <s v="wife"/>
    <x v="50"/>
    <x v="0"/>
    <x v="26"/>
    <x v="2"/>
    <x v="0"/>
    <x v="2"/>
    <x v="0"/>
    <x v="0"/>
    <x v="5"/>
    <x v="103"/>
    <x v="12"/>
    <x v="1"/>
    <x v="2"/>
    <x v="1"/>
    <x v="1"/>
    <x v="1"/>
    <x v="99"/>
    <x v="95"/>
    <n v="7790"/>
    <x v="101"/>
    <s v="Chevrolet"/>
    <s v="Malibu"/>
    <n v="2014"/>
    <x v="1"/>
    <n v="0"/>
  </r>
  <r>
    <n v="295"/>
    <x v="24"/>
    <x v="104"/>
    <d v="1992-06-13T00:00:00"/>
    <x v="2"/>
    <s v="100/300"/>
    <n v="500"/>
    <x v="103"/>
    <n v="0"/>
    <x v="104"/>
    <x v="0"/>
    <x v="3"/>
    <x v="5"/>
    <x v="15"/>
    <s v="husband"/>
    <x v="51"/>
    <x v="50"/>
    <x v="17"/>
    <x v="1"/>
    <x v="1"/>
    <x v="1"/>
    <x v="1"/>
    <x v="4"/>
    <x v="0"/>
    <x v="104"/>
    <x v="14"/>
    <x v="0"/>
    <x v="0"/>
    <x v="0"/>
    <x v="2"/>
    <x v="0"/>
    <x v="100"/>
    <x v="51"/>
    <n v="480"/>
    <x v="102"/>
    <s v="Mercedes"/>
    <s v="E400"/>
    <n v="2002"/>
    <x v="1"/>
    <n v="0"/>
  </r>
  <r>
    <n v="464"/>
    <x v="9"/>
    <x v="105"/>
    <d v="1990-10-07T00:00:00"/>
    <x v="0"/>
    <s v="500/1000"/>
    <n v="1000"/>
    <x v="104"/>
    <n v="0"/>
    <x v="105"/>
    <x v="1"/>
    <x v="2"/>
    <x v="5"/>
    <x v="16"/>
    <s v="husband"/>
    <x v="1"/>
    <x v="51"/>
    <x v="6"/>
    <x v="2"/>
    <x v="2"/>
    <x v="0"/>
    <x v="0"/>
    <x v="1"/>
    <x v="5"/>
    <x v="105"/>
    <x v="13"/>
    <x v="1"/>
    <x v="1"/>
    <x v="1"/>
    <x v="0"/>
    <x v="0"/>
    <x v="101"/>
    <x v="96"/>
    <n v="19950"/>
    <x v="103"/>
    <s v="Saab"/>
    <n v="95"/>
    <n v="2000"/>
    <x v="0"/>
    <n v="0"/>
  </r>
  <r>
    <n v="118"/>
    <x v="23"/>
    <x v="106"/>
    <d v="1991-12-28T00:00:00"/>
    <x v="1"/>
    <s v="500/1000"/>
    <n v="2000"/>
    <x v="105"/>
    <n v="0"/>
    <x v="106"/>
    <x v="1"/>
    <x v="5"/>
    <x v="11"/>
    <x v="7"/>
    <s v="own-child"/>
    <x v="1"/>
    <x v="52"/>
    <x v="44"/>
    <x v="2"/>
    <x v="3"/>
    <x v="0"/>
    <x v="4"/>
    <x v="4"/>
    <x v="0"/>
    <x v="106"/>
    <x v="9"/>
    <x v="3"/>
    <x v="2"/>
    <x v="0"/>
    <x v="1"/>
    <x v="1"/>
    <x v="102"/>
    <x v="97"/>
    <n v="14840"/>
    <x v="104"/>
    <s v="Volkswagen"/>
    <s v="Passat"/>
    <n v="1997"/>
    <x v="1"/>
    <n v="0"/>
  </r>
  <r>
    <n v="298"/>
    <x v="26"/>
    <x v="107"/>
    <d v="1998-11-11T00:00:00"/>
    <x v="2"/>
    <s v="500/1000"/>
    <n v="2000"/>
    <x v="106"/>
    <n v="0"/>
    <x v="107"/>
    <x v="1"/>
    <x v="1"/>
    <x v="1"/>
    <x v="16"/>
    <s v="other-relative"/>
    <x v="52"/>
    <x v="0"/>
    <x v="40"/>
    <x v="0"/>
    <x v="3"/>
    <x v="0"/>
    <x v="2"/>
    <x v="2"/>
    <x v="6"/>
    <x v="107"/>
    <x v="17"/>
    <x v="0"/>
    <x v="1"/>
    <x v="1"/>
    <x v="1"/>
    <x v="1"/>
    <x v="103"/>
    <x v="71"/>
    <n v="10860"/>
    <x v="105"/>
    <s v="Saab"/>
    <n v="93"/>
    <n v="2000"/>
    <x v="0"/>
    <n v="1"/>
  </r>
  <r>
    <n v="87"/>
    <x v="14"/>
    <x v="108"/>
    <d v="2009-06-26T00:00:00"/>
    <x v="1"/>
    <s v="500/1000"/>
    <n v="1000"/>
    <x v="107"/>
    <n v="0"/>
    <x v="108"/>
    <x v="1"/>
    <x v="4"/>
    <x v="2"/>
    <x v="14"/>
    <s v="husband"/>
    <x v="1"/>
    <x v="53"/>
    <x v="35"/>
    <x v="2"/>
    <x v="2"/>
    <x v="0"/>
    <x v="2"/>
    <x v="2"/>
    <x v="3"/>
    <x v="108"/>
    <x v="16"/>
    <x v="1"/>
    <x v="2"/>
    <x v="1"/>
    <x v="2"/>
    <x v="0"/>
    <x v="80"/>
    <x v="78"/>
    <n v="11080"/>
    <x v="82"/>
    <s v="Nissan"/>
    <s v="Ultima"/>
    <n v="2006"/>
    <x v="0"/>
    <n v="0"/>
  </r>
  <r>
    <n v="261"/>
    <x v="1"/>
    <x v="109"/>
    <d v="2009-01-11T00:00:00"/>
    <x v="0"/>
    <s v="250/500"/>
    <n v="500"/>
    <x v="108"/>
    <n v="0"/>
    <x v="109"/>
    <x v="1"/>
    <x v="3"/>
    <x v="5"/>
    <x v="17"/>
    <s v="unmarried"/>
    <x v="1"/>
    <x v="0"/>
    <x v="37"/>
    <x v="0"/>
    <x v="2"/>
    <x v="1"/>
    <x v="0"/>
    <x v="0"/>
    <x v="1"/>
    <x v="109"/>
    <x v="22"/>
    <x v="0"/>
    <x v="1"/>
    <x v="0"/>
    <x v="0"/>
    <x v="0"/>
    <x v="104"/>
    <x v="98"/>
    <n v="14940"/>
    <x v="106"/>
    <s v="Dodge"/>
    <s v="RAM"/>
    <n v="2010"/>
    <x v="1"/>
    <n v="0"/>
  </r>
  <r>
    <n v="453"/>
    <x v="33"/>
    <x v="110"/>
    <d v="2003-03-18T00:00:00"/>
    <x v="1"/>
    <s v="100/300"/>
    <n v="500"/>
    <x v="109"/>
    <n v="6000000"/>
    <x v="110"/>
    <x v="0"/>
    <x v="1"/>
    <x v="0"/>
    <x v="8"/>
    <s v="unmarried"/>
    <x v="53"/>
    <x v="54"/>
    <x v="10"/>
    <x v="0"/>
    <x v="3"/>
    <x v="0"/>
    <x v="2"/>
    <x v="5"/>
    <x v="3"/>
    <x v="110"/>
    <x v="5"/>
    <x v="0"/>
    <x v="0"/>
    <x v="1"/>
    <x v="1"/>
    <x v="1"/>
    <x v="105"/>
    <x v="99"/>
    <n v="7000"/>
    <x v="107"/>
    <s v="Ford"/>
    <s v="F150"/>
    <n v="2015"/>
    <x v="0"/>
    <n v="0"/>
  </r>
  <r>
    <n v="210"/>
    <x v="3"/>
    <x v="111"/>
    <d v="2012-11-02T00:00:00"/>
    <x v="2"/>
    <s v="500/1000"/>
    <n v="500"/>
    <x v="110"/>
    <n v="0"/>
    <x v="111"/>
    <x v="0"/>
    <x v="5"/>
    <x v="8"/>
    <x v="18"/>
    <s v="other-relative"/>
    <x v="1"/>
    <x v="55"/>
    <x v="8"/>
    <x v="2"/>
    <x v="2"/>
    <x v="2"/>
    <x v="3"/>
    <x v="6"/>
    <x v="0"/>
    <x v="111"/>
    <x v="11"/>
    <x v="1"/>
    <x v="1"/>
    <x v="2"/>
    <x v="1"/>
    <x v="2"/>
    <x v="106"/>
    <x v="100"/>
    <n v="14740"/>
    <x v="108"/>
    <s v="BMW"/>
    <s v="X5"/>
    <n v="2001"/>
    <x v="1"/>
    <n v="1"/>
  </r>
  <r>
    <n v="168"/>
    <x v="30"/>
    <x v="112"/>
    <d v="2000-05-04T00:00:00"/>
    <x v="1"/>
    <s v="100/300"/>
    <n v="1000"/>
    <x v="111"/>
    <n v="0"/>
    <x v="112"/>
    <x v="0"/>
    <x v="0"/>
    <x v="9"/>
    <x v="7"/>
    <s v="own-child"/>
    <x v="1"/>
    <x v="39"/>
    <x v="44"/>
    <x v="2"/>
    <x v="0"/>
    <x v="0"/>
    <x v="3"/>
    <x v="1"/>
    <x v="4"/>
    <x v="112"/>
    <x v="21"/>
    <x v="3"/>
    <x v="1"/>
    <x v="0"/>
    <x v="3"/>
    <x v="1"/>
    <x v="107"/>
    <x v="101"/>
    <n v="9620"/>
    <x v="109"/>
    <s v="Saab"/>
    <n v="93"/>
    <n v="2007"/>
    <x v="1"/>
    <n v="0"/>
  </r>
  <r>
    <n v="390"/>
    <x v="34"/>
    <x v="113"/>
    <d v="1999-09-29T00:00:00"/>
    <x v="0"/>
    <s v="250/500"/>
    <n v="2000"/>
    <x v="112"/>
    <n v="0"/>
    <x v="113"/>
    <x v="0"/>
    <x v="2"/>
    <x v="3"/>
    <x v="1"/>
    <s v="other-relative"/>
    <x v="1"/>
    <x v="0"/>
    <x v="20"/>
    <x v="1"/>
    <x v="1"/>
    <x v="1"/>
    <x v="1"/>
    <x v="1"/>
    <x v="6"/>
    <x v="113"/>
    <x v="10"/>
    <x v="0"/>
    <x v="0"/>
    <x v="0"/>
    <x v="3"/>
    <x v="0"/>
    <x v="108"/>
    <x v="77"/>
    <n v="1180"/>
    <x v="90"/>
    <s v="Ford"/>
    <s v="F150"/>
    <n v="2001"/>
    <x v="1"/>
    <n v="0"/>
  </r>
  <r>
    <n v="258"/>
    <x v="35"/>
    <x v="114"/>
    <d v="1999-03-09T00:00:00"/>
    <x v="1"/>
    <s v="100/300"/>
    <n v="1000"/>
    <x v="113"/>
    <n v="10000000"/>
    <x v="114"/>
    <x v="0"/>
    <x v="0"/>
    <x v="1"/>
    <x v="11"/>
    <s v="other-relative"/>
    <x v="54"/>
    <x v="56"/>
    <x v="27"/>
    <x v="2"/>
    <x v="0"/>
    <x v="2"/>
    <x v="3"/>
    <x v="2"/>
    <x v="1"/>
    <x v="114"/>
    <x v="8"/>
    <x v="1"/>
    <x v="2"/>
    <x v="1"/>
    <x v="3"/>
    <x v="1"/>
    <x v="109"/>
    <x v="102"/>
    <n v="9540"/>
    <x v="110"/>
    <s v="Accura"/>
    <s v="MDX"/>
    <n v="1997"/>
    <x v="0"/>
    <n v="0"/>
  </r>
  <r>
    <n v="107"/>
    <x v="14"/>
    <x v="115"/>
    <d v="1991-02-13T00:00:00"/>
    <x v="2"/>
    <s v="500/1000"/>
    <n v="2000"/>
    <x v="18"/>
    <n v="0"/>
    <x v="115"/>
    <x v="1"/>
    <x v="1"/>
    <x v="1"/>
    <x v="4"/>
    <s v="other-relative"/>
    <x v="55"/>
    <x v="57"/>
    <x v="33"/>
    <x v="0"/>
    <x v="2"/>
    <x v="1"/>
    <x v="0"/>
    <x v="0"/>
    <x v="4"/>
    <x v="115"/>
    <x v="16"/>
    <x v="0"/>
    <x v="2"/>
    <x v="1"/>
    <x v="2"/>
    <x v="2"/>
    <x v="110"/>
    <x v="103"/>
    <n v="9320"/>
    <x v="111"/>
    <s v="Suburu"/>
    <s v="Legacy"/>
    <n v="2002"/>
    <x v="1"/>
    <n v="0"/>
  </r>
  <r>
    <n v="225"/>
    <x v="3"/>
    <x v="116"/>
    <d v="1993-08-05T00:00:00"/>
    <x v="0"/>
    <s v="500/1000"/>
    <n v="2000"/>
    <x v="114"/>
    <n v="0"/>
    <x v="116"/>
    <x v="0"/>
    <x v="5"/>
    <x v="8"/>
    <x v="20"/>
    <s v="unmarried"/>
    <x v="56"/>
    <x v="58"/>
    <x v="16"/>
    <x v="2"/>
    <x v="0"/>
    <x v="0"/>
    <x v="0"/>
    <x v="2"/>
    <x v="5"/>
    <x v="116"/>
    <x v="3"/>
    <x v="1"/>
    <x v="1"/>
    <x v="2"/>
    <x v="0"/>
    <x v="2"/>
    <x v="111"/>
    <x v="104"/>
    <n v="12800"/>
    <x v="112"/>
    <s v="Toyota"/>
    <s v="Highlander"/>
    <n v="2011"/>
    <x v="0"/>
    <n v="0"/>
  </r>
  <r>
    <n v="164"/>
    <x v="11"/>
    <x v="117"/>
    <d v="1997-10-31T00:00:00"/>
    <x v="2"/>
    <s v="250/500"/>
    <n v="2000"/>
    <x v="115"/>
    <n v="0"/>
    <x v="117"/>
    <x v="1"/>
    <x v="1"/>
    <x v="10"/>
    <x v="12"/>
    <s v="not-in-family"/>
    <x v="57"/>
    <x v="0"/>
    <x v="34"/>
    <x v="0"/>
    <x v="2"/>
    <x v="1"/>
    <x v="2"/>
    <x v="2"/>
    <x v="4"/>
    <x v="117"/>
    <x v="14"/>
    <x v="0"/>
    <x v="2"/>
    <x v="0"/>
    <x v="2"/>
    <x v="0"/>
    <x v="112"/>
    <x v="105"/>
    <n v="9000"/>
    <x v="113"/>
    <s v="Ford"/>
    <s v="Fusion"/>
    <n v="2015"/>
    <x v="1"/>
    <n v="0"/>
  </r>
  <r>
    <n v="245"/>
    <x v="5"/>
    <x v="118"/>
    <d v="2001-04-21T00:00:00"/>
    <x v="0"/>
    <s v="250/500"/>
    <n v="500"/>
    <x v="116"/>
    <n v="8000000"/>
    <x v="118"/>
    <x v="1"/>
    <x v="2"/>
    <x v="12"/>
    <x v="7"/>
    <s v="husband"/>
    <x v="58"/>
    <x v="0"/>
    <x v="41"/>
    <x v="2"/>
    <x v="2"/>
    <x v="1"/>
    <x v="0"/>
    <x v="2"/>
    <x v="2"/>
    <x v="118"/>
    <x v="2"/>
    <x v="1"/>
    <x v="1"/>
    <x v="1"/>
    <x v="3"/>
    <x v="1"/>
    <x v="113"/>
    <x v="106"/>
    <n v="6620"/>
    <x v="114"/>
    <s v="BMW"/>
    <s v="3 Series"/>
    <n v="2010"/>
    <x v="1"/>
    <n v="0"/>
  </r>
  <r>
    <n v="255"/>
    <x v="3"/>
    <x v="119"/>
    <d v="2013-01-08T00:00:00"/>
    <x v="2"/>
    <s v="500/1000"/>
    <n v="2000"/>
    <x v="117"/>
    <n v="4000000"/>
    <x v="119"/>
    <x v="0"/>
    <x v="5"/>
    <x v="7"/>
    <x v="2"/>
    <s v="other-relative"/>
    <x v="1"/>
    <x v="0"/>
    <x v="2"/>
    <x v="0"/>
    <x v="0"/>
    <x v="1"/>
    <x v="2"/>
    <x v="0"/>
    <x v="4"/>
    <x v="119"/>
    <x v="9"/>
    <x v="0"/>
    <x v="2"/>
    <x v="2"/>
    <x v="1"/>
    <x v="1"/>
    <x v="114"/>
    <x v="107"/>
    <n v="13860"/>
    <x v="115"/>
    <s v="Volkswagen"/>
    <s v="Passat"/>
    <n v="2000"/>
    <x v="1"/>
    <n v="0"/>
  </r>
  <r>
    <n v="206"/>
    <x v="31"/>
    <x v="120"/>
    <d v="2009-07-23T00:00:00"/>
    <x v="2"/>
    <s v="500/1000"/>
    <n v="500"/>
    <x v="118"/>
    <n v="4000000"/>
    <x v="120"/>
    <x v="1"/>
    <x v="0"/>
    <x v="6"/>
    <x v="17"/>
    <s v="other-relative"/>
    <x v="1"/>
    <x v="59"/>
    <x v="49"/>
    <x v="0"/>
    <x v="3"/>
    <x v="0"/>
    <x v="5"/>
    <x v="2"/>
    <x v="6"/>
    <x v="120"/>
    <x v="20"/>
    <x v="0"/>
    <x v="2"/>
    <x v="2"/>
    <x v="3"/>
    <x v="2"/>
    <x v="115"/>
    <x v="108"/>
    <n v="12760"/>
    <x v="116"/>
    <s v="Ford"/>
    <s v="Fusion"/>
    <n v="2008"/>
    <x v="0"/>
    <n v="1"/>
  </r>
  <r>
    <n v="203"/>
    <x v="11"/>
    <x v="121"/>
    <d v="1998-02-20T00:00:00"/>
    <x v="2"/>
    <s v="250/500"/>
    <n v="500"/>
    <x v="119"/>
    <n v="0"/>
    <x v="121"/>
    <x v="1"/>
    <x v="4"/>
    <x v="6"/>
    <x v="9"/>
    <s v="not-in-family"/>
    <x v="1"/>
    <x v="0"/>
    <x v="50"/>
    <x v="0"/>
    <x v="3"/>
    <x v="0"/>
    <x v="4"/>
    <x v="1"/>
    <x v="0"/>
    <x v="121"/>
    <x v="2"/>
    <x v="0"/>
    <x v="1"/>
    <x v="1"/>
    <x v="3"/>
    <x v="0"/>
    <x v="116"/>
    <x v="20"/>
    <n v="6160"/>
    <x v="117"/>
    <s v="Nissan"/>
    <s v="Maxima"/>
    <n v="1999"/>
    <x v="0"/>
    <n v="0"/>
  </r>
  <r>
    <n v="22"/>
    <x v="20"/>
    <x v="122"/>
    <d v="2008-03-13T00:00:00"/>
    <x v="0"/>
    <s v="250/500"/>
    <n v="2000"/>
    <x v="120"/>
    <n v="0"/>
    <x v="122"/>
    <x v="1"/>
    <x v="3"/>
    <x v="5"/>
    <x v="10"/>
    <s v="other-relative"/>
    <x v="59"/>
    <x v="0"/>
    <x v="9"/>
    <x v="2"/>
    <x v="3"/>
    <x v="2"/>
    <x v="3"/>
    <x v="5"/>
    <x v="2"/>
    <x v="122"/>
    <x v="5"/>
    <x v="2"/>
    <x v="0"/>
    <x v="0"/>
    <x v="1"/>
    <x v="2"/>
    <x v="117"/>
    <x v="109"/>
    <n v="17140"/>
    <x v="118"/>
    <s v="Accura"/>
    <s v="MDX"/>
    <n v="1995"/>
    <x v="1"/>
    <n v="0"/>
  </r>
  <r>
    <n v="211"/>
    <x v="21"/>
    <x v="123"/>
    <d v="1996-08-20T00:00:00"/>
    <x v="2"/>
    <s v="100/300"/>
    <n v="500"/>
    <x v="121"/>
    <n v="0"/>
    <x v="123"/>
    <x v="1"/>
    <x v="6"/>
    <x v="5"/>
    <x v="13"/>
    <s v="not-in-family"/>
    <x v="1"/>
    <x v="0"/>
    <x v="51"/>
    <x v="0"/>
    <x v="2"/>
    <x v="2"/>
    <x v="4"/>
    <x v="4"/>
    <x v="5"/>
    <x v="123"/>
    <x v="17"/>
    <x v="0"/>
    <x v="0"/>
    <x v="0"/>
    <x v="3"/>
    <x v="1"/>
    <x v="118"/>
    <x v="110"/>
    <n v="7000"/>
    <x v="38"/>
    <s v="BMW"/>
    <s v="X5"/>
    <n v="2011"/>
    <x v="1"/>
    <n v="0"/>
  </r>
  <r>
    <n v="206"/>
    <x v="5"/>
    <x v="124"/>
    <d v="2014-07-27T00:00:00"/>
    <x v="1"/>
    <s v="250/500"/>
    <n v="1000"/>
    <x v="122"/>
    <n v="6000000"/>
    <x v="124"/>
    <x v="0"/>
    <x v="6"/>
    <x v="0"/>
    <x v="8"/>
    <s v="unmarried"/>
    <x v="60"/>
    <x v="60"/>
    <x v="4"/>
    <x v="2"/>
    <x v="2"/>
    <x v="2"/>
    <x v="4"/>
    <x v="2"/>
    <x v="4"/>
    <x v="124"/>
    <x v="11"/>
    <x v="1"/>
    <x v="2"/>
    <x v="2"/>
    <x v="2"/>
    <x v="0"/>
    <x v="119"/>
    <x v="111"/>
    <n v="9900"/>
    <x v="2"/>
    <s v="Ford"/>
    <s v="Escape"/>
    <n v="2013"/>
    <x v="1"/>
    <n v="0"/>
  </r>
  <r>
    <n v="166"/>
    <x v="11"/>
    <x v="125"/>
    <d v="1992-11-09T00:00:00"/>
    <x v="2"/>
    <s v="100/300"/>
    <n v="2000"/>
    <x v="123"/>
    <n v="0"/>
    <x v="125"/>
    <x v="0"/>
    <x v="0"/>
    <x v="9"/>
    <x v="17"/>
    <s v="unmarried"/>
    <x v="37"/>
    <x v="61"/>
    <x v="25"/>
    <x v="0"/>
    <x v="0"/>
    <x v="2"/>
    <x v="3"/>
    <x v="4"/>
    <x v="0"/>
    <x v="125"/>
    <x v="1"/>
    <x v="0"/>
    <x v="2"/>
    <x v="1"/>
    <x v="1"/>
    <x v="1"/>
    <x v="120"/>
    <x v="112"/>
    <n v="5760"/>
    <x v="119"/>
    <s v="Suburu"/>
    <s v="Impreza"/>
    <n v="2001"/>
    <x v="1"/>
    <n v="0"/>
  </r>
  <r>
    <n v="165"/>
    <x v="30"/>
    <x v="126"/>
    <d v="2012-06-04T00:00:00"/>
    <x v="1"/>
    <s v="500/1000"/>
    <n v="500"/>
    <x v="124"/>
    <n v="0"/>
    <x v="126"/>
    <x v="1"/>
    <x v="5"/>
    <x v="4"/>
    <x v="20"/>
    <s v="own-child"/>
    <x v="61"/>
    <x v="0"/>
    <x v="42"/>
    <x v="3"/>
    <x v="1"/>
    <x v="1"/>
    <x v="0"/>
    <x v="7"/>
    <x v="6"/>
    <x v="126"/>
    <x v="10"/>
    <x v="0"/>
    <x v="1"/>
    <x v="2"/>
    <x v="1"/>
    <x v="1"/>
    <x v="121"/>
    <x v="94"/>
    <n v="660"/>
    <x v="120"/>
    <s v="BMW"/>
    <s v="M5"/>
    <n v="1998"/>
    <x v="1"/>
    <n v="0"/>
  </r>
  <r>
    <n v="274"/>
    <x v="18"/>
    <x v="127"/>
    <d v="2001-05-13T00:00:00"/>
    <x v="0"/>
    <s v="100/300"/>
    <n v="2000"/>
    <x v="125"/>
    <n v="0"/>
    <x v="127"/>
    <x v="0"/>
    <x v="3"/>
    <x v="13"/>
    <x v="16"/>
    <s v="wife"/>
    <x v="62"/>
    <x v="62"/>
    <x v="38"/>
    <x v="0"/>
    <x v="3"/>
    <x v="0"/>
    <x v="2"/>
    <x v="2"/>
    <x v="5"/>
    <x v="127"/>
    <x v="9"/>
    <x v="0"/>
    <x v="0"/>
    <x v="1"/>
    <x v="2"/>
    <x v="0"/>
    <x v="122"/>
    <x v="113"/>
    <n v="10640"/>
    <x v="121"/>
    <s v="BMW"/>
    <s v="X5"/>
    <n v="2006"/>
    <x v="0"/>
    <n v="0"/>
  </r>
  <r>
    <n v="81"/>
    <x v="23"/>
    <x v="128"/>
    <d v="2011-09-17T00:00:00"/>
    <x v="2"/>
    <s v="250/500"/>
    <n v="1000"/>
    <x v="126"/>
    <n v="6000000"/>
    <x v="128"/>
    <x v="1"/>
    <x v="4"/>
    <x v="2"/>
    <x v="0"/>
    <s v="husband"/>
    <x v="63"/>
    <x v="0"/>
    <x v="45"/>
    <x v="2"/>
    <x v="3"/>
    <x v="0"/>
    <x v="2"/>
    <x v="0"/>
    <x v="5"/>
    <x v="128"/>
    <x v="5"/>
    <x v="1"/>
    <x v="1"/>
    <x v="0"/>
    <x v="0"/>
    <x v="1"/>
    <x v="123"/>
    <x v="114"/>
    <n v="4970"/>
    <x v="122"/>
    <s v="Saab"/>
    <s v="92x"/>
    <n v="2000"/>
    <x v="0"/>
    <n v="0"/>
  </r>
  <r>
    <n v="280"/>
    <x v="19"/>
    <x v="129"/>
    <d v="2011-07-15T00:00:00"/>
    <x v="1"/>
    <s v="250/500"/>
    <n v="1000"/>
    <x v="127"/>
    <n v="0"/>
    <x v="129"/>
    <x v="0"/>
    <x v="6"/>
    <x v="1"/>
    <x v="7"/>
    <s v="wife"/>
    <x v="64"/>
    <x v="0"/>
    <x v="12"/>
    <x v="2"/>
    <x v="3"/>
    <x v="1"/>
    <x v="3"/>
    <x v="2"/>
    <x v="2"/>
    <x v="129"/>
    <x v="5"/>
    <x v="1"/>
    <x v="0"/>
    <x v="0"/>
    <x v="0"/>
    <x v="2"/>
    <x v="124"/>
    <x v="115"/>
    <n v="14120"/>
    <x v="123"/>
    <s v="Ford"/>
    <s v="Escape"/>
    <n v="1999"/>
    <x v="1"/>
    <n v="0"/>
  </r>
  <r>
    <n v="194"/>
    <x v="5"/>
    <x v="130"/>
    <d v="2005-07-27T00:00:00"/>
    <x v="1"/>
    <s v="250/500"/>
    <n v="500"/>
    <x v="128"/>
    <n v="0"/>
    <x v="130"/>
    <x v="0"/>
    <x v="4"/>
    <x v="12"/>
    <x v="13"/>
    <s v="own-child"/>
    <x v="1"/>
    <x v="0"/>
    <x v="43"/>
    <x v="2"/>
    <x v="3"/>
    <x v="0"/>
    <x v="3"/>
    <x v="4"/>
    <x v="0"/>
    <x v="130"/>
    <x v="19"/>
    <x v="1"/>
    <x v="1"/>
    <x v="2"/>
    <x v="0"/>
    <x v="2"/>
    <x v="125"/>
    <x v="116"/>
    <n v="12300"/>
    <x v="124"/>
    <s v="Dodge"/>
    <s v="RAM"/>
    <n v="2012"/>
    <x v="1"/>
    <n v="0"/>
  </r>
  <r>
    <n v="112"/>
    <x v="28"/>
    <x v="131"/>
    <d v="2005-10-18T00:00:00"/>
    <x v="0"/>
    <s v="100/300"/>
    <n v="500"/>
    <x v="129"/>
    <n v="0"/>
    <x v="131"/>
    <x v="1"/>
    <x v="4"/>
    <x v="4"/>
    <x v="20"/>
    <s v="unmarried"/>
    <x v="65"/>
    <x v="63"/>
    <x v="2"/>
    <x v="2"/>
    <x v="3"/>
    <x v="0"/>
    <x v="4"/>
    <x v="5"/>
    <x v="2"/>
    <x v="131"/>
    <x v="7"/>
    <x v="1"/>
    <x v="1"/>
    <x v="1"/>
    <x v="3"/>
    <x v="1"/>
    <x v="126"/>
    <x v="117"/>
    <n v="8500"/>
    <x v="125"/>
    <s v="Nissan"/>
    <s v="Pathfinder"/>
    <n v="2013"/>
    <x v="1"/>
    <n v="0"/>
  </r>
  <r>
    <n v="24"/>
    <x v="8"/>
    <x v="132"/>
    <d v="1996-01-19T00:00:00"/>
    <x v="2"/>
    <s v="500/1000"/>
    <n v="1000"/>
    <x v="130"/>
    <n v="0"/>
    <x v="132"/>
    <x v="1"/>
    <x v="5"/>
    <x v="1"/>
    <x v="9"/>
    <s v="wife"/>
    <x v="1"/>
    <x v="64"/>
    <x v="27"/>
    <x v="0"/>
    <x v="0"/>
    <x v="2"/>
    <x v="0"/>
    <x v="4"/>
    <x v="5"/>
    <x v="132"/>
    <x v="5"/>
    <x v="0"/>
    <x v="1"/>
    <x v="2"/>
    <x v="3"/>
    <x v="2"/>
    <x v="127"/>
    <x v="118"/>
    <n v="9360"/>
    <x v="126"/>
    <s v="Jeep"/>
    <s v="Wrangler"/>
    <n v="2002"/>
    <x v="1"/>
    <n v="0"/>
  </r>
  <r>
    <n v="93"/>
    <x v="30"/>
    <x v="133"/>
    <d v="2005-09-29T00:00:00"/>
    <x v="0"/>
    <s v="250/500"/>
    <n v="2000"/>
    <x v="131"/>
    <n v="0"/>
    <x v="133"/>
    <x v="0"/>
    <x v="1"/>
    <x v="8"/>
    <x v="16"/>
    <s v="unmarried"/>
    <x v="66"/>
    <x v="65"/>
    <x v="47"/>
    <x v="0"/>
    <x v="0"/>
    <x v="1"/>
    <x v="4"/>
    <x v="4"/>
    <x v="5"/>
    <x v="133"/>
    <x v="16"/>
    <x v="0"/>
    <x v="1"/>
    <x v="0"/>
    <x v="3"/>
    <x v="1"/>
    <x v="128"/>
    <x v="119"/>
    <n v="8680"/>
    <x v="0"/>
    <s v="BMW"/>
    <s v="3 Series"/>
    <n v="2006"/>
    <x v="1"/>
    <n v="0"/>
  </r>
  <r>
    <n v="171"/>
    <x v="6"/>
    <x v="134"/>
    <d v="1997-02-18T00:00:00"/>
    <x v="1"/>
    <s v="250/500"/>
    <n v="2000"/>
    <x v="132"/>
    <n v="0"/>
    <x v="134"/>
    <x v="1"/>
    <x v="3"/>
    <x v="8"/>
    <x v="12"/>
    <s v="other-relative"/>
    <x v="67"/>
    <x v="0"/>
    <x v="16"/>
    <x v="0"/>
    <x v="2"/>
    <x v="0"/>
    <x v="0"/>
    <x v="2"/>
    <x v="3"/>
    <x v="134"/>
    <x v="8"/>
    <x v="0"/>
    <x v="2"/>
    <x v="0"/>
    <x v="0"/>
    <x v="1"/>
    <x v="129"/>
    <x v="120"/>
    <n v="6920"/>
    <x v="127"/>
    <s v="Volkswagen"/>
    <s v="Passat"/>
    <n v="1996"/>
    <x v="0"/>
    <n v="0"/>
  </r>
  <r>
    <n v="200"/>
    <x v="17"/>
    <x v="135"/>
    <d v="2010-05-11T00:00:00"/>
    <x v="2"/>
    <s v="100/300"/>
    <n v="1000"/>
    <x v="133"/>
    <n v="0"/>
    <x v="135"/>
    <x v="1"/>
    <x v="5"/>
    <x v="2"/>
    <x v="20"/>
    <s v="other-relative"/>
    <x v="68"/>
    <x v="66"/>
    <x v="17"/>
    <x v="1"/>
    <x v="1"/>
    <x v="1"/>
    <x v="0"/>
    <x v="1"/>
    <x v="1"/>
    <x v="135"/>
    <x v="10"/>
    <x v="0"/>
    <x v="1"/>
    <x v="1"/>
    <x v="1"/>
    <x v="2"/>
    <x v="130"/>
    <x v="121"/>
    <n v="410"/>
    <x v="128"/>
    <s v="Ford"/>
    <s v="Escape"/>
    <n v="2015"/>
    <x v="1"/>
    <n v="0"/>
  </r>
  <r>
    <n v="120"/>
    <x v="23"/>
    <x v="136"/>
    <d v="2009-02-06T00:00:00"/>
    <x v="2"/>
    <s v="250/500"/>
    <n v="1000"/>
    <x v="134"/>
    <n v="0"/>
    <x v="136"/>
    <x v="1"/>
    <x v="1"/>
    <x v="4"/>
    <x v="6"/>
    <s v="not-in-family"/>
    <x v="69"/>
    <x v="0"/>
    <x v="22"/>
    <x v="2"/>
    <x v="2"/>
    <x v="1"/>
    <x v="2"/>
    <x v="0"/>
    <x v="3"/>
    <x v="136"/>
    <x v="10"/>
    <x v="1"/>
    <x v="2"/>
    <x v="1"/>
    <x v="2"/>
    <x v="1"/>
    <x v="131"/>
    <x v="122"/>
    <n v="6550"/>
    <x v="129"/>
    <s v="BMW"/>
    <s v="X5"/>
    <n v="2010"/>
    <x v="1"/>
    <n v="0"/>
  </r>
  <r>
    <n v="325"/>
    <x v="35"/>
    <x v="137"/>
    <d v="2013-07-09T00:00:00"/>
    <x v="2"/>
    <s v="500/1000"/>
    <n v="500"/>
    <x v="135"/>
    <n v="0"/>
    <x v="137"/>
    <x v="1"/>
    <x v="5"/>
    <x v="5"/>
    <x v="16"/>
    <s v="wife"/>
    <x v="70"/>
    <x v="67"/>
    <x v="52"/>
    <x v="2"/>
    <x v="2"/>
    <x v="1"/>
    <x v="2"/>
    <x v="5"/>
    <x v="3"/>
    <x v="137"/>
    <x v="7"/>
    <x v="1"/>
    <x v="1"/>
    <x v="0"/>
    <x v="0"/>
    <x v="0"/>
    <x v="132"/>
    <x v="120"/>
    <n v="6920"/>
    <x v="130"/>
    <s v="Toyota"/>
    <s v="Camry"/>
    <n v="1999"/>
    <x v="1"/>
    <n v="0"/>
  </r>
  <r>
    <n v="124"/>
    <x v="30"/>
    <x v="138"/>
    <d v="1992-06-06T00:00:00"/>
    <x v="2"/>
    <s v="250/500"/>
    <n v="1000"/>
    <x v="136"/>
    <n v="0"/>
    <x v="138"/>
    <x v="1"/>
    <x v="0"/>
    <x v="6"/>
    <x v="11"/>
    <s v="not-in-family"/>
    <x v="1"/>
    <x v="68"/>
    <x v="31"/>
    <x v="2"/>
    <x v="3"/>
    <x v="2"/>
    <x v="3"/>
    <x v="1"/>
    <x v="3"/>
    <x v="138"/>
    <x v="4"/>
    <x v="1"/>
    <x v="2"/>
    <x v="1"/>
    <x v="0"/>
    <x v="0"/>
    <x v="133"/>
    <x v="123"/>
    <n v="12260"/>
    <x v="131"/>
    <s v="BMW"/>
    <s v="X5"/>
    <n v="1995"/>
    <x v="1"/>
    <n v="0"/>
  </r>
  <r>
    <n v="211"/>
    <x v="21"/>
    <x v="139"/>
    <d v="1998-03-08T00:00:00"/>
    <x v="0"/>
    <s v="100/300"/>
    <n v="2000"/>
    <x v="137"/>
    <n v="0"/>
    <x v="139"/>
    <x v="0"/>
    <x v="4"/>
    <x v="1"/>
    <x v="7"/>
    <s v="other-relative"/>
    <x v="71"/>
    <x v="0"/>
    <x v="1"/>
    <x v="0"/>
    <x v="2"/>
    <x v="2"/>
    <x v="0"/>
    <x v="2"/>
    <x v="5"/>
    <x v="139"/>
    <x v="23"/>
    <x v="0"/>
    <x v="0"/>
    <x v="1"/>
    <x v="3"/>
    <x v="1"/>
    <x v="134"/>
    <x v="124"/>
    <n v="4730"/>
    <x v="132"/>
    <s v="Mercedes"/>
    <s v="E400"/>
    <n v="2008"/>
    <x v="1"/>
    <n v="0"/>
  </r>
  <r>
    <n v="287"/>
    <x v="3"/>
    <x v="140"/>
    <d v="2004-03-29T00:00:00"/>
    <x v="2"/>
    <s v="500/1000"/>
    <n v="2000"/>
    <x v="138"/>
    <n v="0"/>
    <x v="140"/>
    <x v="0"/>
    <x v="4"/>
    <x v="10"/>
    <x v="17"/>
    <s v="wife"/>
    <x v="1"/>
    <x v="30"/>
    <x v="16"/>
    <x v="1"/>
    <x v="1"/>
    <x v="3"/>
    <x v="1"/>
    <x v="0"/>
    <x v="6"/>
    <x v="140"/>
    <x v="10"/>
    <x v="0"/>
    <x v="1"/>
    <x v="2"/>
    <x v="2"/>
    <x v="1"/>
    <x v="135"/>
    <x v="125"/>
    <n v="940"/>
    <x v="133"/>
    <s v="Suburu"/>
    <s v="Forrestor"/>
    <n v="2001"/>
    <x v="1"/>
    <n v="0"/>
  </r>
  <r>
    <n v="122"/>
    <x v="6"/>
    <x v="141"/>
    <d v="2006-06-01T00:00:00"/>
    <x v="1"/>
    <s v="250/500"/>
    <n v="1000"/>
    <x v="139"/>
    <n v="0"/>
    <x v="141"/>
    <x v="0"/>
    <x v="1"/>
    <x v="1"/>
    <x v="17"/>
    <s v="own-child"/>
    <x v="72"/>
    <x v="22"/>
    <x v="7"/>
    <x v="3"/>
    <x v="1"/>
    <x v="1"/>
    <x v="1"/>
    <x v="0"/>
    <x v="5"/>
    <x v="141"/>
    <x v="0"/>
    <x v="0"/>
    <x v="1"/>
    <x v="2"/>
    <x v="3"/>
    <x v="0"/>
    <x v="136"/>
    <x v="126"/>
    <n v="1260"/>
    <x v="13"/>
    <s v="Chevrolet"/>
    <s v="Silverado"/>
    <n v="2013"/>
    <x v="1"/>
    <n v="0"/>
  </r>
  <r>
    <n v="22"/>
    <x v="2"/>
    <x v="142"/>
    <d v="1994-06-08T00:00:00"/>
    <x v="1"/>
    <s v="250/500"/>
    <n v="2000"/>
    <x v="140"/>
    <n v="6000000"/>
    <x v="142"/>
    <x v="0"/>
    <x v="0"/>
    <x v="8"/>
    <x v="12"/>
    <s v="other-relative"/>
    <x v="1"/>
    <x v="69"/>
    <x v="30"/>
    <x v="0"/>
    <x v="2"/>
    <x v="0"/>
    <x v="4"/>
    <x v="0"/>
    <x v="3"/>
    <x v="142"/>
    <x v="8"/>
    <x v="0"/>
    <x v="1"/>
    <x v="2"/>
    <x v="2"/>
    <x v="1"/>
    <x v="137"/>
    <x v="23"/>
    <n v="14160"/>
    <x v="134"/>
    <s v="Accura"/>
    <s v="MDX"/>
    <n v="2012"/>
    <x v="0"/>
    <n v="0"/>
  </r>
  <r>
    <n v="106"/>
    <x v="14"/>
    <x v="143"/>
    <d v="1998-02-12T00:00:00"/>
    <x v="2"/>
    <s v="500/1000"/>
    <n v="2000"/>
    <x v="141"/>
    <n v="0"/>
    <x v="143"/>
    <x v="1"/>
    <x v="6"/>
    <x v="13"/>
    <x v="17"/>
    <s v="wife"/>
    <x v="73"/>
    <x v="0"/>
    <x v="52"/>
    <x v="2"/>
    <x v="2"/>
    <x v="2"/>
    <x v="0"/>
    <x v="4"/>
    <x v="3"/>
    <x v="143"/>
    <x v="3"/>
    <x v="1"/>
    <x v="1"/>
    <x v="1"/>
    <x v="2"/>
    <x v="0"/>
    <x v="138"/>
    <x v="127"/>
    <n v="5070"/>
    <x v="135"/>
    <s v="Accura"/>
    <s v="MDX"/>
    <n v="2011"/>
    <x v="1"/>
    <n v="0"/>
  </r>
  <r>
    <n v="398"/>
    <x v="12"/>
    <x v="144"/>
    <d v="2000-11-16T00:00:00"/>
    <x v="0"/>
    <s v="100/300"/>
    <n v="500"/>
    <x v="142"/>
    <n v="0"/>
    <x v="144"/>
    <x v="1"/>
    <x v="2"/>
    <x v="8"/>
    <x v="19"/>
    <s v="wife"/>
    <x v="1"/>
    <x v="70"/>
    <x v="40"/>
    <x v="0"/>
    <x v="3"/>
    <x v="0"/>
    <x v="0"/>
    <x v="5"/>
    <x v="6"/>
    <x v="144"/>
    <x v="22"/>
    <x v="0"/>
    <x v="0"/>
    <x v="2"/>
    <x v="3"/>
    <x v="1"/>
    <x v="139"/>
    <x v="128"/>
    <n v="15280"/>
    <x v="136"/>
    <s v="Accura"/>
    <s v="TL"/>
    <n v="2002"/>
    <x v="0"/>
    <n v="0"/>
  </r>
  <r>
    <n v="214"/>
    <x v="3"/>
    <x v="145"/>
    <d v="2004-10-24T00:00:00"/>
    <x v="2"/>
    <s v="500/1000"/>
    <n v="500"/>
    <x v="143"/>
    <n v="4000000"/>
    <x v="145"/>
    <x v="0"/>
    <x v="4"/>
    <x v="4"/>
    <x v="18"/>
    <s v="not-in-family"/>
    <x v="1"/>
    <x v="71"/>
    <x v="52"/>
    <x v="2"/>
    <x v="0"/>
    <x v="0"/>
    <x v="2"/>
    <x v="5"/>
    <x v="5"/>
    <x v="145"/>
    <x v="21"/>
    <x v="1"/>
    <x v="1"/>
    <x v="2"/>
    <x v="1"/>
    <x v="2"/>
    <x v="140"/>
    <x v="129"/>
    <n v="6400"/>
    <x v="137"/>
    <s v="BMW"/>
    <s v="X6"/>
    <n v="1996"/>
    <x v="0"/>
    <n v="0"/>
  </r>
  <r>
    <n v="209"/>
    <x v="11"/>
    <x v="146"/>
    <d v="2009-11-08T00:00:00"/>
    <x v="0"/>
    <s v="100/300"/>
    <n v="500"/>
    <x v="144"/>
    <n v="0"/>
    <x v="146"/>
    <x v="1"/>
    <x v="0"/>
    <x v="6"/>
    <x v="6"/>
    <s v="other-relative"/>
    <x v="74"/>
    <x v="0"/>
    <x v="16"/>
    <x v="0"/>
    <x v="3"/>
    <x v="1"/>
    <x v="2"/>
    <x v="4"/>
    <x v="6"/>
    <x v="146"/>
    <x v="7"/>
    <x v="0"/>
    <x v="1"/>
    <x v="0"/>
    <x v="3"/>
    <x v="1"/>
    <x v="141"/>
    <x v="130"/>
    <n v="4730"/>
    <x v="132"/>
    <s v="Nissan"/>
    <s v="Pathfinder"/>
    <n v="2014"/>
    <x v="1"/>
    <n v="0"/>
  </r>
  <r>
    <n v="82"/>
    <x v="28"/>
    <x v="147"/>
    <d v="1996-09-21T00:00:00"/>
    <x v="2"/>
    <s v="100/300"/>
    <n v="1000"/>
    <x v="145"/>
    <n v="0"/>
    <x v="147"/>
    <x v="0"/>
    <x v="1"/>
    <x v="12"/>
    <x v="1"/>
    <s v="not-in-family"/>
    <x v="75"/>
    <x v="72"/>
    <x v="32"/>
    <x v="0"/>
    <x v="2"/>
    <x v="0"/>
    <x v="3"/>
    <x v="0"/>
    <x v="3"/>
    <x v="147"/>
    <x v="8"/>
    <x v="0"/>
    <x v="2"/>
    <x v="2"/>
    <x v="2"/>
    <x v="1"/>
    <x v="142"/>
    <x v="131"/>
    <n v="8960"/>
    <x v="138"/>
    <s v="Volkswagen"/>
    <s v="Jetta"/>
    <n v="2007"/>
    <x v="0"/>
    <n v="0"/>
  </r>
  <r>
    <n v="193"/>
    <x v="3"/>
    <x v="148"/>
    <d v="1995-07-16T00:00:00"/>
    <x v="0"/>
    <s v="250/500"/>
    <n v="500"/>
    <x v="146"/>
    <n v="0"/>
    <x v="148"/>
    <x v="1"/>
    <x v="6"/>
    <x v="0"/>
    <x v="9"/>
    <s v="not-in-family"/>
    <x v="1"/>
    <x v="0"/>
    <x v="42"/>
    <x v="0"/>
    <x v="0"/>
    <x v="0"/>
    <x v="3"/>
    <x v="0"/>
    <x v="3"/>
    <x v="148"/>
    <x v="17"/>
    <x v="0"/>
    <x v="1"/>
    <x v="0"/>
    <x v="1"/>
    <x v="0"/>
    <x v="143"/>
    <x v="132"/>
    <n v="17280"/>
    <x v="139"/>
    <s v="Suburu"/>
    <s v="Impreza"/>
    <n v="2011"/>
    <x v="0"/>
    <n v="0"/>
  </r>
  <r>
    <n v="134"/>
    <x v="30"/>
    <x v="149"/>
    <d v="2001-06-09T00:00:00"/>
    <x v="0"/>
    <s v="100/300"/>
    <n v="1000"/>
    <x v="147"/>
    <n v="0"/>
    <x v="149"/>
    <x v="1"/>
    <x v="1"/>
    <x v="13"/>
    <x v="5"/>
    <s v="wife"/>
    <x v="1"/>
    <x v="0"/>
    <x v="25"/>
    <x v="0"/>
    <x v="0"/>
    <x v="2"/>
    <x v="3"/>
    <x v="2"/>
    <x v="0"/>
    <x v="149"/>
    <x v="18"/>
    <x v="0"/>
    <x v="1"/>
    <x v="0"/>
    <x v="1"/>
    <x v="1"/>
    <x v="144"/>
    <x v="133"/>
    <n v="15040"/>
    <x v="140"/>
    <s v="Audi"/>
    <s v="A3"/>
    <n v="2014"/>
    <x v="1"/>
    <n v="0"/>
  </r>
  <r>
    <n v="288"/>
    <x v="19"/>
    <x v="150"/>
    <d v="2002-10-06T00:00:00"/>
    <x v="2"/>
    <s v="100/300"/>
    <n v="1000"/>
    <x v="148"/>
    <n v="0"/>
    <x v="150"/>
    <x v="0"/>
    <x v="4"/>
    <x v="7"/>
    <x v="18"/>
    <s v="husband"/>
    <x v="1"/>
    <x v="0"/>
    <x v="7"/>
    <x v="2"/>
    <x v="2"/>
    <x v="0"/>
    <x v="2"/>
    <x v="5"/>
    <x v="4"/>
    <x v="150"/>
    <x v="14"/>
    <x v="1"/>
    <x v="1"/>
    <x v="2"/>
    <x v="3"/>
    <x v="1"/>
    <x v="145"/>
    <x v="134"/>
    <n v="5340"/>
    <x v="141"/>
    <s v="Mercedes"/>
    <s v="C300"/>
    <n v="2009"/>
    <x v="1"/>
    <n v="0"/>
  </r>
  <r>
    <n v="104"/>
    <x v="30"/>
    <x v="151"/>
    <d v="1997-07-14T00:00:00"/>
    <x v="1"/>
    <s v="250/500"/>
    <n v="500"/>
    <x v="149"/>
    <n v="0"/>
    <x v="151"/>
    <x v="0"/>
    <x v="5"/>
    <x v="8"/>
    <x v="15"/>
    <s v="own-child"/>
    <x v="76"/>
    <x v="73"/>
    <x v="13"/>
    <x v="2"/>
    <x v="2"/>
    <x v="2"/>
    <x v="0"/>
    <x v="2"/>
    <x v="1"/>
    <x v="151"/>
    <x v="6"/>
    <x v="1"/>
    <x v="0"/>
    <x v="0"/>
    <x v="2"/>
    <x v="0"/>
    <x v="146"/>
    <x v="135"/>
    <n v="9780"/>
    <x v="142"/>
    <s v="Volkswagen"/>
    <s v="Jetta"/>
    <n v="2006"/>
    <x v="0"/>
    <n v="0"/>
  </r>
  <r>
    <n v="431"/>
    <x v="25"/>
    <x v="152"/>
    <d v="1994-11-11T00:00:00"/>
    <x v="0"/>
    <s v="100/300"/>
    <n v="1000"/>
    <x v="150"/>
    <n v="0"/>
    <x v="152"/>
    <x v="1"/>
    <x v="4"/>
    <x v="0"/>
    <x v="13"/>
    <s v="own-child"/>
    <x v="77"/>
    <x v="0"/>
    <x v="13"/>
    <x v="2"/>
    <x v="2"/>
    <x v="2"/>
    <x v="2"/>
    <x v="4"/>
    <x v="0"/>
    <x v="152"/>
    <x v="21"/>
    <x v="1"/>
    <x v="2"/>
    <x v="2"/>
    <x v="2"/>
    <x v="1"/>
    <x v="147"/>
    <x v="136"/>
    <n v="10540"/>
    <x v="143"/>
    <s v="Suburu"/>
    <s v="Forrestor"/>
    <n v="1997"/>
    <x v="1"/>
    <n v="0"/>
  </r>
  <r>
    <n v="101"/>
    <x v="8"/>
    <x v="153"/>
    <d v="2012-06-23T00:00:00"/>
    <x v="0"/>
    <s v="100/300"/>
    <n v="1000"/>
    <x v="151"/>
    <n v="7000000"/>
    <x v="153"/>
    <x v="1"/>
    <x v="4"/>
    <x v="6"/>
    <x v="1"/>
    <s v="own-child"/>
    <x v="78"/>
    <x v="74"/>
    <x v="20"/>
    <x v="2"/>
    <x v="2"/>
    <x v="1"/>
    <x v="4"/>
    <x v="5"/>
    <x v="6"/>
    <x v="153"/>
    <x v="3"/>
    <x v="1"/>
    <x v="2"/>
    <x v="0"/>
    <x v="2"/>
    <x v="1"/>
    <x v="148"/>
    <x v="137"/>
    <n v="9040"/>
    <x v="144"/>
    <s v="Saab"/>
    <n v="93"/>
    <n v="2013"/>
    <x v="0"/>
    <n v="0"/>
  </r>
  <r>
    <n v="375"/>
    <x v="36"/>
    <x v="154"/>
    <d v="2007-02-18T00:00:00"/>
    <x v="0"/>
    <s v="100/300"/>
    <n v="1000"/>
    <x v="152"/>
    <n v="0"/>
    <x v="154"/>
    <x v="0"/>
    <x v="2"/>
    <x v="2"/>
    <x v="4"/>
    <s v="other-relative"/>
    <x v="1"/>
    <x v="0"/>
    <x v="26"/>
    <x v="0"/>
    <x v="3"/>
    <x v="0"/>
    <x v="0"/>
    <x v="2"/>
    <x v="1"/>
    <x v="154"/>
    <x v="16"/>
    <x v="0"/>
    <x v="0"/>
    <x v="2"/>
    <x v="2"/>
    <x v="2"/>
    <x v="149"/>
    <x v="20"/>
    <n v="0"/>
    <x v="145"/>
    <s v="Audi"/>
    <s v="A5"/>
    <n v="1996"/>
    <x v="0"/>
    <n v="0"/>
  </r>
  <r>
    <n v="461"/>
    <x v="9"/>
    <x v="155"/>
    <d v="2005-06-27T00:00:00"/>
    <x v="0"/>
    <s v="100/300"/>
    <n v="2000"/>
    <x v="153"/>
    <n v="0"/>
    <x v="155"/>
    <x v="0"/>
    <x v="6"/>
    <x v="8"/>
    <x v="20"/>
    <s v="husband"/>
    <x v="1"/>
    <x v="0"/>
    <x v="32"/>
    <x v="2"/>
    <x v="2"/>
    <x v="1"/>
    <x v="0"/>
    <x v="2"/>
    <x v="0"/>
    <x v="155"/>
    <x v="15"/>
    <x v="1"/>
    <x v="1"/>
    <x v="2"/>
    <x v="3"/>
    <x v="0"/>
    <x v="150"/>
    <x v="89"/>
    <n v="14420"/>
    <x v="94"/>
    <s v="Jeep"/>
    <s v="Wrangler"/>
    <n v="2006"/>
    <x v="1"/>
    <n v="0"/>
  </r>
  <r>
    <n v="428"/>
    <x v="27"/>
    <x v="156"/>
    <d v="1999-09-29T00:00:00"/>
    <x v="1"/>
    <s v="250/500"/>
    <n v="500"/>
    <x v="154"/>
    <n v="7000000"/>
    <x v="156"/>
    <x v="1"/>
    <x v="6"/>
    <x v="5"/>
    <x v="11"/>
    <s v="other-relative"/>
    <x v="1"/>
    <x v="0"/>
    <x v="38"/>
    <x v="3"/>
    <x v="1"/>
    <x v="1"/>
    <x v="1"/>
    <x v="4"/>
    <x v="5"/>
    <x v="156"/>
    <x v="1"/>
    <x v="0"/>
    <x v="1"/>
    <x v="2"/>
    <x v="2"/>
    <x v="2"/>
    <x v="4"/>
    <x v="4"/>
    <n v="650"/>
    <x v="4"/>
    <s v="Saab"/>
    <s v="92x"/>
    <n v="2013"/>
    <x v="1"/>
    <n v="0"/>
  </r>
  <r>
    <n v="45"/>
    <x v="11"/>
    <x v="157"/>
    <d v="2006-05-14T00:00:00"/>
    <x v="1"/>
    <s v="100/300"/>
    <n v="1000"/>
    <x v="155"/>
    <n v="0"/>
    <x v="157"/>
    <x v="0"/>
    <x v="4"/>
    <x v="1"/>
    <x v="10"/>
    <s v="not-in-family"/>
    <x v="79"/>
    <x v="0"/>
    <x v="30"/>
    <x v="2"/>
    <x v="3"/>
    <x v="2"/>
    <x v="4"/>
    <x v="4"/>
    <x v="3"/>
    <x v="157"/>
    <x v="18"/>
    <x v="1"/>
    <x v="1"/>
    <x v="2"/>
    <x v="1"/>
    <x v="1"/>
    <x v="151"/>
    <x v="138"/>
    <n v="13040"/>
    <x v="146"/>
    <s v="Suburu"/>
    <s v="Legacy"/>
    <n v="2013"/>
    <x v="1"/>
    <n v="0"/>
  </r>
  <r>
    <n v="136"/>
    <x v="2"/>
    <x v="158"/>
    <d v="2010-04-29T00:00:00"/>
    <x v="0"/>
    <s v="100/300"/>
    <n v="500"/>
    <x v="156"/>
    <n v="0"/>
    <x v="158"/>
    <x v="1"/>
    <x v="6"/>
    <x v="10"/>
    <x v="17"/>
    <s v="other-relative"/>
    <x v="80"/>
    <x v="75"/>
    <x v="53"/>
    <x v="1"/>
    <x v="1"/>
    <x v="1"/>
    <x v="0"/>
    <x v="2"/>
    <x v="0"/>
    <x v="158"/>
    <x v="10"/>
    <x v="0"/>
    <x v="1"/>
    <x v="2"/>
    <x v="1"/>
    <x v="1"/>
    <x v="152"/>
    <x v="72"/>
    <n v="620"/>
    <x v="147"/>
    <s v="Honda"/>
    <s v="Accord"/>
    <n v="1999"/>
    <x v="1"/>
    <n v="0"/>
  </r>
  <r>
    <n v="216"/>
    <x v="31"/>
    <x v="159"/>
    <d v="1992-11-10T00:00:00"/>
    <x v="1"/>
    <s v="500/1000"/>
    <n v="1000"/>
    <x v="157"/>
    <n v="0"/>
    <x v="159"/>
    <x v="1"/>
    <x v="2"/>
    <x v="7"/>
    <x v="1"/>
    <s v="unmarried"/>
    <x v="81"/>
    <x v="76"/>
    <x v="0"/>
    <x v="3"/>
    <x v="1"/>
    <x v="1"/>
    <x v="0"/>
    <x v="1"/>
    <x v="3"/>
    <x v="159"/>
    <x v="5"/>
    <x v="0"/>
    <x v="0"/>
    <x v="2"/>
    <x v="2"/>
    <x v="1"/>
    <x v="153"/>
    <x v="139"/>
    <n v="1680"/>
    <x v="148"/>
    <s v="Mercedes"/>
    <s v="E400"/>
    <n v="2014"/>
    <x v="1"/>
    <n v="0"/>
  </r>
  <r>
    <n v="278"/>
    <x v="0"/>
    <x v="160"/>
    <d v="1999-07-24T00:00:00"/>
    <x v="1"/>
    <s v="500/1000"/>
    <n v="2000"/>
    <x v="158"/>
    <n v="7000000"/>
    <x v="160"/>
    <x v="1"/>
    <x v="0"/>
    <x v="13"/>
    <x v="8"/>
    <s v="not-in-family"/>
    <x v="1"/>
    <x v="77"/>
    <x v="29"/>
    <x v="0"/>
    <x v="3"/>
    <x v="2"/>
    <x v="4"/>
    <x v="0"/>
    <x v="6"/>
    <x v="160"/>
    <x v="11"/>
    <x v="0"/>
    <x v="1"/>
    <x v="2"/>
    <x v="1"/>
    <x v="1"/>
    <x v="154"/>
    <x v="140"/>
    <n v="11700"/>
    <x v="149"/>
    <s v="Chevrolet"/>
    <s v="Silverado"/>
    <n v="1997"/>
    <x v="1"/>
    <n v="0"/>
  </r>
  <r>
    <n v="295"/>
    <x v="0"/>
    <x v="161"/>
    <d v="1992-02-22T00:00:00"/>
    <x v="0"/>
    <s v="500/1000"/>
    <n v="1000"/>
    <x v="159"/>
    <n v="0"/>
    <x v="161"/>
    <x v="1"/>
    <x v="0"/>
    <x v="8"/>
    <x v="18"/>
    <s v="unmarried"/>
    <x v="23"/>
    <x v="78"/>
    <x v="21"/>
    <x v="2"/>
    <x v="0"/>
    <x v="2"/>
    <x v="4"/>
    <x v="2"/>
    <x v="4"/>
    <x v="161"/>
    <x v="3"/>
    <x v="3"/>
    <x v="2"/>
    <x v="2"/>
    <x v="3"/>
    <x v="0"/>
    <x v="155"/>
    <x v="106"/>
    <n v="13240"/>
    <x v="150"/>
    <s v="Volkswagen"/>
    <s v="Passat"/>
    <n v="2002"/>
    <x v="1"/>
    <n v="0"/>
  </r>
  <r>
    <n v="112"/>
    <x v="22"/>
    <x v="162"/>
    <d v="2002-09-13T00:00:00"/>
    <x v="0"/>
    <s v="500/1000"/>
    <n v="1000"/>
    <x v="160"/>
    <n v="0"/>
    <x v="162"/>
    <x v="1"/>
    <x v="4"/>
    <x v="5"/>
    <x v="0"/>
    <s v="not-in-family"/>
    <x v="82"/>
    <x v="79"/>
    <x v="1"/>
    <x v="0"/>
    <x v="3"/>
    <x v="0"/>
    <x v="2"/>
    <x v="0"/>
    <x v="2"/>
    <x v="162"/>
    <x v="19"/>
    <x v="0"/>
    <x v="0"/>
    <x v="2"/>
    <x v="1"/>
    <x v="2"/>
    <x v="156"/>
    <x v="141"/>
    <n v="21580"/>
    <x v="151"/>
    <s v="Dodge"/>
    <s v="Neon"/>
    <n v="1997"/>
    <x v="0"/>
    <n v="0"/>
  </r>
  <r>
    <n v="122"/>
    <x v="6"/>
    <x v="163"/>
    <d v="2003-08-09T00:00:00"/>
    <x v="2"/>
    <s v="250/500"/>
    <n v="500"/>
    <x v="161"/>
    <n v="0"/>
    <x v="163"/>
    <x v="1"/>
    <x v="4"/>
    <x v="5"/>
    <x v="18"/>
    <s v="unmarried"/>
    <x v="83"/>
    <x v="80"/>
    <x v="22"/>
    <x v="2"/>
    <x v="2"/>
    <x v="2"/>
    <x v="2"/>
    <x v="7"/>
    <x v="0"/>
    <x v="163"/>
    <x v="22"/>
    <x v="1"/>
    <x v="2"/>
    <x v="2"/>
    <x v="1"/>
    <x v="0"/>
    <x v="157"/>
    <x v="142"/>
    <n v="18180"/>
    <x v="152"/>
    <s v="Mercedes"/>
    <s v="E400"/>
    <n v="2011"/>
    <x v="1"/>
    <n v="0"/>
  </r>
  <r>
    <n v="108"/>
    <x v="2"/>
    <x v="164"/>
    <d v="2007-12-04T00:00:00"/>
    <x v="1"/>
    <s v="500/1000"/>
    <n v="1000"/>
    <x v="162"/>
    <n v="0"/>
    <x v="164"/>
    <x v="1"/>
    <x v="1"/>
    <x v="3"/>
    <x v="4"/>
    <s v="not-in-family"/>
    <x v="84"/>
    <x v="0"/>
    <x v="43"/>
    <x v="2"/>
    <x v="0"/>
    <x v="1"/>
    <x v="4"/>
    <x v="4"/>
    <x v="0"/>
    <x v="164"/>
    <x v="14"/>
    <x v="1"/>
    <x v="2"/>
    <x v="2"/>
    <x v="0"/>
    <x v="0"/>
    <x v="158"/>
    <x v="143"/>
    <n v="5580"/>
    <x v="153"/>
    <s v="Suburu"/>
    <s v="Legacy"/>
    <n v="2012"/>
    <x v="1"/>
    <n v="0"/>
  </r>
  <r>
    <n v="14"/>
    <x v="23"/>
    <x v="165"/>
    <d v="2002-07-22T00:00:00"/>
    <x v="0"/>
    <s v="250/500"/>
    <n v="2000"/>
    <x v="163"/>
    <n v="0"/>
    <x v="165"/>
    <x v="1"/>
    <x v="2"/>
    <x v="0"/>
    <x v="2"/>
    <s v="unmarried"/>
    <x v="1"/>
    <x v="81"/>
    <x v="30"/>
    <x v="0"/>
    <x v="2"/>
    <x v="0"/>
    <x v="2"/>
    <x v="4"/>
    <x v="1"/>
    <x v="165"/>
    <x v="22"/>
    <x v="0"/>
    <x v="1"/>
    <x v="2"/>
    <x v="3"/>
    <x v="0"/>
    <x v="159"/>
    <x v="144"/>
    <n v="12960"/>
    <x v="154"/>
    <s v="Audi"/>
    <s v="A5"/>
    <n v="2012"/>
    <x v="0"/>
    <n v="0"/>
  </r>
  <r>
    <n v="298"/>
    <x v="19"/>
    <x v="166"/>
    <d v="1992-07-03T00:00:00"/>
    <x v="2"/>
    <s v="500/1000"/>
    <n v="1000"/>
    <x v="164"/>
    <n v="0"/>
    <x v="166"/>
    <x v="0"/>
    <x v="5"/>
    <x v="13"/>
    <x v="12"/>
    <s v="unmarried"/>
    <x v="1"/>
    <x v="82"/>
    <x v="7"/>
    <x v="2"/>
    <x v="3"/>
    <x v="1"/>
    <x v="4"/>
    <x v="2"/>
    <x v="5"/>
    <x v="166"/>
    <x v="22"/>
    <x v="1"/>
    <x v="2"/>
    <x v="1"/>
    <x v="1"/>
    <x v="2"/>
    <x v="140"/>
    <x v="129"/>
    <n v="6400"/>
    <x v="137"/>
    <s v="Saab"/>
    <n v="95"/>
    <n v="1999"/>
    <x v="1"/>
    <n v="0"/>
  </r>
  <r>
    <n v="276"/>
    <x v="35"/>
    <x v="167"/>
    <d v="2005-03-29T00:00:00"/>
    <x v="2"/>
    <s v="250/500"/>
    <n v="500"/>
    <x v="165"/>
    <n v="0"/>
    <x v="167"/>
    <x v="1"/>
    <x v="4"/>
    <x v="1"/>
    <x v="4"/>
    <s v="husband"/>
    <x v="1"/>
    <x v="34"/>
    <x v="31"/>
    <x v="3"/>
    <x v="1"/>
    <x v="3"/>
    <x v="0"/>
    <x v="0"/>
    <x v="4"/>
    <x v="167"/>
    <x v="2"/>
    <x v="0"/>
    <x v="1"/>
    <x v="1"/>
    <x v="3"/>
    <x v="2"/>
    <x v="160"/>
    <x v="75"/>
    <n v="660"/>
    <x v="79"/>
    <s v="Toyota"/>
    <s v="Highlander"/>
    <n v="2015"/>
    <x v="1"/>
    <n v="0"/>
  </r>
  <r>
    <n v="47"/>
    <x v="7"/>
    <x v="168"/>
    <d v="2008-03-16T00:00:00"/>
    <x v="1"/>
    <s v="250/500"/>
    <n v="2000"/>
    <x v="166"/>
    <n v="0"/>
    <x v="168"/>
    <x v="0"/>
    <x v="5"/>
    <x v="6"/>
    <x v="10"/>
    <s v="not-in-family"/>
    <x v="85"/>
    <x v="0"/>
    <x v="9"/>
    <x v="3"/>
    <x v="1"/>
    <x v="1"/>
    <x v="1"/>
    <x v="2"/>
    <x v="4"/>
    <x v="168"/>
    <x v="22"/>
    <x v="0"/>
    <x v="2"/>
    <x v="0"/>
    <x v="1"/>
    <x v="2"/>
    <x v="161"/>
    <x v="145"/>
    <n v="670"/>
    <x v="155"/>
    <s v="Jeep"/>
    <s v="Wrangler"/>
    <n v="2011"/>
    <x v="1"/>
    <n v="0"/>
  </r>
  <r>
    <n v="222"/>
    <x v="1"/>
    <x v="169"/>
    <d v="1999-05-23T00:00:00"/>
    <x v="2"/>
    <s v="250/500"/>
    <n v="500"/>
    <x v="167"/>
    <n v="0"/>
    <x v="169"/>
    <x v="0"/>
    <x v="2"/>
    <x v="3"/>
    <x v="11"/>
    <s v="not-in-family"/>
    <x v="1"/>
    <x v="0"/>
    <x v="8"/>
    <x v="2"/>
    <x v="2"/>
    <x v="1"/>
    <x v="0"/>
    <x v="2"/>
    <x v="2"/>
    <x v="169"/>
    <x v="6"/>
    <x v="1"/>
    <x v="0"/>
    <x v="1"/>
    <x v="1"/>
    <x v="1"/>
    <x v="162"/>
    <x v="146"/>
    <n v="7960"/>
    <x v="156"/>
    <s v="Jeep"/>
    <s v="Wrangler"/>
    <n v="2006"/>
    <x v="1"/>
    <n v="0"/>
  </r>
  <r>
    <n v="119"/>
    <x v="23"/>
    <x v="170"/>
    <d v="2012-11-22T00:00:00"/>
    <x v="0"/>
    <s v="250/500"/>
    <n v="2000"/>
    <x v="168"/>
    <n v="0"/>
    <x v="170"/>
    <x v="0"/>
    <x v="5"/>
    <x v="1"/>
    <x v="11"/>
    <s v="husband"/>
    <x v="86"/>
    <x v="0"/>
    <x v="33"/>
    <x v="0"/>
    <x v="2"/>
    <x v="2"/>
    <x v="4"/>
    <x v="7"/>
    <x v="1"/>
    <x v="170"/>
    <x v="17"/>
    <x v="0"/>
    <x v="1"/>
    <x v="1"/>
    <x v="3"/>
    <x v="0"/>
    <x v="163"/>
    <x v="147"/>
    <n v="6700"/>
    <x v="157"/>
    <s v="Volkswagen"/>
    <s v="Jetta"/>
    <n v="2007"/>
    <x v="0"/>
    <n v="0"/>
  </r>
  <r>
    <n v="73"/>
    <x v="2"/>
    <x v="171"/>
    <d v="1993-01-29T00:00:00"/>
    <x v="2"/>
    <s v="250/500"/>
    <n v="1000"/>
    <x v="169"/>
    <n v="0"/>
    <x v="171"/>
    <x v="0"/>
    <x v="3"/>
    <x v="9"/>
    <x v="2"/>
    <s v="wife"/>
    <x v="2"/>
    <x v="83"/>
    <x v="3"/>
    <x v="2"/>
    <x v="2"/>
    <x v="2"/>
    <x v="3"/>
    <x v="0"/>
    <x v="2"/>
    <x v="171"/>
    <x v="12"/>
    <x v="1"/>
    <x v="0"/>
    <x v="0"/>
    <x v="1"/>
    <x v="1"/>
    <x v="164"/>
    <x v="148"/>
    <n v="4990"/>
    <x v="158"/>
    <s v="Dodge"/>
    <s v="Neon"/>
    <n v="2001"/>
    <x v="1"/>
    <n v="0"/>
  </r>
  <r>
    <n v="8"/>
    <x v="14"/>
    <x v="172"/>
    <d v="2003-02-11T00:00:00"/>
    <x v="1"/>
    <s v="250/500"/>
    <n v="500"/>
    <x v="170"/>
    <n v="4000000"/>
    <x v="172"/>
    <x v="1"/>
    <x v="0"/>
    <x v="10"/>
    <x v="15"/>
    <s v="wife"/>
    <x v="1"/>
    <x v="84"/>
    <x v="43"/>
    <x v="2"/>
    <x v="3"/>
    <x v="0"/>
    <x v="2"/>
    <x v="7"/>
    <x v="4"/>
    <x v="172"/>
    <x v="23"/>
    <x v="1"/>
    <x v="1"/>
    <x v="1"/>
    <x v="0"/>
    <x v="0"/>
    <x v="165"/>
    <x v="149"/>
    <n v="7400"/>
    <x v="159"/>
    <s v="Volkswagen"/>
    <s v="Jetta"/>
    <n v="2014"/>
    <x v="1"/>
    <n v="0"/>
  </r>
  <r>
    <n v="294"/>
    <x v="4"/>
    <x v="173"/>
    <d v="1990-08-15T00:00:00"/>
    <x v="2"/>
    <s v="100/300"/>
    <n v="1000"/>
    <x v="171"/>
    <n v="0"/>
    <x v="173"/>
    <x v="1"/>
    <x v="1"/>
    <x v="13"/>
    <x v="15"/>
    <s v="unmarried"/>
    <x v="87"/>
    <x v="0"/>
    <x v="53"/>
    <x v="1"/>
    <x v="1"/>
    <x v="3"/>
    <x v="1"/>
    <x v="4"/>
    <x v="1"/>
    <x v="173"/>
    <x v="19"/>
    <x v="0"/>
    <x v="2"/>
    <x v="1"/>
    <x v="3"/>
    <x v="2"/>
    <x v="166"/>
    <x v="150"/>
    <n v="1220"/>
    <x v="160"/>
    <s v="Ford"/>
    <s v="Fusion"/>
    <n v="2002"/>
    <x v="1"/>
    <n v="0"/>
  </r>
  <r>
    <n v="324"/>
    <x v="35"/>
    <x v="174"/>
    <d v="2010-03-06T00:00:00"/>
    <x v="1"/>
    <s v="100/300"/>
    <n v="2000"/>
    <x v="172"/>
    <n v="6000000"/>
    <x v="174"/>
    <x v="0"/>
    <x v="0"/>
    <x v="4"/>
    <x v="2"/>
    <s v="wife"/>
    <x v="1"/>
    <x v="85"/>
    <x v="1"/>
    <x v="0"/>
    <x v="2"/>
    <x v="1"/>
    <x v="3"/>
    <x v="7"/>
    <x v="4"/>
    <x v="174"/>
    <x v="21"/>
    <x v="0"/>
    <x v="1"/>
    <x v="0"/>
    <x v="1"/>
    <x v="0"/>
    <x v="167"/>
    <x v="151"/>
    <n v="15920"/>
    <x v="161"/>
    <s v="Jeep"/>
    <s v="Wrangler"/>
    <n v="2011"/>
    <x v="1"/>
    <n v="0"/>
  </r>
  <r>
    <n v="155"/>
    <x v="6"/>
    <x v="175"/>
    <d v="1990-09-27T00:00:00"/>
    <x v="1"/>
    <s v="100/300"/>
    <n v="500"/>
    <x v="173"/>
    <n v="0"/>
    <x v="175"/>
    <x v="0"/>
    <x v="4"/>
    <x v="9"/>
    <x v="8"/>
    <s v="other-relative"/>
    <x v="1"/>
    <x v="0"/>
    <x v="22"/>
    <x v="0"/>
    <x v="3"/>
    <x v="1"/>
    <x v="4"/>
    <x v="3"/>
    <x v="4"/>
    <x v="175"/>
    <x v="17"/>
    <x v="0"/>
    <x v="2"/>
    <x v="0"/>
    <x v="3"/>
    <x v="0"/>
    <x v="168"/>
    <x v="152"/>
    <n v="8560"/>
    <x v="162"/>
    <s v="Honda"/>
    <s v="Civic"/>
    <n v="1998"/>
    <x v="1"/>
    <n v="0"/>
  </r>
  <r>
    <n v="261"/>
    <x v="19"/>
    <x v="176"/>
    <d v="2005-06-17T00:00:00"/>
    <x v="2"/>
    <s v="250/500"/>
    <n v="1000"/>
    <x v="174"/>
    <n v="0"/>
    <x v="176"/>
    <x v="1"/>
    <x v="1"/>
    <x v="5"/>
    <x v="15"/>
    <s v="other-relative"/>
    <x v="1"/>
    <x v="86"/>
    <x v="19"/>
    <x v="0"/>
    <x v="2"/>
    <x v="1"/>
    <x v="2"/>
    <x v="0"/>
    <x v="0"/>
    <x v="176"/>
    <x v="16"/>
    <x v="0"/>
    <x v="0"/>
    <x v="1"/>
    <x v="3"/>
    <x v="1"/>
    <x v="169"/>
    <x v="69"/>
    <n v="11380"/>
    <x v="163"/>
    <s v="Volkswagen"/>
    <s v="Jetta"/>
    <n v="2003"/>
    <x v="1"/>
    <n v="0"/>
  </r>
  <r>
    <n v="245"/>
    <x v="17"/>
    <x v="177"/>
    <d v="2001-09-14T00:00:00"/>
    <x v="1"/>
    <s v="500/1000"/>
    <n v="500"/>
    <x v="175"/>
    <n v="0"/>
    <x v="177"/>
    <x v="1"/>
    <x v="4"/>
    <x v="3"/>
    <x v="9"/>
    <s v="other-relative"/>
    <x v="88"/>
    <x v="87"/>
    <x v="38"/>
    <x v="0"/>
    <x v="3"/>
    <x v="2"/>
    <x v="3"/>
    <x v="4"/>
    <x v="5"/>
    <x v="177"/>
    <x v="5"/>
    <x v="0"/>
    <x v="0"/>
    <x v="1"/>
    <x v="3"/>
    <x v="2"/>
    <x v="170"/>
    <x v="153"/>
    <n v="13100"/>
    <x v="164"/>
    <s v="Chevrolet"/>
    <s v="Malibu"/>
    <n v="1998"/>
    <x v="1"/>
    <n v="0"/>
  </r>
  <r>
    <n v="235"/>
    <x v="5"/>
    <x v="178"/>
    <d v="2011-01-07T00:00:00"/>
    <x v="2"/>
    <s v="100/300"/>
    <n v="500"/>
    <x v="176"/>
    <n v="4000000"/>
    <x v="178"/>
    <x v="0"/>
    <x v="0"/>
    <x v="4"/>
    <x v="20"/>
    <s v="wife"/>
    <x v="1"/>
    <x v="48"/>
    <x v="27"/>
    <x v="1"/>
    <x v="1"/>
    <x v="3"/>
    <x v="1"/>
    <x v="2"/>
    <x v="4"/>
    <x v="178"/>
    <x v="17"/>
    <x v="0"/>
    <x v="1"/>
    <x v="2"/>
    <x v="3"/>
    <x v="2"/>
    <x v="171"/>
    <x v="154"/>
    <n v="900"/>
    <x v="95"/>
    <s v="Chevrolet"/>
    <s v="Silverado"/>
    <n v="2010"/>
    <x v="1"/>
    <n v="0"/>
  </r>
  <r>
    <n v="53"/>
    <x v="31"/>
    <x v="179"/>
    <d v="2003-09-13T00:00:00"/>
    <x v="0"/>
    <s v="500/1000"/>
    <n v="2000"/>
    <x v="177"/>
    <n v="0"/>
    <x v="179"/>
    <x v="0"/>
    <x v="2"/>
    <x v="11"/>
    <x v="16"/>
    <s v="not-in-family"/>
    <x v="89"/>
    <x v="0"/>
    <x v="32"/>
    <x v="2"/>
    <x v="0"/>
    <x v="0"/>
    <x v="2"/>
    <x v="1"/>
    <x v="1"/>
    <x v="179"/>
    <x v="18"/>
    <x v="1"/>
    <x v="1"/>
    <x v="2"/>
    <x v="1"/>
    <x v="0"/>
    <x v="172"/>
    <x v="155"/>
    <n v="5110"/>
    <x v="165"/>
    <s v="Audi"/>
    <s v="A3"/>
    <n v="2006"/>
    <x v="1"/>
    <n v="0"/>
  </r>
  <r>
    <n v="426"/>
    <x v="25"/>
    <x v="180"/>
    <d v="1997-10-24T00:00:00"/>
    <x v="2"/>
    <s v="500/1000"/>
    <n v="2000"/>
    <x v="178"/>
    <n v="0"/>
    <x v="180"/>
    <x v="1"/>
    <x v="4"/>
    <x v="12"/>
    <x v="1"/>
    <s v="not-in-family"/>
    <x v="90"/>
    <x v="88"/>
    <x v="37"/>
    <x v="0"/>
    <x v="0"/>
    <x v="1"/>
    <x v="0"/>
    <x v="0"/>
    <x v="3"/>
    <x v="180"/>
    <x v="21"/>
    <x v="0"/>
    <x v="0"/>
    <x v="2"/>
    <x v="2"/>
    <x v="1"/>
    <x v="173"/>
    <x v="156"/>
    <n v="16800"/>
    <x v="166"/>
    <s v="Dodge"/>
    <s v="Neon"/>
    <n v="1997"/>
    <x v="1"/>
    <n v="0"/>
  </r>
  <r>
    <n v="111"/>
    <x v="28"/>
    <x v="181"/>
    <d v="2009-01-04T00:00:00"/>
    <x v="1"/>
    <s v="250/500"/>
    <n v="500"/>
    <x v="179"/>
    <n v="4000000"/>
    <x v="181"/>
    <x v="1"/>
    <x v="4"/>
    <x v="4"/>
    <x v="20"/>
    <s v="husband"/>
    <x v="59"/>
    <x v="0"/>
    <x v="34"/>
    <x v="0"/>
    <x v="0"/>
    <x v="2"/>
    <x v="0"/>
    <x v="1"/>
    <x v="3"/>
    <x v="181"/>
    <x v="11"/>
    <x v="0"/>
    <x v="0"/>
    <x v="2"/>
    <x v="2"/>
    <x v="2"/>
    <x v="174"/>
    <x v="157"/>
    <n v="16540"/>
    <x v="167"/>
    <s v="Accura"/>
    <s v="RSX"/>
    <n v="2009"/>
    <x v="1"/>
    <n v="0"/>
  </r>
  <r>
    <n v="86"/>
    <x v="13"/>
    <x v="182"/>
    <d v="1998-10-12T00:00:00"/>
    <x v="0"/>
    <s v="100/300"/>
    <n v="500"/>
    <x v="180"/>
    <n v="7000000"/>
    <x v="182"/>
    <x v="0"/>
    <x v="6"/>
    <x v="4"/>
    <x v="19"/>
    <s v="other-relative"/>
    <x v="1"/>
    <x v="89"/>
    <x v="37"/>
    <x v="0"/>
    <x v="2"/>
    <x v="1"/>
    <x v="0"/>
    <x v="0"/>
    <x v="5"/>
    <x v="182"/>
    <x v="20"/>
    <x v="0"/>
    <x v="1"/>
    <x v="0"/>
    <x v="3"/>
    <x v="0"/>
    <x v="175"/>
    <x v="158"/>
    <n v="7440"/>
    <x v="168"/>
    <s v="Chevrolet"/>
    <s v="Malibu"/>
    <n v="2011"/>
    <x v="0"/>
    <n v="0"/>
  </r>
  <r>
    <n v="296"/>
    <x v="35"/>
    <x v="183"/>
    <d v="1993-02-23T00:00:00"/>
    <x v="0"/>
    <s v="100/300"/>
    <n v="1000"/>
    <x v="181"/>
    <n v="7000000"/>
    <x v="183"/>
    <x v="0"/>
    <x v="4"/>
    <x v="0"/>
    <x v="0"/>
    <s v="not-in-family"/>
    <x v="1"/>
    <x v="0"/>
    <x v="10"/>
    <x v="0"/>
    <x v="3"/>
    <x v="0"/>
    <x v="4"/>
    <x v="2"/>
    <x v="5"/>
    <x v="183"/>
    <x v="22"/>
    <x v="0"/>
    <x v="1"/>
    <x v="1"/>
    <x v="0"/>
    <x v="2"/>
    <x v="176"/>
    <x v="159"/>
    <n v="5490"/>
    <x v="169"/>
    <s v="Mercedes"/>
    <s v="C300"/>
    <n v="2013"/>
    <x v="1"/>
    <n v="0"/>
  </r>
  <r>
    <n v="125"/>
    <x v="21"/>
    <x v="184"/>
    <d v="1996-07-07T00:00:00"/>
    <x v="0"/>
    <s v="500/1000"/>
    <n v="500"/>
    <x v="182"/>
    <n v="7000000"/>
    <x v="184"/>
    <x v="0"/>
    <x v="6"/>
    <x v="4"/>
    <x v="19"/>
    <s v="husband"/>
    <x v="1"/>
    <x v="90"/>
    <x v="54"/>
    <x v="0"/>
    <x v="3"/>
    <x v="2"/>
    <x v="2"/>
    <x v="2"/>
    <x v="5"/>
    <x v="184"/>
    <x v="18"/>
    <x v="0"/>
    <x v="0"/>
    <x v="2"/>
    <x v="2"/>
    <x v="2"/>
    <x v="177"/>
    <x v="160"/>
    <n v="16120"/>
    <x v="170"/>
    <s v="Mercedes"/>
    <s v="C300"/>
    <n v="2007"/>
    <x v="0"/>
    <n v="0"/>
  </r>
  <r>
    <n v="177"/>
    <x v="6"/>
    <x v="185"/>
    <d v="2013-01-23T00:00:00"/>
    <x v="2"/>
    <s v="100/300"/>
    <n v="2000"/>
    <x v="183"/>
    <n v="0"/>
    <x v="185"/>
    <x v="1"/>
    <x v="6"/>
    <x v="4"/>
    <x v="4"/>
    <s v="unmarried"/>
    <x v="1"/>
    <x v="91"/>
    <x v="55"/>
    <x v="2"/>
    <x v="3"/>
    <x v="2"/>
    <x v="4"/>
    <x v="5"/>
    <x v="1"/>
    <x v="185"/>
    <x v="9"/>
    <x v="1"/>
    <x v="1"/>
    <x v="0"/>
    <x v="3"/>
    <x v="2"/>
    <x v="178"/>
    <x v="161"/>
    <n v="2250"/>
    <x v="171"/>
    <s v="Audi"/>
    <s v="A3"/>
    <n v="2009"/>
    <x v="1"/>
    <n v="0"/>
  </r>
  <r>
    <n v="238"/>
    <x v="5"/>
    <x v="186"/>
    <d v="2006-12-06T00:00:00"/>
    <x v="1"/>
    <s v="250/500"/>
    <n v="2000"/>
    <x v="184"/>
    <n v="0"/>
    <x v="186"/>
    <x v="1"/>
    <x v="6"/>
    <x v="9"/>
    <x v="20"/>
    <s v="other-relative"/>
    <x v="1"/>
    <x v="92"/>
    <x v="54"/>
    <x v="1"/>
    <x v="1"/>
    <x v="1"/>
    <x v="0"/>
    <x v="2"/>
    <x v="6"/>
    <x v="186"/>
    <x v="10"/>
    <x v="0"/>
    <x v="0"/>
    <x v="0"/>
    <x v="2"/>
    <x v="0"/>
    <x v="179"/>
    <x v="162"/>
    <n v="550"/>
    <x v="172"/>
    <s v="Chevrolet"/>
    <s v="Tahoe"/>
    <n v="2010"/>
    <x v="1"/>
    <n v="0"/>
  </r>
  <r>
    <n v="81"/>
    <x v="20"/>
    <x v="187"/>
    <d v="2014-02-23T00:00:00"/>
    <x v="1"/>
    <s v="100/300"/>
    <n v="500"/>
    <x v="185"/>
    <n v="5000000"/>
    <x v="187"/>
    <x v="1"/>
    <x v="5"/>
    <x v="4"/>
    <x v="11"/>
    <s v="own-child"/>
    <x v="91"/>
    <x v="93"/>
    <x v="31"/>
    <x v="2"/>
    <x v="2"/>
    <x v="0"/>
    <x v="3"/>
    <x v="4"/>
    <x v="4"/>
    <x v="187"/>
    <x v="20"/>
    <x v="1"/>
    <x v="1"/>
    <x v="0"/>
    <x v="1"/>
    <x v="1"/>
    <x v="180"/>
    <x v="163"/>
    <n v="6720"/>
    <x v="138"/>
    <s v="Honda"/>
    <s v="Civic"/>
    <n v="2003"/>
    <x v="0"/>
    <n v="0"/>
  </r>
  <r>
    <n v="128"/>
    <x v="23"/>
    <x v="188"/>
    <d v="2007-11-16T00:00:00"/>
    <x v="0"/>
    <s v="500/1000"/>
    <n v="1000"/>
    <x v="186"/>
    <n v="0"/>
    <x v="188"/>
    <x v="1"/>
    <x v="5"/>
    <x v="12"/>
    <x v="18"/>
    <s v="other-relative"/>
    <x v="92"/>
    <x v="0"/>
    <x v="55"/>
    <x v="0"/>
    <x v="2"/>
    <x v="2"/>
    <x v="4"/>
    <x v="1"/>
    <x v="0"/>
    <x v="188"/>
    <x v="20"/>
    <x v="0"/>
    <x v="2"/>
    <x v="1"/>
    <x v="0"/>
    <x v="0"/>
    <x v="181"/>
    <x v="164"/>
    <n v="18520"/>
    <x v="173"/>
    <s v="Honda"/>
    <s v="CRV"/>
    <n v="2007"/>
    <x v="1"/>
    <n v="0"/>
  </r>
  <r>
    <n v="449"/>
    <x v="37"/>
    <x v="189"/>
    <d v="1999-04-17T00:00:00"/>
    <x v="0"/>
    <s v="250/500"/>
    <n v="2000"/>
    <x v="187"/>
    <n v="0"/>
    <x v="189"/>
    <x v="0"/>
    <x v="2"/>
    <x v="4"/>
    <x v="10"/>
    <s v="own-child"/>
    <x v="93"/>
    <x v="0"/>
    <x v="47"/>
    <x v="3"/>
    <x v="1"/>
    <x v="1"/>
    <x v="1"/>
    <x v="0"/>
    <x v="1"/>
    <x v="189"/>
    <x v="1"/>
    <x v="0"/>
    <x v="0"/>
    <x v="1"/>
    <x v="3"/>
    <x v="0"/>
    <x v="182"/>
    <x v="165"/>
    <n v="980"/>
    <x v="174"/>
    <s v="Volkswagen"/>
    <s v="Passat"/>
    <n v="2008"/>
    <x v="1"/>
    <n v="0"/>
  </r>
  <r>
    <n v="252"/>
    <x v="5"/>
    <x v="190"/>
    <d v="2006-02-06T00:00:00"/>
    <x v="1"/>
    <s v="250/500"/>
    <n v="1000"/>
    <x v="188"/>
    <n v="0"/>
    <x v="190"/>
    <x v="0"/>
    <x v="6"/>
    <x v="13"/>
    <x v="11"/>
    <s v="unmarried"/>
    <x v="94"/>
    <x v="94"/>
    <x v="56"/>
    <x v="0"/>
    <x v="0"/>
    <x v="1"/>
    <x v="0"/>
    <x v="0"/>
    <x v="3"/>
    <x v="190"/>
    <x v="22"/>
    <x v="0"/>
    <x v="1"/>
    <x v="0"/>
    <x v="0"/>
    <x v="1"/>
    <x v="183"/>
    <x v="166"/>
    <n v="5610"/>
    <x v="175"/>
    <s v="Nissan"/>
    <s v="Maxima"/>
    <n v="2001"/>
    <x v="1"/>
    <n v="0"/>
  </r>
  <r>
    <n v="359"/>
    <x v="26"/>
    <x v="191"/>
    <d v="1993-10-20T00:00:00"/>
    <x v="0"/>
    <s v="100/300"/>
    <n v="2000"/>
    <x v="189"/>
    <n v="0"/>
    <x v="191"/>
    <x v="1"/>
    <x v="0"/>
    <x v="11"/>
    <x v="16"/>
    <s v="unmarried"/>
    <x v="1"/>
    <x v="0"/>
    <x v="19"/>
    <x v="0"/>
    <x v="3"/>
    <x v="2"/>
    <x v="0"/>
    <x v="0"/>
    <x v="2"/>
    <x v="191"/>
    <x v="21"/>
    <x v="0"/>
    <x v="2"/>
    <x v="1"/>
    <x v="2"/>
    <x v="2"/>
    <x v="184"/>
    <x v="167"/>
    <n v="11100"/>
    <x v="176"/>
    <s v="Mercedes"/>
    <s v="C300"/>
    <n v="2012"/>
    <x v="1"/>
    <n v="0"/>
  </r>
  <r>
    <n v="19"/>
    <x v="30"/>
    <x v="192"/>
    <d v="2006-01-01T00:00:00"/>
    <x v="0"/>
    <s v="500/1000"/>
    <n v="1000"/>
    <x v="190"/>
    <n v="0"/>
    <x v="192"/>
    <x v="0"/>
    <x v="5"/>
    <x v="6"/>
    <x v="11"/>
    <s v="husband"/>
    <x v="95"/>
    <x v="95"/>
    <x v="5"/>
    <x v="1"/>
    <x v="1"/>
    <x v="1"/>
    <x v="0"/>
    <x v="1"/>
    <x v="4"/>
    <x v="192"/>
    <x v="1"/>
    <x v="0"/>
    <x v="0"/>
    <x v="0"/>
    <x v="3"/>
    <x v="0"/>
    <x v="185"/>
    <x v="168"/>
    <n v="640"/>
    <x v="177"/>
    <s v="Nissan"/>
    <s v="Maxima"/>
    <n v="2015"/>
    <x v="1"/>
    <n v="0"/>
  </r>
  <r>
    <n v="73"/>
    <x v="13"/>
    <x v="193"/>
    <d v="2003-04-04T00:00:00"/>
    <x v="2"/>
    <s v="250/500"/>
    <n v="2000"/>
    <x v="191"/>
    <n v="4000000"/>
    <x v="193"/>
    <x v="0"/>
    <x v="0"/>
    <x v="13"/>
    <x v="16"/>
    <s v="not-in-family"/>
    <x v="96"/>
    <x v="0"/>
    <x v="26"/>
    <x v="2"/>
    <x v="2"/>
    <x v="2"/>
    <x v="3"/>
    <x v="1"/>
    <x v="6"/>
    <x v="193"/>
    <x v="10"/>
    <x v="1"/>
    <x v="1"/>
    <x v="1"/>
    <x v="3"/>
    <x v="0"/>
    <x v="186"/>
    <x v="169"/>
    <n v="0"/>
    <x v="178"/>
    <s v="Chevrolet"/>
    <s v="Tahoe"/>
    <n v="2003"/>
    <x v="1"/>
    <n v="0"/>
  </r>
  <r>
    <n v="285"/>
    <x v="4"/>
    <x v="194"/>
    <d v="2014-07-05T00:00:00"/>
    <x v="2"/>
    <s v="500/1000"/>
    <n v="1000"/>
    <x v="192"/>
    <n v="0"/>
    <x v="194"/>
    <x v="0"/>
    <x v="5"/>
    <x v="11"/>
    <x v="4"/>
    <s v="husband"/>
    <x v="1"/>
    <x v="0"/>
    <x v="53"/>
    <x v="2"/>
    <x v="0"/>
    <x v="2"/>
    <x v="2"/>
    <x v="5"/>
    <x v="0"/>
    <x v="194"/>
    <x v="18"/>
    <x v="3"/>
    <x v="0"/>
    <x v="2"/>
    <x v="2"/>
    <x v="2"/>
    <x v="187"/>
    <x v="170"/>
    <n v="6960"/>
    <x v="179"/>
    <s v="Saab"/>
    <n v="95"/>
    <n v="2006"/>
    <x v="1"/>
    <n v="0"/>
  </r>
  <r>
    <n v="196"/>
    <x v="31"/>
    <x v="195"/>
    <d v="1996-01-16T00:00:00"/>
    <x v="1"/>
    <s v="250/500"/>
    <n v="2000"/>
    <x v="193"/>
    <n v="0"/>
    <x v="195"/>
    <x v="0"/>
    <x v="0"/>
    <x v="3"/>
    <x v="9"/>
    <s v="own-child"/>
    <x v="1"/>
    <x v="0"/>
    <x v="27"/>
    <x v="1"/>
    <x v="1"/>
    <x v="3"/>
    <x v="0"/>
    <x v="4"/>
    <x v="3"/>
    <x v="195"/>
    <x v="19"/>
    <x v="0"/>
    <x v="1"/>
    <x v="0"/>
    <x v="3"/>
    <x v="2"/>
    <x v="188"/>
    <x v="171"/>
    <n v="530"/>
    <x v="180"/>
    <s v="Jeep"/>
    <s v="Grand Cherokee"/>
    <n v="2001"/>
    <x v="0"/>
    <n v="0"/>
  </r>
  <r>
    <n v="223"/>
    <x v="18"/>
    <x v="196"/>
    <d v="2002-04-19T00:00:00"/>
    <x v="0"/>
    <s v="250/500"/>
    <n v="500"/>
    <x v="194"/>
    <n v="0"/>
    <x v="196"/>
    <x v="1"/>
    <x v="0"/>
    <x v="12"/>
    <x v="7"/>
    <s v="not-in-family"/>
    <x v="1"/>
    <x v="0"/>
    <x v="37"/>
    <x v="3"/>
    <x v="1"/>
    <x v="3"/>
    <x v="1"/>
    <x v="4"/>
    <x v="2"/>
    <x v="196"/>
    <x v="13"/>
    <x v="0"/>
    <x v="0"/>
    <x v="1"/>
    <x v="2"/>
    <x v="1"/>
    <x v="189"/>
    <x v="172"/>
    <n v="650"/>
    <x v="181"/>
    <s v="Accura"/>
    <s v="MDX"/>
    <n v="2006"/>
    <x v="1"/>
    <n v="0"/>
  </r>
  <r>
    <n v="328"/>
    <x v="0"/>
    <x v="197"/>
    <d v="2005-12-10T00:00:00"/>
    <x v="2"/>
    <s v="250/500"/>
    <n v="500"/>
    <x v="195"/>
    <n v="0"/>
    <x v="197"/>
    <x v="0"/>
    <x v="4"/>
    <x v="3"/>
    <x v="4"/>
    <s v="own-child"/>
    <x v="97"/>
    <x v="6"/>
    <x v="29"/>
    <x v="0"/>
    <x v="3"/>
    <x v="0"/>
    <x v="4"/>
    <x v="2"/>
    <x v="1"/>
    <x v="197"/>
    <x v="18"/>
    <x v="0"/>
    <x v="0"/>
    <x v="2"/>
    <x v="3"/>
    <x v="2"/>
    <x v="190"/>
    <x v="173"/>
    <n v="11880"/>
    <x v="115"/>
    <s v="Honda"/>
    <s v="Civic"/>
    <n v="2014"/>
    <x v="1"/>
    <n v="0"/>
  </r>
  <r>
    <n v="285"/>
    <x v="18"/>
    <x v="198"/>
    <d v="1994-11-07T00:00:00"/>
    <x v="0"/>
    <s v="100/300"/>
    <n v="2000"/>
    <x v="196"/>
    <n v="0"/>
    <x v="198"/>
    <x v="1"/>
    <x v="3"/>
    <x v="2"/>
    <x v="13"/>
    <s v="other-relative"/>
    <x v="27"/>
    <x v="0"/>
    <x v="6"/>
    <x v="1"/>
    <x v="1"/>
    <x v="1"/>
    <x v="0"/>
    <x v="0"/>
    <x v="2"/>
    <x v="198"/>
    <x v="2"/>
    <x v="0"/>
    <x v="1"/>
    <x v="0"/>
    <x v="3"/>
    <x v="1"/>
    <x v="191"/>
    <x v="174"/>
    <n v="280"/>
    <x v="182"/>
    <s v="BMW"/>
    <s v="3 Series"/>
    <n v="1997"/>
    <x v="1"/>
    <n v="0"/>
  </r>
  <r>
    <n v="30"/>
    <x v="14"/>
    <x v="199"/>
    <d v="2012-06-02T00:00:00"/>
    <x v="2"/>
    <s v="250/500"/>
    <n v="2000"/>
    <x v="197"/>
    <n v="0"/>
    <x v="199"/>
    <x v="0"/>
    <x v="1"/>
    <x v="0"/>
    <x v="6"/>
    <s v="not-in-family"/>
    <x v="1"/>
    <x v="0"/>
    <x v="40"/>
    <x v="1"/>
    <x v="1"/>
    <x v="3"/>
    <x v="0"/>
    <x v="2"/>
    <x v="4"/>
    <x v="199"/>
    <x v="10"/>
    <x v="0"/>
    <x v="2"/>
    <x v="2"/>
    <x v="3"/>
    <x v="0"/>
    <x v="192"/>
    <x v="175"/>
    <n v="960"/>
    <x v="183"/>
    <s v="Suburu"/>
    <s v="Impreza"/>
    <n v="2011"/>
    <x v="1"/>
    <n v="0"/>
  </r>
  <r>
    <n v="342"/>
    <x v="24"/>
    <x v="200"/>
    <d v="1998-04-07T00:00:00"/>
    <x v="0"/>
    <s v="250/500"/>
    <n v="500"/>
    <x v="198"/>
    <n v="0"/>
    <x v="200"/>
    <x v="0"/>
    <x v="1"/>
    <x v="10"/>
    <x v="5"/>
    <s v="not-in-family"/>
    <x v="98"/>
    <x v="96"/>
    <x v="24"/>
    <x v="0"/>
    <x v="2"/>
    <x v="1"/>
    <x v="2"/>
    <x v="4"/>
    <x v="4"/>
    <x v="200"/>
    <x v="19"/>
    <x v="0"/>
    <x v="1"/>
    <x v="2"/>
    <x v="1"/>
    <x v="0"/>
    <x v="193"/>
    <x v="176"/>
    <n v="7670"/>
    <x v="184"/>
    <s v="Suburu"/>
    <s v="Legacy"/>
    <n v="2006"/>
    <x v="1"/>
    <n v="0"/>
  </r>
  <r>
    <n v="219"/>
    <x v="5"/>
    <x v="201"/>
    <d v="2007-04-25T00:00:00"/>
    <x v="1"/>
    <s v="250/500"/>
    <n v="2000"/>
    <x v="199"/>
    <n v="7000000"/>
    <x v="201"/>
    <x v="1"/>
    <x v="5"/>
    <x v="9"/>
    <x v="2"/>
    <s v="unmarried"/>
    <x v="1"/>
    <x v="0"/>
    <x v="23"/>
    <x v="3"/>
    <x v="1"/>
    <x v="3"/>
    <x v="0"/>
    <x v="2"/>
    <x v="3"/>
    <x v="201"/>
    <x v="13"/>
    <x v="0"/>
    <x v="2"/>
    <x v="1"/>
    <x v="0"/>
    <x v="2"/>
    <x v="194"/>
    <x v="177"/>
    <n v="740"/>
    <x v="185"/>
    <s v="Chevrolet"/>
    <s v="Malibu"/>
    <n v="2015"/>
    <x v="1"/>
    <n v="0"/>
  </r>
  <r>
    <n v="468"/>
    <x v="15"/>
    <x v="202"/>
    <d v="2000-06-30T00:00:00"/>
    <x v="2"/>
    <s v="100/300"/>
    <n v="500"/>
    <x v="200"/>
    <n v="0"/>
    <x v="202"/>
    <x v="0"/>
    <x v="1"/>
    <x v="1"/>
    <x v="13"/>
    <s v="wife"/>
    <x v="1"/>
    <x v="0"/>
    <x v="11"/>
    <x v="2"/>
    <x v="2"/>
    <x v="0"/>
    <x v="2"/>
    <x v="0"/>
    <x v="1"/>
    <x v="202"/>
    <x v="2"/>
    <x v="1"/>
    <x v="0"/>
    <x v="1"/>
    <x v="2"/>
    <x v="1"/>
    <x v="103"/>
    <x v="178"/>
    <n v="7150"/>
    <x v="6"/>
    <s v="Chevrolet"/>
    <s v="Tahoe"/>
    <n v="2009"/>
    <x v="1"/>
    <n v="1"/>
  </r>
  <r>
    <n v="241"/>
    <x v="5"/>
    <x v="203"/>
    <d v="1996-06-04T00:00:00"/>
    <x v="2"/>
    <s v="250/500"/>
    <n v="2000"/>
    <x v="201"/>
    <n v="0"/>
    <x v="203"/>
    <x v="0"/>
    <x v="6"/>
    <x v="2"/>
    <x v="15"/>
    <s v="husband"/>
    <x v="1"/>
    <x v="0"/>
    <x v="50"/>
    <x v="2"/>
    <x v="2"/>
    <x v="2"/>
    <x v="4"/>
    <x v="4"/>
    <x v="5"/>
    <x v="203"/>
    <x v="7"/>
    <x v="1"/>
    <x v="2"/>
    <x v="0"/>
    <x v="0"/>
    <x v="1"/>
    <x v="195"/>
    <x v="179"/>
    <n v="2120"/>
    <x v="186"/>
    <s v="Saab"/>
    <n v="93"/>
    <n v="1995"/>
    <x v="1"/>
    <n v="0"/>
  </r>
  <r>
    <n v="223"/>
    <x v="18"/>
    <x v="204"/>
    <d v="2009-05-09T00:00:00"/>
    <x v="0"/>
    <s v="500/1000"/>
    <n v="500"/>
    <x v="202"/>
    <n v="0"/>
    <x v="204"/>
    <x v="1"/>
    <x v="4"/>
    <x v="4"/>
    <x v="20"/>
    <s v="not-in-family"/>
    <x v="99"/>
    <x v="97"/>
    <x v="18"/>
    <x v="0"/>
    <x v="2"/>
    <x v="1"/>
    <x v="0"/>
    <x v="0"/>
    <x v="3"/>
    <x v="204"/>
    <x v="8"/>
    <x v="0"/>
    <x v="2"/>
    <x v="2"/>
    <x v="3"/>
    <x v="2"/>
    <x v="196"/>
    <x v="180"/>
    <n v="5440"/>
    <x v="187"/>
    <s v="BMW"/>
    <s v="M5"/>
    <n v="2011"/>
    <x v="1"/>
    <n v="0"/>
  </r>
  <r>
    <n v="128"/>
    <x v="30"/>
    <x v="205"/>
    <d v="2001-07-08T00:00:00"/>
    <x v="0"/>
    <s v="100/300"/>
    <n v="2000"/>
    <x v="203"/>
    <n v="0"/>
    <x v="205"/>
    <x v="1"/>
    <x v="3"/>
    <x v="2"/>
    <x v="14"/>
    <s v="other-relative"/>
    <x v="1"/>
    <x v="4"/>
    <x v="33"/>
    <x v="0"/>
    <x v="2"/>
    <x v="2"/>
    <x v="2"/>
    <x v="0"/>
    <x v="0"/>
    <x v="205"/>
    <x v="5"/>
    <x v="0"/>
    <x v="1"/>
    <x v="0"/>
    <x v="1"/>
    <x v="2"/>
    <x v="197"/>
    <x v="181"/>
    <n v="5980"/>
    <x v="188"/>
    <s v="Ford"/>
    <s v="F150"/>
    <n v="1999"/>
    <x v="0"/>
    <n v="0"/>
  </r>
  <r>
    <n v="124"/>
    <x v="2"/>
    <x v="206"/>
    <d v="1993-09-20T00:00:00"/>
    <x v="0"/>
    <s v="500/1000"/>
    <n v="500"/>
    <x v="204"/>
    <n v="0"/>
    <x v="206"/>
    <x v="0"/>
    <x v="4"/>
    <x v="11"/>
    <x v="6"/>
    <s v="husband"/>
    <x v="1"/>
    <x v="0"/>
    <x v="54"/>
    <x v="2"/>
    <x v="0"/>
    <x v="0"/>
    <x v="0"/>
    <x v="1"/>
    <x v="3"/>
    <x v="206"/>
    <x v="8"/>
    <x v="1"/>
    <x v="1"/>
    <x v="1"/>
    <x v="2"/>
    <x v="0"/>
    <x v="198"/>
    <x v="182"/>
    <n v="7200"/>
    <x v="189"/>
    <s v="Audi"/>
    <s v="A3"/>
    <n v="2005"/>
    <x v="1"/>
    <n v="0"/>
  </r>
  <r>
    <n v="343"/>
    <x v="0"/>
    <x v="207"/>
    <d v="2009-11-03T00:00:00"/>
    <x v="1"/>
    <s v="250/500"/>
    <n v="500"/>
    <x v="205"/>
    <n v="3000000"/>
    <x v="207"/>
    <x v="0"/>
    <x v="6"/>
    <x v="12"/>
    <x v="11"/>
    <s v="husband"/>
    <x v="1"/>
    <x v="0"/>
    <x v="13"/>
    <x v="2"/>
    <x v="0"/>
    <x v="2"/>
    <x v="0"/>
    <x v="0"/>
    <x v="1"/>
    <x v="207"/>
    <x v="21"/>
    <x v="2"/>
    <x v="2"/>
    <x v="2"/>
    <x v="2"/>
    <x v="2"/>
    <x v="199"/>
    <x v="183"/>
    <n v="14460"/>
    <x v="190"/>
    <s v="Mercedes"/>
    <s v="C300"/>
    <n v="2003"/>
    <x v="1"/>
    <n v="0"/>
  </r>
  <r>
    <n v="404"/>
    <x v="38"/>
    <x v="208"/>
    <d v="2014-12-10T00:00:00"/>
    <x v="1"/>
    <s v="250/500"/>
    <n v="500"/>
    <x v="206"/>
    <n v="0"/>
    <x v="208"/>
    <x v="0"/>
    <x v="2"/>
    <x v="2"/>
    <x v="1"/>
    <s v="not-in-family"/>
    <x v="100"/>
    <x v="98"/>
    <x v="45"/>
    <x v="3"/>
    <x v="1"/>
    <x v="3"/>
    <x v="0"/>
    <x v="4"/>
    <x v="0"/>
    <x v="208"/>
    <x v="1"/>
    <x v="0"/>
    <x v="2"/>
    <x v="1"/>
    <x v="3"/>
    <x v="2"/>
    <x v="200"/>
    <x v="184"/>
    <n v="880"/>
    <x v="191"/>
    <s v="Suburu"/>
    <s v="Legacy"/>
    <n v="2002"/>
    <x v="1"/>
    <n v="0"/>
  </r>
  <r>
    <n v="63"/>
    <x v="39"/>
    <x v="209"/>
    <d v="1994-01-08T00:00:00"/>
    <x v="0"/>
    <s v="250/500"/>
    <n v="2000"/>
    <x v="207"/>
    <n v="0"/>
    <x v="209"/>
    <x v="1"/>
    <x v="5"/>
    <x v="11"/>
    <x v="10"/>
    <s v="other-relative"/>
    <x v="1"/>
    <x v="0"/>
    <x v="51"/>
    <x v="1"/>
    <x v="1"/>
    <x v="1"/>
    <x v="0"/>
    <x v="5"/>
    <x v="4"/>
    <x v="209"/>
    <x v="2"/>
    <x v="0"/>
    <x v="2"/>
    <x v="2"/>
    <x v="1"/>
    <x v="2"/>
    <x v="201"/>
    <x v="185"/>
    <n v="1020"/>
    <x v="192"/>
    <s v="Toyota"/>
    <s v="Corolla"/>
    <n v="2015"/>
    <x v="1"/>
    <n v="0"/>
  </r>
  <r>
    <n v="210"/>
    <x v="7"/>
    <x v="210"/>
    <d v="2006-08-05T00:00:00"/>
    <x v="1"/>
    <s v="500/1000"/>
    <n v="2000"/>
    <x v="208"/>
    <n v="0"/>
    <x v="210"/>
    <x v="0"/>
    <x v="5"/>
    <x v="7"/>
    <x v="9"/>
    <s v="not-in-family"/>
    <x v="101"/>
    <x v="0"/>
    <x v="9"/>
    <x v="1"/>
    <x v="1"/>
    <x v="3"/>
    <x v="1"/>
    <x v="3"/>
    <x v="0"/>
    <x v="210"/>
    <x v="10"/>
    <x v="0"/>
    <x v="1"/>
    <x v="0"/>
    <x v="0"/>
    <x v="1"/>
    <x v="108"/>
    <x v="77"/>
    <n v="590"/>
    <x v="193"/>
    <s v="Dodge"/>
    <s v="RAM"/>
    <n v="1999"/>
    <x v="1"/>
    <n v="0"/>
  </r>
  <r>
    <n v="335"/>
    <x v="36"/>
    <x v="211"/>
    <d v="2007-02-07T00:00:00"/>
    <x v="0"/>
    <s v="100/300"/>
    <n v="1000"/>
    <x v="209"/>
    <n v="6000000"/>
    <x v="211"/>
    <x v="0"/>
    <x v="5"/>
    <x v="2"/>
    <x v="12"/>
    <s v="other-relative"/>
    <x v="102"/>
    <x v="80"/>
    <x v="27"/>
    <x v="2"/>
    <x v="0"/>
    <x v="1"/>
    <x v="4"/>
    <x v="2"/>
    <x v="1"/>
    <x v="211"/>
    <x v="11"/>
    <x v="1"/>
    <x v="0"/>
    <x v="2"/>
    <x v="2"/>
    <x v="0"/>
    <x v="202"/>
    <x v="186"/>
    <n v="4290"/>
    <x v="194"/>
    <s v="Volkswagen"/>
    <s v="Passat"/>
    <n v="2009"/>
    <x v="1"/>
    <n v="0"/>
  </r>
  <r>
    <n v="11"/>
    <x v="17"/>
    <x v="212"/>
    <d v="2001-04-09T00:00:00"/>
    <x v="0"/>
    <s v="500/1000"/>
    <n v="2000"/>
    <x v="210"/>
    <n v="0"/>
    <x v="212"/>
    <x v="1"/>
    <x v="0"/>
    <x v="5"/>
    <x v="1"/>
    <s v="wife"/>
    <x v="103"/>
    <x v="0"/>
    <x v="48"/>
    <x v="2"/>
    <x v="0"/>
    <x v="0"/>
    <x v="3"/>
    <x v="0"/>
    <x v="3"/>
    <x v="212"/>
    <x v="13"/>
    <x v="1"/>
    <x v="1"/>
    <x v="0"/>
    <x v="1"/>
    <x v="1"/>
    <x v="203"/>
    <x v="187"/>
    <n v="9720"/>
    <x v="195"/>
    <s v="Dodge"/>
    <s v="Neon"/>
    <n v="2004"/>
    <x v="0"/>
    <n v="0"/>
  </r>
  <r>
    <n v="142"/>
    <x v="8"/>
    <x v="213"/>
    <d v="1995-02-17T00:00:00"/>
    <x v="1"/>
    <s v="100/300"/>
    <n v="2000"/>
    <x v="211"/>
    <n v="5000000"/>
    <x v="213"/>
    <x v="1"/>
    <x v="6"/>
    <x v="8"/>
    <x v="19"/>
    <s v="wife"/>
    <x v="1"/>
    <x v="0"/>
    <x v="1"/>
    <x v="0"/>
    <x v="0"/>
    <x v="2"/>
    <x v="3"/>
    <x v="5"/>
    <x v="0"/>
    <x v="213"/>
    <x v="20"/>
    <x v="0"/>
    <x v="0"/>
    <x v="0"/>
    <x v="2"/>
    <x v="1"/>
    <x v="204"/>
    <x v="188"/>
    <n v="13560"/>
    <x v="196"/>
    <s v="Suburu"/>
    <s v="Legacy"/>
    <n v="2009"/>
    <x v="0"/>
    <n v="0"/>
  </r>
  <r>
    <n v="272"/>
    <x v="18"/>
    <x v="214"/>
    <d v="1995-07-25T00:00:00"/>
    <x v="0"/>
    <s v="100/300"/>
    <n v="1000"/>
    <x v="212"/>
    <n v="0"/>
    <x v="214"/>
    <x v="0"/>
    <x v="1"/>
    <x v="0"/>
    <x v="4"/>
    <s v="other-relative"/>
    <x v="1"/>
    <x v="0"/>
    <x v="38"/>
    <x v="2"/>
    <x v="0"/>
    <x v="1"/>
    <x v="4"/>
    <x v="5"/>
    <x v="3"/>
    <x v="214"/>
    <x v="0"/>
    <x v="1"/>
    <x v="1"/>
    <x v="0"/>
    <x v="0"/>
    <x v="0"/>
    <x v="106"/>
    <x v="189"/>
    <n v="14740"/>
    <x v="197"/>
    <s v="Audi"/>
    <s v="A3"/>
    <n v="2006"/>
    <x v="0"/>
    <n v="0"/>
  </r>
  <r>
    <n v="69"/>
    <x v="13"/>
    <x v="215"/>
    <d v="2006-03-24T00:00:00"/>
    <x v="2"/>
    <s v="100/300"/>
    <n v="2000"/>
    <x v="213"/>
    <n v="0"/>
    <x v="215"/>
    <x v="1"/>
    <x v="5"/>
    <x v="1"/>
    <x v="5"/>
    <s v="unmarried"/>
    <x v="1"/>
    <x v="0"/>
    <x v="22"/>
    <x v="0"/>
    <x v="3"/>
    <x v="1"/>
    <x v="2"/>
    <x v="2"/>
    <x v="0"/>
    <x v="215"/>
    <x v="8"/>
    <x v="0"/>
    <x v="2"/>
    <x v="2"/>
    <x v="0"/>
    <x v="2"/>
    <x v="15"/>
    <x v="190"/>
    <n v="10520"/>
    <x v="198"/>
    <s v="Audi"/>
    <s v="A5"/>
    <n v="2008"/>
    <x v="1"/>
    <n v="0"/>
  </r>
  <r>
    <n v="38"/>
    <x v="23"/>
    <x v="216"/>
    <d v="1995-03-28T00:00:00"/>
    <x v="0"/>
    <s v="250/500"/>
    <n v="1000"/>
    <x v="214"/>
    <n v="0"/>
    <x v="216"/>
    <x v="0"/>
    <x v="4"/>
    <x v="10"/>
    <x v="12"/>
    <s v="not-in-family"/>
    <x v="1"/>
    <x v="99"/>
    <x v="18"/>
    <x v="1"/>
    <x v="1"/>
    <x v="3"/>
    <x v="1"/>
    <x v="5"/>
    <x v="3"/>
    <x v="216"/>
    <x v="18"/>
    <x v="0"/>
    <x v="1"/>
    <x v="2"/>
    <x v="3"/>
    <x v="2"/>
    <x v="205"/>
    <x v="191"/>
    <n v="720"/>
    <x v="13"/>
    <s v="BMW"/>
    <s v="X5"/>
    <n v="2004"/>
    <x v="1"/>
    <n v="0"/>
  </r>
  <r>
    <n v="328"/>
    <x v="35"/>
    <x v="217"/>
    <d v="1996-06-19T00:00:00"/>
    <x v="2"/>
    <s v="500/1000"/>
    <n v="500"/>
    <x v="215"/>
    <n v="0"/>
    <x v="217"/>
    <x v="1"/>
    <x v="0"/>
    <x v="5"/>
    <x v="20"/>
    <s v="not-in-family"/>
    <x v="104"/>
    <x v="0"/>
    <x v="43"/>
    <x v="0"/>
    <x v="2"/>
    <x v="2"/>
    <x v="3"/>
    <x v="4"/>
    <x v="4"/>
    <x v="217"/>
    <x v="5"/>
    <x v="0"/>
    <x v="1"/>
    <x v="2"/>
    <x v="2"/>
    <x v="1"/>
    <x v="206"/>
    <x v="192"/>
    <n v="6390"/>
    <x v="199"/>
    <s v="Saab"/>
    <s v="92x"/>
    <n v="1998"/>
    <x v="0"/>
    <n v="0"/>
  </r>
  <r>
    <n v="281"/>
    <x v="18"/>
    <x v="218"/>
    <d v="1993-06-16T00:00:00"/>
    <x v="0"/>
    <s v="100/300"/>
    <n v="1000"/>
    <x v="216"/>
    <n v="6000000"/>
    <x v="218"/>
    <x v="0"/>
    <x v="3"/>
    <x v="7"/>
    <x v="7"/>
    <s v="other-relative"/>
    <x v="1"/>
    <x v="0"/>
    <x v="25"/>
    <x v="2"/>
    <x v="0"/>
    <x v="1"/>
    <x v="2"/>
    <x v="0"/>
    <x v="6"/>
    <x v="218"/>
    <x v="7"/>
    <x v="1"/>
    <x v="2"/>
    <x v="0"/>
    <x v="1"/>
    <x v="2"/>
    <x v="207"/>
    <x v="193"/>
    <n v="9260"/>
    <x v="200"/>
    <s v="BMW"/>
    <s v="X6"/>
    <n v="1999"/>
    <x v="1"/>
    <n v="0"/>
  </r>
  <r>
    <n v="246"/>
    <x v="4"/>
    <x v="219"/>
    <d v="2001-07-11T00:00:00"/>
    <x v="0"/>
    <s v="250/500"/>
    <n v="2000"/>
    <x v="217"/>
    <n v="0"/>
    <x v="219"/>
    <x v="0"/>
    <x v="3"/>
    <x v="13"/>
    <x v="5"/>
    <s v="other-relative"/>
    <x v="1"/>
    <x v="100"/>
    <x v="2"/>
    <x v="0"/>
    <x v="3"/>
    <x v="0"/>
    <x v="3"/>
    <x v="2"/>
    <x v="4"/>
    <x v="219"/>
    <x v="22"/>
    <x v="0"/>
    <x v="0"/>
    <x v="0"/>
    <x v="0"/>
    <x v="0"/>
    <x v="158"/>
    <x v="143"/>
    <n v="5580"/>
    <x v="153"/>
    <s v="Honda"/>
    <s v="Civic"/>
    <n v="2009"/>
    <x v="0"/>
    <n v="0"/>
  </r>
  <r>
    <n v="298"/>
    <x v="24"/>
    <x v="220"/>
    <d v="2008-11-22T00:00:00"/>
    <x v="0"/>
    <s v="250/500"/>
    <n v="500"/>
    <x v="218"/>
    <n v="0"/>
    <x v="220"/>
    <x v="1"/>
    <x v="3"/>
    <x v="6"/>
    <x v="20"/>
    <s v="own-child"/>
    <x v="105"/>
    <x v="0"/>
    <x v="31"/>
    <x v="0"/>
    <x v="3"/>
    <x v="1"/>
    <x v="4"/>
    <x v="2"/>
    <x v="3"/>
    <x v="220"/>
    <x v="18"/>
    <x v="0"/>
    <x v="2"/>
    <x v="2"/>
    <x v="0"/>
    <x v="2"/>
    <x v="208"/>
    <x v="194"/>
    <n v="5620"/>
    <x v="201"/>
    <s v="Jeep"/>
    <s v="Grand Cherokee"/>
    <n v="2012"/>
    <x v="1"/>
    <n v="0"/>
  </r>
  <r>
    <n v="330"/>
    <x v="36"/>
    <x v="221"/>
    <d v="2002-12-28T00:00:00"/>
    <x v="2"/>
    <s v="500/1000"/>
    <n v="1000"/>
    <x v="219"/>
    <n v="0"/>
    <x v="221"/>
    <x v="1"/>
    <x v="5"/>
    <x v="2"/>
    <x v="12"/>
    <s v="husband"/>
    <x v="1"/>
    <x v="0"/>
    <x v="57"/>
    <x v="0"/>
    <x v="0"/>
    <x v="2"/>
    <x v="2"/>
    <x v="2"/>
    <x v="4"/>
    <x v="221"/>
    <x v="4"/>
    <x v="0"/>
    <x v="0"/>
    <x v="1"/>
    <x v="1"/>
    <x v="2"/>
    <x v="209"/>
    <x v="195"/>
    <n v="8920"/>
    <x v="202"/>
    <s v="Chevrolet"/>
    <s v="Silverado"/>
    <n v="1995"/>
    <x v="1"/>
    <n v="0"/>
  </r>
  <r>
    <n v="362"/>
    <x v="36"/>
    <x v="222"/>
    <d v="2006-01-01T00:00:00"/>
    <x v="2"/>
    <s v="250/500"/>
    <n v="500"/>
    <x v="220"/>
    <n v="4000000"/>
    <x v="222"/>
    <x v="0"/>
    <x v="2"/>
    <x v="2"/>
    <x v="2"/>
    <s v="wife"/>
    <x v="106"/>
    <x v="101"/>
    <x v="22"/>
    <x v="2"/>
    <x v="0"/>
    <x v="2"/>
    <x v="2"/>
    <x v="2"/>
    <x v="0"/>
    <x v="222"/>
    <x v="18"/>
    <x v="1"/>
    <x v="1"/>
    <x v="0"/>
    <x v="3"/>
    <x v="2"/>
    <x v="210"/>
    <x v="3"/>
    <n v="6340"/>
    <x v="203"/>
    <s v="Mercedes"/>
    <s v="E400"/>
    <n v="1995"/>
    <x v="1"/>
    <n v="0"/>
  </r>
  <r>
    <n v="241"/>
    <x v="11"/>
    <x v="223"/>
    <d v="1990-05-19T00:00:00"/>
    <x v="1"/>
    <s v="100/300"/>
    <n v="2000"/>
    <x v="221"/>
    <n v="0"/>
    <x v="223"/>
    <x v="1"/>
    <x v="2"/>
    <x v="4"/>
    <x v="15"/>
    <s v="not-in-family"/>
    <x v="1"/>
    <x v="0"/>
    <x v="34"/>
    <x v="2"/>
    <x v="0"/>
    <x v="0"/>
    <x v="2"/>
    <x v="1"/>
    <x v="2"/>
    <x v="223"/>
    <x v="6"/>
    <x v="1"/>
    <x v="1"/>
    <x v="1"/>
    <x v="2"/>
    <x v="0"/>
    <x v="17"/>
    <x v="196"/>
    <n v="12980"/>
    <x v="204"/>
    <s v="Accura"/>
    <s v="MDX"/>
    <n v="2008"/>
    <x v="1"/>
    <n v="0"/>
  </r>
  <r>
    <n v="245"/>
    <x v="3"/>
    <x v="224"/>
    <d v="2013-08-26T00:00:00"/>
    <x v="1"/>
    <s v="500/1000"/>
    <n v="2000"/>
    <x v="222"/>
    <n v="0"/>
    <x v="224"/>
    <x v="0"/>
    <x v="4"/>
    <x v="8"/>
    <x v="16"/>
    <s v="unmarried"/>
    <x v="107"/>
    <x v="102"/>
    <x v="21"/>
    <x v="0"/>
    <x v="3"/>
    <x v="2"/>
    <x v="4"/>
    <x v="2"/>
    <x v="3"/>
    <x v="224"/>
    <x v="14"/>
    <x v="0"/>
    <x v="0"/>
    <x v="1"/>
    <x v="3"/>
    <x v="0"/>
    <x v="211"/>
    <x v="197"/>
    <n v="14700"/>
    <x v="205"/>
    <s v="Jeep"/>
    <s v="Wrangler"/>
    <n v="1999"/>
    <x v="1"/>
    <n v="0"/>
  </r>
  <r>
    <n v="371"/>
    <x v="40"/>
    <x v="225"/>
    <d v="1997-10-12T00:00:00"/>
    <x v="2"/>
    <s v="250/500"/>
    <n v="1000"/>
    <x v="223"/>
    <n v="7000000"/>
    <x v="225"/>
    <x v="1"/>
    <x v="5"/>
    <x v="6"/>
    <x v="13"/>
    <s v="own-child"/>
    <x v="1"/>
    <x v="103"/>
    <x v="2"/>
    <x v="2"/>
    <x v="2"/>
    <x v="1"/>
    <x v="3"/>
    <x v="2"/>
    <x v="1"/>
    <x v="225"/>
    <x v="23"/>
    <x v="3"/>
    <x v="0"/>
    <x v="2"/>
    <x v="1"/>
    <x v="1"/>
    <x v="212"/>
    <x v="198"/>
    <n v="13680"/>
    <x v="206"/>
    <s v="Accura"/>
    <s v="RSX"/>
    <n v="2010"/>
    <x v="1"/>
    <n v="0"/>
  </r>
  <r>
    <n v="343"/>
    <x v="40"/>
    <x v="226"/>
    <d v="2002-01-21T00:00:00"/>
    <x v="2"/>
    <s v="500/1000"/>
    <n v="1000"/>
    <x v="224"/>
    <n v="0"/>
    <x v="226"/>
    <x v="1"/>
    <x v="2"/>
    <x v="5"/>
    <x v="4"/>
    <s v="not-in-family"/>
    <x v="1"/>
    <x v="0"/>
    <x v="55"/>
    <x v="0"/>
    <x v="3"/>
    <x v="0"/>
    <x v="3"/>
    <x v="2"/>
    <x v="2"/>
    <x v="226"/>
    <x v="23"/>
    <x v="0"/>
    <x v="1"/>
    <x v="1"/>
    <x v="0"/>
    <x v="2"/>
    <x v="213"/>
    <x v="199"/>
    <n v="4330"/>
    <x v="207"/>
    <s v="Toyota"/>
    <s v="Corolla"/>
    <n v="2005"/>
    <x v="0"/>
    <n v="0"/>
  </r>
  <r>
    <n v="377"/>
    <x v="38"/>
    <x v="227"/>
    <d v="1996-09-02T00:00:00"/>
    <x v="2"/>
    <s v="100/300"/>
    <n v="500"/>
    <x v="225"/>
    <n v="0"/>
    <x v="227"/>
    <x v="1"/>
    <x v="0"/>
    <x v="0"/>
    <x v="15"/>
    <s v="unmarried"/>
    <x v="1"/>
    <x v="16"/>
    <x v="4"/>
    <x v="2"/>
    <x v="3"/>
    <x v="2"/>
    <x v="2"/>
    <x v="4"/>
    <x v="4"/>
    <x v="227"/>
    <x v="15"/>
    <x v="1"/>
    <x v="0"/>
    <x v="0"/>
    <x v="2"/>
    <x v="2"/>
    <x v="214"/>
    <x v="200"/>
    <n v="6560"/>
    <x v="208"/>
    <s v="Saab"/>
    <n v="93"/>
    <n v="2015"/>
    <x v="1"/>
    <n v="0"/>
  </r>
  <r>
    <n v="154"/>
    <x v="7"/>
    <x v="228"/>
    <d v="2010-01-28T00:00:00"/>
    <x v="2"/>
    <s v="250/500"/>
    <n v="1000"/>
    <x v="226"/>
    <n v="0"/>
    <x v="228"/>
    <x v="1"/>
    <x v="0"/>
    <x v="13"/>
    <x v="8"/>
    <s v="other-relative"/>
    <x v="1"/>
    <x v="104"/>
    <x v="25"/>
    <x v="0"/>
    <x v="2"/>
    <x v="1"/>
    <x v="3"/>
    <x v="0"/>
    <x v="0"/>
    <x v="228"/>
    <x v="23"/>
    <x v="0"/>
    <x v="1"/>
    <x v="1"/>
    <x v="2"/>
    <x v="2"/>
    <x v="215"/>
    <x v="201"/>
    <n v="7230"/>
    <x v="209"/>
    <s v="Accura"/>
    <s v="MDX"/>
    <n v="2000"/>
    <x v="1"/>
    <n v="0"/>
  </r>
  <r>
    <n v="166"/>
    <x v="6"/>
    <x v="229"/>
    <d v="2014-10-03T00:00:00"/>
    <x v="0"/>
    <s v="100/300"/>
    <n v="1000"/>
    <x v="227"/>
    <n v="0"/>
    <x v="229"/>
    <x v="1"/>
    <x v="5"/>
    <x v="1"/>
    <x v="5"/>
    <s v="wife"/>
    <x v="108"/>
    <x v="10"/>
    <x v="47"/>
    <x v="0"/>
    <x v="0"/>
    <x v="2"/>
    <x v="5"/>
    <x v="2"/>
    <x v="0"/>
    <x v="229"/>
    <x v="22"/>
    <x v="0"/>
    <x v="2"/>
    <x v="1"/>
    <x v="0"/>
    <x v="0"/>
    <x v="216"/>
    <x v="202"/>
    <n v="4880"/>
    <x v="169"/>
    <s v="Honda"/>
    <s v="CRV"/>
    <n v="2005"/>
    <x v="1"/>
    <n v="1"/>
  </r>
  <r>
    <n v="298"/>
    <x v="35"/>
    <x v="230"/>
    <d v="2007-05-02T00:00:00"/>
    <x v="0"/>
    <s v="500/1000"/>
    <n v="1000"/>
    <x v="228"/>
    <n v="6000000"/>
    <x v="230"/>
    <x v="0"/>
    <x v="6"/>
    <x v="5"/>
    <x v="8"/>
    <s v="own-child"/>
    <x v="32"/>
    <x v="26"/>
    <x v="55"/>
    <x v="0"/>
    <x v="0"/>
    <x v="1"/>
    <x v="0"/>
    <x v="0"/>
    <x v="2"/>
    <x v="230"/>
    <x v="22"/>
    <x v="0"/>
    <x v="2"/>
    <x v="2"/>
    <x v="2"/>
    <x v="0"/>
    <x v="217"/>
    <x v="203"/>
    <n v="6100"/>
    <x v="210"/>
    <s v="Volkswagen"/>
    <s v="Passat"/>
    <n v="2005"/>
    <x v="1"/>
    <n v="0"/>
  </r>
  <r>
    <n v="235"/>
    <x v="1"/>
    <x v="231"/>
    <d v="1990-09-22T00:00:00"/>
    <x v="1"/>
    <s v="250/500"/>
    <n v="500"/>
    <x v="229"/>
    <n v="0"/>
    <x v="231"/>
    <x v="1"/>
    <x v="4"/>
    <x v="1"/>
    <x v="20"/>
    <s v="husband"/>
    <x v="109"/>
    <x v="21"/>
    <x v="32"/>
    <x v="2"/>
    <x v="0"/>
    <x v="2"/>
    <x v="3"/>
    <x v="4"/>
    <x v="3"/>
    <x v="231"/>
    <x v="2"/>
    <x v="2"/>
    <x v="1"/>
    <x v="2"/>
    <x v="3"/>
    <x v="0"/>
    <x v="218"/>
    <x v="204"/>
    <n v="6910"/>
    <x v="211"/>
    <s v="Toyota"/>
    <s v="Highlander"/>
    <n v="2006"/>
    <x v="1"/>
    <n v="0"/>
  </r>
  <r>
    <n v="172"/>
    <x v="21"/>
    <x v="232"/>
    <d v="2004-09-19T00:00:00"/>
    <x v="2"/>
    <s v="100/300"/>
    <n v="2000"/>
    <x v="230"/>
    <n v="0"/>
    <x v="232"/>
    <x v="0"/>
    <x v="0"/>
    <x v="11"/>
    <x v="13"/>
    <s v="own-child"/>
    <x v="9"/>
    <x v="105"/>
    <x v="19"/>
    <x v="2"/>
    <x v="2"/>
    <x v="0"/>
    <x v="0"/>
    <x v="3"/>
    <x v="4"/>
    <x v="232"/>
    <x v="4"/>
    <x v="1"/>
    <x v="1"/>
    <x v="2"/>
    <x v="1"/>
    <x v="2"/>
    <x v="219"/>
    <x v="205"/>
    <n v="14500"/>
    <x v="212"/>
    <s v="Nissan"/>
    <s v="Pathfinder"/>
    <n v="1999"/>
    <x v="1"/>
    <n v="0"/>
  </r>
  <r>
    <n v="27"/>
    <x v="23"/>
    <x v="233"/>
    <d v="1995-08-28T00:00:00"/>
    <x v="1"/>
    <s v="100/300"/>
    <n v="2000"/>
    <x v="231"/>
    <n v="0"/>
    <x v="233"/>
    <x v="0"/>
    <x v="6"/>
    <x v="13"/>
    <x v="18"/>
    <s v="other-relative"/>
    <x v="1"/>
    <x v="106"/>
    <x v="57"/>
    <x v="2"/>
    <x v="3"/>
    <x v="0"/>
    <x v="3"/>
    <x v="7"/>
    <x v="1"/>
    <x v="233"/>
    <x v="15"/>
    <x v="1"/>
    <x v="1"/>
    <x v="1"/>
    <x v="0"/>
    <x v="0"/>
    <x v="163"/>
    <x v="206"/>
    <n v="10720"/>
    <x v="213"/>
    <s v="Audi"/>
    <s v="A5"/>
    <n v="2015"/>
    <x v="0"/>
    <n v="0"/>
  </r>
  <r>
    <n v="428"/>
    <x v="25"/>
    <x v="234"/>
    <d v="2004-02-04T00:00:00"/>
    <x v="1"/>
    <s v="100/300"/>
    <n v="2000"/>
    <x v="232"/>
    <n v="0"/>
    <x v="234"/>
    <x v="0"/>
    <x v="4"/>
    <x v="10"/>
    <x v="15"/>
    <s v="unmarried"/>
    <x v="1"/>
    <x v="107"/>
    <x v="12"/>
    <x v="2"/>
    <x v="0"/>
    <x v="1"/>
    <x v="2"/>
    <x v="2"/>
    <x v="1"/>
    <x v="234"/>
    <x v="16"/>
    <x v="1"/>
    <x v="2"/>
    <x v="0"/>
    <x v="1"/>
    <x v="1"/>
    <x v="115"/>
    <x v="108"/>
    <n v="6380"/>
    <x v="214"/>
    <s v="Nissan"/>
    <s v="Ultima"/>
    <n v="2009"/>
    <x v="1"/>
    <n v="0"/>
  </r>
  <r>
    <n v="99"/>
    <x v="30"/>
    <x v="235"/>
    <d v="2014-07-23T00:00:00"/>
    <x v="1"/>
    <s v="100/300"/>
    <n v="1000"/>
    <x v="233"/>
    <n v="3000000"/>
    <x v="235"/>
    <x v="0"/>
    <x v="6"/>
    <x v="0"/>
    <x v="6"/>
    <s v="unmarried"/>
    <x v="1"/>
    <x v="0"/>
    <x v="3"/>
    <x v="0"/>
    <x v="3"/>
    <x v="2"/>
    <x v="2"/>
    <x v="2"/>
    <x v="2"/>
    <x v="235"/>
    <x v="18"/>
    <x v="0"/>
    <x v="0"/>
    <x v="0"/>
    <x v="3"/>
    <x v="2"/>
    <x v="220"/>
    <x v="207"/>
    <n v="4570"/>
    <x v="215"/>
    <s v="Dodge"/>
    <s v="RAM"/>
    <n v="1999"/>
    <x v="1"/>
    <n v="0"/>
  </r>
  <r>
    <n v="107"/>
    <x v="13"/>
    <x v="236"/>
    <d v="1997-03-21T00:00:00"/>
    <x v="2"/>
    <s v="500/1000"/>
    <n v="2000"/>
    <x v="234"/>
    <n v="0"/>
    <x v="236"/>
    <x v="0"/>
    <x v="0"/>
    <x v="2"/>
    <x v="19"/>
    <s v="own-child"/>
    <x v="110"/>
    <x v="0"/>
    <x v="3"/>
    <x v="2"/>
    <x v="2"/>
    <x v="2"/>
    <x v="2"/>
    <x v="0"/>
    <x v="0"/>
    <x v="236"/>
    <x v="23"/>
    <x v="1"/>
    <x v="2"/>
    <x v="2"/>
    <x v="2"/>
    <x v="2"/>
    <x v="6"/>
    <x v="208"/>
    <n v="7150"/>
    <x v="216"/>
    <s v="Audi"/>
    <s v="A3"/>
    <n v="1996"/>
    <x v="0"/>
    <n v="0"/>
  </r>
  <r>
    <n v="272"/>
    <x v="3"/>
    <x v="237"/>
    <d v="1991-05-06T00:00:00"/>
    <x v="0"/>
    <s v="500/1000"/>
    <n v="2000"/>
    <x v="235"/>
    <n v="0"/>
    <x v="237"/>
    <x v="1"/>
    <x v="2"/>
    <x v="13"/>
    <x v="1"/>
    <s v="own-child"/>
    <x v="111"/>
    <x v="108"/>
    <x v="55"/>
    <x v="0"/>
    <x v="0"/>
    <x v="0"/>
    <x v="3"/>
    <x v="2"/>
    <x v="3"/>
    <x v="237"/>
    <x v="4"/>
    <x v="0"/>
    <x v="1"/>
    <x v="0"/>
    <x v="3"/>
    <x v="1"/>
    <x v="221"/>
    <x v="209"/>
    <n v="12920"/>
    <x v="217"/>
    <s v="Saab"/>
    <s v="92x"/>
    <n v="2010"/>
    <x v="1"/>
    <n v="0"/>
  </r>
  <r>
    <n v="151"/>
    <x v="7"/>
    <x v="238"/>
    <d v="1992-08-07T00:00:00"/>
    <x v="1"/>
    <s v="500/1000"/>
    <n v="1000"/>
    <x v="236"/>
    <n v="0"/>
    <x v="238"/>
    <x v="1"/>
    <x v="4"/>
    <x v="13"/>
    <x v="8"/>
    <s v="own-child"/>
    <x v="112"/>
    <x v="0"/>
    <x v="42"/>
    <x v="0"/>
    <x v="3"/>
    <x v="1"/>
    <x v="2"/>
    <x v="4"/>
    <x v="6"/>
    <x v="238"/>
    <x v="5"/>
    <x v="0"/>
    <x v="0"/>
    <x v="0"/>
    <x v="3"/>
    <x v="1"/>
    <x v="222"/>
    <x v="210"/>
    <n v="3530"/>
    <x v="218"/>
    <s v="Suburu"/>
    <s v="Legacy"/>
    <n v="1999"/>
    <x v="1"/>
    <n v="0"/>
  </r>
  <r>
    <n v="249"/>
    <x v="18"/>
    <x v="239"/>
    <d v="2013-09-03T00:00:00"/>
    <x v="2"/>
    <s v="250/500"/>
    <n v="1000"/>
    <x v="237"/>
    <n v="0"/>
    <x v="239"/>
    <x v="1"/>
    <x v="0"/>
    <x v="3"/>
    <x v="19"/>
    <s v="own-child"/>
    <x v="1"/>
    <x v="0"/>
    <x v="48"/>
    <x v="0"/>
    <x v="3"/>
    <x v="0"/>
    <x v="2"/>
    <x v="0"/>
    <x v="1"/>
    <x v="239"/>
    <x v="16"/>
    <x v="0"/>
    <x v="1"/>
    <x v="1"/>
    <x v="1"/>
    <x v="0"/>
    <x v="223"/>
    <x v="211"/>
    <n v="5350"/>
    <x v="219"/>
    <s v="Saab"/>
    <s v="92x"/>
    <n v="2015"/>
    <x v="1"/>
    <n v="0"/>
  </r>
  <r>
    <n v="177"/>
    <x v="11"/>
    <x v="240"/>
    <d v="2012-01-05T00:00:00"/>
    <x v="2"/>
    <s v="100/300"/>
    <n v="2000"/>
    <x v="238"/>
    <n v="0"/>
    <x v="240"/>
    <x v="1"/>
    <x v="3"/>
    <x v="12"/>
    <x v="9"/>
    <s v="other-relative"/>
    <x v="1"/>
    <x v="109"/>
    <x v="52"/>
    <x v="0"/>
    <x v="3"/>
    <x v="0"/>
    <x v="3"/>
    <x v="1"/>
    <x v="0"/>
    <x v="240"/>
    <x v="3"/>
    <x v="0"/>
    <x v="0"/>
    <x v="2"/>
    <x v="1"/>
    <x v="2"/>
    <x v="224"/>
    <x v="189"/>
    <n v="7370"/>
    <x v="197"/>
    <s v="Chevrolet"/>
    <s v="Silverado"/>
    <n v="2001"/>
    <x v="0"/>
    <n v="0"/>
  </r>
  <r>
    <n v="190"/>
    <x v="17"/>
    <x v="241"/>
    <d v="2007-01-27T00:00:00"/>
    <x v="0"/>
    <s v="500/1000"/>
    <n v="2000"/>
    <x v="239"/>
    <n v="0"/>
    <x v="241"/>
    <x v="1"/>
    <x v="6"/>
    <x v="8"/>
    <x v="7"/>
    <s v="other-relative"/>
    <x v="32"/>
    <x v="59"/>
    <x v="40"/>
    <x v="3"/>
    <x v="1"/>
    <x v="3"/>
    <x v="1"/>
    <x v="0"/>
    <x v="4"/>
    <x v="241"/>
    <x v="15"/>
    <x v="0"/>
    <x v="1"/>
    <x v="2"/>
    <x v="3"/>
    <x v="0"/>
    <x v="225"/>
    <x v="212"/>
    <n v="630"/>
    <x v="13"/>
    <s v="Nissan"/>
    <s v="Ultima"/>
    <n v="2001"/>
    <x v="1"/>
    <n v="0"/>
  </r>
  <r>
    <n v="174"/>
    <x v="31"/>
    <x v="242"/>
    <d v="2005-10-14T00:00:00"/>
    <x v="2"/>
    <s v="100/300"/>
    <n v="2000"/>
    <x v="240"/>
    <n v="0"/>
    <x v="242"/>
    <x v="1"/>
    <x v="3"/>
    <x v="4"/>
    <x v="13"/>
    <s v="own-child"/>
    <x v="17"/>
    <x v="110"/>
    <x v="38"/>
    <x v="2"/>
    <x v="2"/>
    <x v="2"/>
    <x v="4"/>
    <x v="2"/>
    <x v="1"/>
    <x v="242"/>
    <x v="7"/>
    <x v="1"/>
    <x v="1"/>
    <x v="2"/>
    <x v="0"/>
    <x v="2"/>
    <x v="226"/>
    <x v="213"/>
    <n v="10900"/>
    <x v="220"/>
    <s v="Dodge"/>
    <s v="RAM"/>
    <n v="2012"/>
    <x v="1"/>
    <n v="0"/>
  </r>
  <r>
    <n v="95"/>
    <x v="23"/>
    <x v="243"/>
    <d v="1990-11-03T00:00:00"/>
    <x v="0"/>
    <s v="250/500"/>
    <n v="1000"/>
    <x v="241"/>
    <n v="0"/>
    <x v="243"/>
    <x v="0"/>
    <x v="2"/>
    <x v="3"/>
    <x v="2"/>
    <s v="other-relative"/>
    <x v="1"/>
    <x v="111"/>
    <x v="17"/>
    <x v="1"/>
    <x v="1"/>
    <x v="3"/>
    <x v="1"/>
    <x v="7"/>
    <x v="3"/>
    <x v="243"/>
    <x v="19"/>
    <x v="0"/>
    <x v="0"/>
    <x v="0"/>
    <x v="0"/>
    <x v="2"/>
    <x v="227"/>
    <x v="214"/>
    <n v="320"/>
    <x v="221"/>
    <s v="Mercedes"/>
    <s v="E400"/>
    <n v="2014"/>
    <x v="1"/>
    <n v="0"/>
  </r>
  <r>
    <n v="371"/>
    <x v="34"/>
    <x v="244"/>
    <d v="2005-10-15T00:00:00"/>
    <x v="1"/>
    <s v="500/1000"/>
    <n v="1000"/>
    <x v="242"/>
    <n v="0"/>
    <x v="244"/>
    <x v="1"/>
    <x v="2"/>
    <x v="4"/>
    <x v="6"/>
    <s v="other-relative"/>
    <x v="113"/>
    <x v="112"/>
    <x v="16"/>
    <x v="0"/>
    <x v="2"/>
    <x v="0"/>
    <x v="2"/>
    <x v="2"/>
    <x v="2"/>
    <x v="244"/>
    <x v="2"/>
    <x v="0"/>
    <x v="0"/>
    <x v="1"/>
    <x v="2"/>
    <x v="0"/>
    <x v="228"/>
    <x v="215"/>
    <n v="15080"/>
    <x v="222"/>
    <s v="Dodge"/>
    <s v="RAM"/>
    <n v="2012"/>
    <x v="0"/>
    <n v="0"/>
  </r>
  <r>
    <n v="2"/>
    <x v="23"/>
    <x v="245"/>
    <d v="1999-05-22T00:00:00"/>
    <x v="2"/>
    <s v="250/500"/>
    <n v="1000"/>
    <x v="243"/>
    <n v="0"/>
    <x v="245"/>
    <x v="1"/>
    <x v="6"/>
    <x v="1"/>
    <x v="6"/>
    <s v="not-in-family"/>
    <x v="1"/>
    <x v="0"/>
    <x v="34"/>
    <x v="0"/>
    <x v="0"/>
    <x v="1"/>
    <x v="2"/>
    <x v="2"/>
    <x v="5"/>
    <x v="245"/>
    <x v="4"/>
    <x v="0"/>
    <x v="0"/>
    <x v="1"/>
    <x v="0"/>
    <x v="0"/>
    <x v="229"/>
    <x v="209"/>
    <n v="6460"/>
    <x v="223"/>
    <s v="Saab"/>
    <s v="92x"/>
    <n v="2008"/>
    <x v="1"/>
    <n v="0"/>
  </r>
  <r>
    <n v="269"/>
    <x v="4"/>
    <x v="246"/>
    <d v="2002-12-21T00:00:00"/>
    <x v="0"/>
    <s v="100/300"/>
    <n v="500"/>
    <x v="244"/>
    <n v="4000000"/>
    <x v="246"/>
    <x v="1"/>
    <x v="6"/>
    <x v="6"/>
    <x v="14"/>
    <s v="own-child"/>
    <x v="1"/>
    <x v="113"/>
    <x v="52"/>
    <x v="2"/>
    <x v="2"/>
    <x v="2"/>
    <x v="4"/>
    <x v="0"/>
    <x v="0"/>
    <x v="246"/>
    <x v="12"/>
    <x v="1"/>
    <x v="1"/>
    <x v="1"/>
    <x v="3"/>
    <x v="1"/>
    <x v="230"/>
    <x v="216"/>
    <n v="15180"/>
    <x v="224"/>
    <s v="Chevrolet"/>
    <s v="Tahoe"/>
    <n v="2010"/>
    <x v="0"/>
    <n v="0"/>
  </r>
  <r>
    <n v="101"/>
    <x v="28"/>
    <x v="247"/>
    <d v="2007-02-10T00:00:00"/>
    <x v="2"/>
    <s v="250/500"/>
    <n v="1000"/>
    <x v="245"/>
    <n v="0"/>
    <x v="247"/>
    <x v="0"/>
    <x v="4"/>
    <x v="1"/>
    <x v="6"/>
    <s v="other-relative"/>
    <x v="114"/>
    <x v="0"/>
    <x v="5"/>
    <x v="3"/>
    <x v="1"/>
    <x v="1"/>
    <x v="1"/>
    <x v="0"/>
    <x v="4"/>
    <x v="247"/>
    <x v="2"/>
    <x v="0"/>
    <x v="1"/>
    <x v="1"/>
    <x v="2"/>
    <x v="2"/>
    <x v="88"/>
    <x v="77"/>
    <n v="590"/>
    <x v="81"/>
    <s v="Mercedes"/>
    <s v="E400"/>
    <n v="2009"/>
    <x v="1"/>
    <n v="0"/>
  </r>
  <r>
    <n v="94"/>
    <x v="22"/>
    <x v="248"/>
    <d v="2002-03-01T00:00:00"/>
    <x v="1"/>
    <s v="250/500"/>
    <n v="2000"/>
    <x v="246"/>
    <n v="0"/>
    <x v="248"/>
    <x v="1"/>
    <x v="5"/>
    <x v="3"/>
    <x v="13"/>
    <s v="other-relative"/>
    <x v="1"/>
    <x v="114"/>
    <x v="41"/>
    <x v="0"/>
    <x v="2"/>
    <x v="0"/>
    <x v="2"/>
    <x v="5"/>
    <x v="2"/>
    <x v="248"/>
    <x v="4"/>
    <x v="0"/>
    <x v="1"/>
    <x v="0"/>
    <x v="2"/>
    <x v="0"/>
    <x v="5"/>
    <x v="5"/>
    <n v="6410"/>
    <x v="5"/>
    <s v="Chevrolet"/>
    <s v="Malibu"/>
    <n v="2001"/>
    <x v="1"/>
    <n v="0"/>
  </r>
  <r>
    <n v="117"/>
    <x v="23"/>
    <x v="249"/>
    <d v="2003-04-21T00:00:00"/>
    <x v="0"/>
    <s v="250/500"/>
    <n v="500"/>
    <x v="247"/>
    <n v="0"/>
    <x v="249"/>
    <x v="1"/>
    <x v="2"/>
    <x v="10"/>
    <x v="12"/>
    <s v="unmarried"/>
    <x v="115"/>
    <x v="106"/>
    <x v="53"/>
    <x v="2"/>
    <x v="2"/>
    <x v="2"/>
    <x v="2"/>
    <x v="0"/>
    <x v="3"/>
    <x v="249"/>
    <x v="21"/>
    <x v="3"/>
    <x v="0"/>
    <x v="1"/>
    <x v="3"/>
    <x v="1"/>
    <x v="116"/>
    <x v="217"/>
    <n v="10080"/>
    <x v="225"/>
    <s v="Suburu"/>
    <s v="Forrestor"/>
    <n v="2009"/>
    <x v="0"/>
    <n v="0"/>
  </r>
  <r>
    <n v="111"/>
    <x v="28"/>
    <x v="250"/>
    <d v="2002-09-22T00:00:00"/>
    <x v="0"/>
    <s v="250/500"/>
    <n v="500"/>
    <x v="248"/>
    <n v="5000000"/>
    <x v="250"/>
    <x v="0"/>
    <x v="0"/>
    <x v="2"/>
    <x v="12"/>
    <s v="other-relative"/>
    <x v="1"/>
    <x v="0"/>
    <x v="7"/>
    <x v="2"/>
    <x v="0"/>
    <x v="0"/>
    <x v="0"/>
    <x v="0"/>
    <x v="5"/>
    <x v="250"/>
    <x v="23"/>
    <x v="1"/>
    <x v="2"/>
    <x v="0"/>
    <x v="0"/>
    <x v="2"/>
    <x v="231"/>
    <x v="197"/>
    <n v="14700"/>
    <x v="226"/>
    <s v="Ford"/>
    <s v="F150"/>
    <n v="2011"/>
    <x v="0"/>
    <n v="0"/>
  </r>
  <r>
    <n v="242"/>
    <x v="17"/>
    <x v="251"/>
    <d v="1998-02-10T00:00:00"/>
    <x v="0"/>
    <s v="100/300"/>
    <n v="500"/>
    <x v="249"/>
    <n v="0"/>
    <x v="251"/>
    <x v="1"/>
    <x v="5"/>
    <x v="10"/>
    <x v="4"/>
    <s v="husband"/>
    <x v="1"/>
    <x v="73"/>
    <x v="35"/>
    <x v="1"/>
    <x v="1"/>
    <x v="3"/>
    <x v="0"/>
    <x v="4"/>
    <x v="3"/>
    <x v="251"/>
    <x v="0"/>
    <x v="0"/>
    <x v="0"/>
    <x v="0"/>
    <x v="3"/>
    <x v="2"/>
    <x v="232"/>
    <x v="218"/>
    <n v="680"/>
    <x v="227"/>
    <s v="Saab"/>
    <n v="95"/>
    <n v="1998"/>
    <x v="1"/>
    <n v="0"/>
  </r>
  <r>
    <n v="440"/>
    <x v="9"/>
    <x v="252"/>
    <d v="1992-09-01T00:00:00"/>
    <x v="0"/>
    <s v="250/500"/>
    <n v="500"/>
    <x v="250"/>
    <n v="0"/>
    <x v="252"/>
    <x v="0"/>
    <x v="1"/>
    <x v="10"/>
    <x v="10"/>
    <s v="wife"/>
    <x v="116"/>
    <x v="115"/>
    <x v="48"/>
    <x v="0"/>
    <x v="0"/>
    <x v="0"/>
    <x v="2"/>
    <x v="3"/>
    <x v="1"/>
    <x v="252"/>
    <x v="7"/>
    <x v="0"/>
    <x v="1"/>
    <x v="2"/>
    <x v="2"/>
    <x v="2"/>
    <x v="233"/>
    <x v="219"/>
    <n v="5960"/>
    <x v="228"/>
    <s v="Nissan"/>
    <s v="Maxima"/>
    <n v="2004"/>
    <x v="0"/>
    <n v="0"/>
  </r>
  <r>
    <n v="20"/>
    <x v="10"/>
    <x v="253"/>
    <d v="1999-05-01T00:00:00"/>
    <x v="0"/>
    <s v="500/1000"/>
    <n v="1000"/>
    <x v="251"/>
    <n v="0"/>
    <x v="253"/>
    <x v="1"/>
    <x v="6"/>
    <x v="4"/>
    <x v="5"/>
    <s v="wife"/>
    <x v="1"/>
    <x v="0"/>
    <x v="6"/>
    <x v="2"/>
    <x v="2"/>
    <x v="0"/>
    <x v="2"/>
    <x v="0"/>
    <x v="6"/>
    <x v="253"/>
    <x v="7"/>
    <x v="1"/>
    <x v="2"/>
    <x v="2"/>
    <x v="0"/>
    <x v="2"/>
    <x v="234"/>
    <x v="220"/>
    <n v="11500"/>
    <x v="229"/>
    <s v="Chevrolet"/>
    <s v="Tahoe"/>
    <n v="2002"/>
    <x v="0"/>
    <n v="0"/>
  </r>
  <r>
    <n v="461"/>
    <x v="37"/>
    <x v="254"/>
    <d v="1997-12-19T00:00:00"/>
    <x v="2"/>
    <s v="100/300"/>
    <n v="500"/>
    <x v="252"/>
    <n v="7000000"/>
    <x v="254"/>
    <x v="1"/>
    <x v="5"/>
    <x v="13"/>
    <x v="6"/>
    <s v="own-child"/>
    <x v="1"/>
    <x v="0"/>
    <x v="45"/>
    <x v="2"/>
    <x v="0"/>
    <x v="0"/>
    <x v="4"/>
    <x v="2"/>
    <x v="4"/>
    <x v="254"/>
    <x v="2"/>
    <x v="1"/>
    <x v="2"/>
    <x v="1"/>
    <x v="3"/>
    <x v="1"/>
    <x v="214"/>
    <x v="221"/>
    <n v="9840"/>
    <x v="230"/>
    <s v="Dodge"/>
    <s v="RAM"/>
    <n v="1995"/>
    <x v="1"/>
    <n v="0"/>
  </r>
  <r>
    <n v="208"/>
    <x v="31"/>
    <x v="255"/>
    <d v="2000-06-18T00:00:00"/>
    <x v="2"/>
    <s v="250/500"/>
    <n v="500"/>
    <x v="253"/>
    <n v="0"/>
    <x v="255"/>
    <x v="0"/>
    <x v="2"/>
    <x v="0"/>
    <x v="5"/>
    <s v="other-relative"/>
    <x v="1"/>
    <x v="0"/>
    <x v="2"/>
    <x v="2"/>
    <x v="0"/>
    <x v="2"/>
    <x v="3"/>
    <x v="0"/>
    <x v="2"/>
    <x v="255"/>
    <x v="16"/>
    <x v="1"/>
    <x v="0"/>
    <x v="0"/>
    <x v="1"/>
    <x v="0"/>
    <x v="235"/>
    <x v="222"/>
    <n v="5050"/>
    <x v="231"/>
    <s v="Accura"/>
    <s v="TL"/>
    <n v="2004"/>
    <x v="1"/>
    <n v="0"/>
  </r>
  <r>
    <n v="279"/>
    <x v="18"/>
    <x v="256"/>
    <d v="1995-04-24T00:00:00"/>
    <x v="0"/>
    <s v="500/1000"/>
    <n v="2000"/>
    <x v="254"/>
    <n v="0"/>
    <x v="256"/>
    <x v="0"/>
    <x v="2"/>
    <x v="1"/>
    <x v="19"/>
    <s v="other-relative"/>
    <x v="1"/>
    <x v="0"/>
    <x v="34"/>
    <x v="0"/>
    <x v="0"/>
    <x v="0"/>
    <x v="0"/>
    <x v="0"/>
    <x v="0"/>
    <x v="256"/>
    <x v="21"/>
    <x v="0"/>
    <x v="0"/>
    <x v="1"/>
    <x v="3"/>
    <x v="2"/>
    <x v="236"/>
    <x v="5"/>
    <n v="12820"/>
    <x v="232"/>
    <s v="Mercedes"/>
    <s v="C300"/>
    <n v="2010"/>
    <x v="0"/>
    <n v="0"/>
  </r>
  <r>
    <n v="244"/>
    <x v="17"/>
    <x v="257"/>
    <d v="2006-06-16T00:00:00"/>
    <x v="2"/>
    <s v="100/300"/>
    <n v="500"/>
    <x v="255"/>
    <n v="0"/>
    <x v="257"/>
    <x v="1"/>
    <x v="0"/>
    <x v="2"/>
    <x v="5"/>
    <s v="husband"/>
    <x v="1"/>
    <x v="0"/>
    <x v="40"/>
    <x v="1"/>
    <x v="1"/>
    <x v="3"/>
    <x v="0"/>
    <x v="2"/>
    <x v="3"/>
    <x v="257"/>
    <x v="23"/>
    <x v="0"/>
    <x v="0"/>
    <x v="0"/>
    <x v="2"/>
    <x v="0"/>
    <x v="160"/>
    <x v="75"/>
    <n v="660"/>
    <x v="79"/>
    <s v="Toyota"/>
    <s v="Camry"/>
    <n v="2014"/>
    <x v="1"/>
    <n v="0"/>
  </r>
  <r>
    <n v="134"/>
    <x v="22"/>
    <x v="258"/>
    <d v="2007-09-28T00:00:00"/>
    <x v="0"/>
    <s v="250/500"/>
    <n v="2000"/>
    <x v="256"/>
    <n v="0"/>
    <x v="258"/>
    <x v="1"/>
    <x v="1"/>
    <x v="8"/>
    <x v="8"/>
    <s v="unmarried"/>
    <x v="1"/>
    <x v="0"/>
    <x v="22"/>
    <x v="2"/>
    <x v="2"/>
    <x v="0"/>
    <x v="2"/>
    <x v="0"/>
    <x v="5"/>
    <x v="258"/>
    <x v="4"/>
    <x v="1"/>
    <x v="1"/>
    <x v="1"/>
    <x v="0"/>
    <x v="0"/>
    <x v="237"/>
    <x v="223"/>
    <n v="5310"/>
    <x v="33"/>
    <s v="Suburu"/>
    <s v="Impreza"/>
    <n v="1995"/>
    <x v="0"/>
    <n v="0"/>
  </r>
  <r>
    <n v="122"/>
    <x v="2"/>
    <x v="259"/>
    <d v="1991-11-21T00:00:00"/>
    <x v="0"/>
    <s v="250/500"/>
    <n v="1000"/>
    <x v="257"/>
    <n v="0"/>
    <x v="259"/>
    <x v="1"/>
    <x v="4"/>
    <x v="7"/>
    <x v="9"/>
    <s v="other-relative"/>
    <x v="1"/>
    <x v="116"/>
    <x v="40"/>
    <x v="3"/>
    <x v="1"/>
    <x v="3"/>
    <x v="1"/>
    <x v="0"/>
    <x v="1"/>
    <x v="259"/>
    <x v="18"/>
    <x v="0"/>
    <x v="1"/>
    <x v="1"/>
    <x v="3"/>
    <x v="2"/>
    <x v="238"/>
    <x v="224"/>
    <n v="350"/>
    <x v="233"/>
    <s v="Dodge"/>
    <s v="Neon"/>
    <n v="2014"/>
    <x v="1"/>
    <n v="0"/>
  </r>
  <r>
    <n v="156"/>
    <x v="14"/>
    <x v="260"/>
    <d v="1996-09-21T00:00:00"/>
    <x v="2"/>
    <s v="100/300"/>
    <n v="2000"/>
    <x v="258"/>
    <n v="0"/>
    <x v="102"/>
    <x v="0"/>
    <x v="1"/>
    <x v="6"/>
    <x v="1"/>
    <s v="husband"/>
    <x v="1"/>
    <x v="0"/>
    <x v="58"/>
    <x v="0"/>
    <x v="3"/>
    <x v="0"/>
    <x v="0"/>
    <x v="5"/>
    <x v="2"/>
    <x v="260"/>
    <x v="19"/>
    <x v="0"/>
    <x v="1"/>
    <x v="2"/>
    <x v="1"/>
    <x v="1"/>
    <x v="239"/>
    <x v="225"/>
    <n v="5900"/>
    <x v="234"/>
    <s v="Ford"/>
    <s v="Fusion"/>
    <n v="2013"/>
    <x v="0"/>
    <n v="0"/>
  </r>
  <r>
    <n v="232"/>
    <x v="18"/>
    <x v="261"/>
    <d v="2001-05-16T00:00:00"/>
    <x v="0"/>
    <s v="250/500"/>
    <n v="500"/>
    <x v="259"/>
    <n v="8000000"/>
    <x v="260"/>
    <x v="0"/>
    <x v="3"/>
    <x v="1"/>
    <x v="6"/>
    <s v="husband"/>
    <x v="1"/>
    <x v="117"/>
    <x v="23"/>
    <x v="2"/>
    <x v="2"/>
    <x v="0"/>
    <x v="4"/>
    <x v="2"/>
    <x v="2"/>
    <x v="261"/>
    <x v="18"/>
    <x v="1"/>
    <x v="2"/>
    <x v="1"/>
    <x v="3"/>
    <x v="1"/>
    <x v="240"/>
    <x v="226"/>
    <n v="14120"/>
    <x v="235"/>
    <s v="Volkswagen"/>
    <s v="Passat"/>
    <n v="2013"/>
    <x v="0"/>
    <n v="0"/>
  </r>
  <r>
    <n v="244"/>
    <x v="17"/>
    <x v="262"/>
    <d v="1999-08-11T00:00:00"/>
    <x v="1"/>
    <s v="500/1000"/>
    <n v="2000"/>
    <x v="260"/>
    <n v="7000000"/>
    <x v="261"/>
    <x v="0"/>
    <x v="4"/>
    <x v="3"/>
    <x v="5"/>
    <s v="other-relative"/>
    <x v="1"/>
    <x v="38"/>
    <x v="3"/>
    <x v="2"/>
    <x v="0"/>
    <x v="1"/>
    <x v="0"/>
    <x v="0"/>
    <x v="4"/>
    <x v="262"/>
    <x v="0"/>
    <x v="1"/>
    <x v="1"/>
    <x v="0"/>
    <x v="3"/>
    <x v="1"/>
    <x v="241"/>
    <x v="227"/>
    <n v="11180"/>
    <x v="236"/>
    <s v="Dodge"/>
    <s v="RAM"/>
    <n v="2001"/>
    <x v="1"/>
    <n v="0"/>
  </r>
  <r>
    <n v="84"/>
    <x v="22"/>
    <x v="263"/>
    <d v="2003-06-16T00:00:00"/>
    <x v="2"/>
    <s v="500/1000"/>
    <n v="2000"/>
    <x v="261"/>
    <n v="0"/>
    <x v="262"/>
    <x v="1"/>
    <x v="0"/>
    <x v="9"/>
    <x v="15"/>
    <s v="wife"/>
    <x v="117"/>
    <x v="33"/>
    <x v="8"/>
    <x v="0"/>
    <x v="0"/>
    <x v="1"/>
    <x v="0"/>
    <x v="0"/>
    <x v="5"/>
    <x v="263"/>
    <x v="10"/>
    <x v="0"/>
    <x v="2"/>
    <x v="0"/>
    <x v="1"/>
    <x v="0"/>
    <x v="242"/>
    <x v="228"/>
    <n v="10480"/>
    <x v="20"/>
    <s v="Volkswagen"/>
    <s v="Passat"/>
    <n v="2010"/>
    <x v="1"/>
    <n v="0"/>
  </r>
  <r>
    <n v="394"/>
    <x v="37"/>
    <x v="264"/>
    <d v="1999-03-30T00:00:00"/>
    <x v="2"/>
    <s v="250/500"/>
    <n v="500"/>
    <x v="262"/>
    <n v="0"/>
    <x v="263"/>
    <x v="1"/>
    <x v="5"/>
    <x v="0"/>
    <x v="10"/>
    <s v="own-child"/>
    <x v="118"/>
    <x v="0"/>
    <x v="0"/>
    <x v="1"/>
    <x v="1"/>
    <x v="3"/>
    <x v="0"/>
    <x v="5"/>
    <x v="4"/>
    <x v="264"/>
    <x v="10"/>
    <x v="0"/>
    <x v="2"/>
    <x v="0"/>
    <x v="1"/>
    <x v="2"/>
    <x v="243"/>
    <x v="229"/>
    <n v="1060"/>
    <x v="237"/>
    <s v="Audi"/>
    <s v="A5"/>
    <n v="1999"/>
    <x v="1"/>
    <n v="0"/>
  </r>
  <r>
    <n v="246"/>
    <x v="19"/>
    <x v="265"/>
    <d v="1999-02-03T00:00:00"/>
    <x v="2"/>
    <s v="250/500"/>
    <n v="1000"/>
    <x v="263"/>
    <n v="0"/>
    <x v="264"/>
    <x v="0"/>
    <x v="6"/>
    <x v="1"/>
    <x v="11"/>
    <s v="wife"/>
    <x v="54"/>
    <x v="118"/>
    <x v="15"/>
    <x v="2"/>
    <x v="0"/>
    <x v="0"/>
    <x v="2"/>
    <x v="7"/>
    <x v="0"/>
    <x v="265"/>
    <x v="10"/>
    <x v="1"/>
    <x v="1"/>
    <x v="2"/>
    <x v="0"/>
    <x v="1"/>
    <x v="244"/>
    <x v="230"/>
    <n v="5920"/>
    <x v="238"/>
    <s v="Toyota"/>
    <s v="Camry"/>
    <n v="2006"/>
    <x v="0"/>
    <n v="0"/>
  </r>
  <r>
    <n v="35"/>
    <x v="2"/>
    <x v="266"/>
    <d v="2011-08-25T00:00:00"/>
    <x v="1"/>
    <s v="500/1000"/>
    <n v="2000"/>
    <x v="264"/>
    <n v="0"/>
    <x v="265"/>
    <x v="1"/>
    <x v="6"/>
    <x v="11"/>
    <x v="17"/>
    <s v="unmarried"/>
    <x v="119"/>
    <x v="119"/>
    <x v="20"/>
    <x v="2"/>
    <x v="2"/>
    <x v="1"/>
    <x v="2"/>
    <x v="0"/>
    <x v="3"/>
    <x v="266"/>
    <x v="9"/>
    <x v="1"/>
    <x v="2"/>
    <x v="1"/>
    <x v="1"/>
    <x v="1"/>
    <x v="245"/>
    <x v="231"/>
    <n v="7830"/>
    <x v="239"/>
    <s v="BMW"/>
    <s v="X5"/>
    <n v="2009"/>
    <x v="1"/>
    <n v="0"/>
  </r>
  <r>
    <n v="156"/>
    <x v="7"/>
    <x v="267"/>
    <d v="2010-06-28T00:00:00"/>
    <x v="0"/>
    <s v="100/300"/>
    <n v="500"/>
    <x v="265"/>
    <n v="0"/>
    <x v="266"/>
    <x v="0"/>
    <x v="2"/>
    <x v="9"/>
    <x v="1"/>
    <s v="other-relative"/>
    <x v="1"/>
    <x v="120"/>
    <x v="59"/>
    <x v="2"/>
    <x v="2"/>
    <x v="0"/>
    <x v="4"/>
    <x v="7"/>
    <x v="3"/>
    <x v="267"/>
    <x v="12"/>
    <x v="1"/>
    <x v="0"/>
    <x v="1"/>
    <x v="2"/>
    <x v="2"/>
    <x v="246"/>
    <x v="232"/>
    <n v="4610"/>
    <x v="240"/>
    <s v="Nissan"/>
    <s v="Pathfinder"/>
    <n v="2001"/>
    <x v="1"/>
    <n v="0"/>
  </r>
  <r>
    <n v="195"/>
    <x v="31"/>
    <x v="268"/>
    <d v="2001-11-06T00:00:00"/>
    <x v="1"/>
    <s v="100/300"/>
    <n v="2000"/>
    <x v="266"/>
    <n v="0"/>
    <x v="267"/>
    <x v="1"/>
    <x v="2"/>
    <x v="1"/>
    <x v="7"/>
    <s v="wife"/>
    <x v="120"/>
    <x v="121"/>
    <x v="54"/>
    <x v="2"/>
    <x v="3"/>
    <x v="2"/>
    <x v="2"/>
    <x v="0"/>
    <x v="4"/>
    <x v="268"/>
    <x v="8"/>
    <x v="1"/>
    <x v="0"/>
    <x v="2"/>
    <x v="2"/>
    <x v="0"/>
    <x v="247"/>
    <x v="233"/>
    <n v="6270"/>
    <x v="54"/>
    <s v="Chevrolet"/>
    <s v="Tahoe"/>
    <n v="2007"/>
    <x v="1"/>
    <n v="0"/>
  </r>
  <r>
    <n v="369"/>
    <x v="16"/>
    <x v="269"/>
    <d v="2013-04-15T00:00:00"/>
    <x v="0"/>
    <s v="250/500"/>
    <n v="2000"/>
    <x v="267"/>
    <n v="0"/>
    <x v="268"/>
    <x v="0"/>
    <x v="3"/>
    <x v="11"/>
    <x v="7"/>
    <s v="husband"/>
    <x v="121"/>
    <x v="0"/>
    <x v="35"/>
    <x v="2"/>
    <x v="2"/>
    <x v="1"/>
    <x v="0"/>
    <x v="1"/>
    <x v="2"/>
    <x v="269"/>
    <x v="13"/>
    <x v="1"/>
    <x v="1"/>
    <x v="2"/>
    <x v="1"/>
    <x v="0"/>
    <x v="248"/>
    <x v="234"/>
    <n v="8530"/>
    <x v="241"/>
    <s v="Toyota"/>
    <s v="Highlander"/>
    <n v="2003"/>
    <x v="1"/>
    <n v="0"/>
  </r>
  <r>
    <n v="271"/>
    <x v="17"/>
    <x v="270"/>
    <d v="1995-12-07T00:00:00"/>
    <x v="2"/>
    <s v="100/300"/>
    <n v="1000"/>
    <x v="268"/>
    <n v="0"/>
    <x v="269"/>
    <x v="1"/>
    <x v="2"/>
    <x v="6"/>
    <x v="7"/>
    <s v="wife"/>
    <x v="122"/>
    <x v="0"/>
    <x v="46"/>
    <x v="3"/>
    <x v="1"/>
    <x v="1"/>
    <x v="1"/>
    <x v="2"/>
    <x v="4"/>
    <x v="270"/>
    <x v="13"/>
    <x v="0"/>
    <x v="2"/>
    <x v="1"/>
    <x v="1"/>
    <x v="2"/>
    <x v="249"/>
    <x v="139"/>
    <n v="280"/>
    <x v="221"/>
    <s v="Audi"/>
    <s v="A3"/>
    <n v="2012"/>
    <x v="1"/>
    <n v="0"/>
  </r>
  <r>
    <n v="332"/>
    <x v="26"/>
    <x v="271"/>
    <d v="1991-11-01T00:00:00"/>
    <x v="2"/>
    <s v="100/300"/>
    <n v="2000"/>
    <x v="269"/>
    <n v="0"/>
    <x v="270"/>
    <x v="0"/>
    <x v="0"/>
    <x v="0"/>
    <x v="13"/>
    <s v="other-relative"/>
    <x v="123"/>
    <x v="0"/>
    <x v="50"/>
    <x v="2"/>
    <x v="3"/>
    <x v="0"/>
    <x v="0"/>
    <x v="4"/>
    <x v="2"/>
    <x v="271"/>
    <x v="9"/>
    <x v="2"/>
    <x v="0"/>
    <x v="2"/>
    <x v="1"/>
    <x v="1"/>
    <x v="250"/>
    <x v="235"/>
    <n v="11040"/>
    <x v="68"/>
    <s v="Jeep"/>
    <s v="Grand Cherokee"/>
    <n v="2010"/>
    <x v="0"/>
    <n v="0"/>
  </r>
  <r>
    <n v="107"/>
    <x v="13"/>
    <x v="272"/>
    <d v="2014-05-19T00:00:00"/>
    <x v="0"/>
    <s v="100/300"/>
    <n v="500"/>
    <x v="270"/>
    <n v="0"/>
    <x v="271"/>
    <x v="1"/>
    <x v="6"/>
    <x v="3"/>
    <x v="9"/>
    <s v="wife"/>
    <x v="124"/>
    <x v="0"/>
    <x v="23"/>
    <x v="2"/>
    <x v="2"/>
    <x v="1"/>
    <x v="4"/>
    <x v="2"/>
    <x v="2"/>
    <x v="272"/>
    <x v="8"/>
    <x v="1"/>
    <x v="1"/>
    <x v="0"/>
    <x v="1"/>
    <x v="2"/>
    <x v="251"/>
    <x v="146"/>
    <n v="11940"/>
    <x v="242"/>
    <s v="Nissan"/>
    <s v="Ultima"/>
    <n v="2002"/>
    <x v="1"/>
    <n v="0"/>
  </r>
  <r>
    <n v="217"/>
    <x v="5"/>
    <x v="273"/>
    <d v="1992-03-15T00:00:00"/>
    <x v="2"/>
    <s v="500/1000"/>
    <n v="2000"/>
    <x v="271"/>
    <n v="0"/>
    <x v="272"/>
    <x v="1"/>
    <x v="4"/>
    <x v="6"/>
    <x v="9"/>
    <s v="other-relative"/>
    <x v="125"/>
    <x v="122"/>
    <x v="3"/>
    <x v="2"/>
    <x v="3"/>
    <x v="1"/>
    <x v="2"/>
    <x v="2"/>
    <x v="0"/>
    <x v="273"/>
    <x v="16"/>
    <x v="1"/>
    <x v="2"/>
    <x v="1"/>
    <x v="0"/>
    <x v="1"/>
    <x v="252"/>
    <x v="236"/>
    <n v="10820"/>
    <x v="243"/>
    <s v="Ford"/>
    <s v="Fusion"/>
    <n v="1997"/>
    <x v="1"/>
    <n v="0"/>
  </r>
  <r>
    <n v="243"/>
    <x v="18"/>
    <x v="274"/>
    <d v="2006-02-03T00:00:00"/>
    <x v="1"/>
    <s v="500/1000"/>
    <n v="500"/>
    <x v="272"/>
    <n v="0"/>
    <x v="273"/>
    <x v="1"/>
    <x v="2"/>
    <x v="1"/>
    <x v="2"/>
    <s v="own-child"/>
    <x v="1"/>
    <x v="123"/>
    <x v="21"/>
    <x v="2"/>
    <x v="3"/>
    <x v="0"/>
    <x v="4"/>
    <x v="0"/>
    <x v="1"/>
    <x v="274"/>
    <x v="15"/>
    <x v="1"/>
    <x v="1"/>
    <x v="1"/>
    <x v="3"/>
    <x v="2"/>
    <x v="253"/>
    <x v="237"/>
    <n v="4170"/>
    <x v="244"/>
    <s v="Jeep"/>
    <s v="Wrangler"/>
    <n v="2008"/>
    <x v="1"/>
    <n v="0"/>
  </r>
  <r>
    <n v="296"/>
    <x v="1"/>
    <x v="275"/>
    <d v="2003-03-16T00:00:00"/>
    <x v="1"/>
    <s v="250/500"/>
    <n v="2000"/>
    <x v="273"/>
    <n v="0"/>
    <x v="274"/>
    <x v="0"/>
    <x v="2"/>
    <x v="4"/>
    <x v="13"/>
    <s v="husband"/>
    <x v="126"/>
    <x v="124"/>
    <x v="55"/>
    <x v="2"/>
    <x v="0"/>
    <x v="2"/>
    <x v="4"/>
    <x v="4"/>
    <x v="0"/>
    <x v="275"/>
    <x v="10"/>
    <x v="1"/>
    <x v="0"/>
    <x v="0"/>
    <x v="0"/>
    <x v="2"/>
    <x v="254"/>
    <x v="238"/>
    <n v="7120"/>
    <x v="66"/>
    <s v="Saab"/>
    <n v="93"/>
    <n v="2012"/>
    <x v="1"/>
    <n v="0"/>
  </r>
  <r>
    <n v="264"/>
    <x v="3"/>
    <x v="276"/>
    <d v="2002-10-16T00:00:00"/>
    <x v="0"/>
    <s v="100/300"/>
    <n v="500"/>
    <x v="274"/>
    <n v="0"/>
    <x v="275"/>
    <x v="0"/>
    <x v="1"/>
    <x v="5"/>
    <x v="19"/>
    <s v="unmarried"/>
    <x v="127"/>
    <x v="0"/>
    <x v="42"/>
    <x v="0"/>
    <x v="2"/>
    <x v="1"/>
    <x v="3"/>
    <x v="7"/>
    <x v="6"/>
    <x v="276"/>
    <x v="14"/>
    <x v="0"/>
    <x v="2"/>
    <x v="0"/>
    <x v="1"/>
    <x v="1"/>
    <x v="255"/>
    <x v="239"/>
    <n v="5490"/>
    <x v="169"/>
    <s v="BMW"/>
    <s v="M5"/>
    <n v="2004"/>
    <x v="0"/>
    <n v="0"/>
  </r>
  <r>
    <n v="108"/>
    <x v="8"/>
    <x v="277"/>
    <d v="1990-01-27T00:00:00"/>
    <x v="2"/>
    <s v="100/300"/>
    <n v="2000"/>
    <x v="275"/>
    <n v="0"/>
    <x v="276"/>
    <x v="1"/>
    <x v="6"/>
    <x v="3"/>
    <x v="20"/>
    <s v="not-in-family"/>
    <x v="1"/>
    <x v="0"/>
    <x v="39"/>
    <x v="2"/>
    <x v="0"/>
    <x v="0"/>
    <x v="0"/>
    <x v="4"/>
    <x v="5"/>
    <x v="277"/>
    <x v="13"/>
    <x v="1"/>
    <x v="1"/>
    <x v="1"/>
    <x v="3"/>
    <x v="0"/>
    <x v="256"/>
    <x v="240"/>
    <n v="11700"/>
    <x v="245"/>
    <s v="Nissan"/>
    <s v="Pathfinder"/>
    <n v="2011"/>
    <x v="0"/>
    <n v="0"/>
  </r>
  <r>
    <n v="32"/>
    <x v="11"/>
    <x v="278"/>
    <d v="2010-03-11T00:00:00"/>
    <x v="2"/>
    <s v="100/300"/>
    <n v="500"/>
    <x v="276"/>
    <n v="6000000"/>
    <x v="277"/>
    <x v="1"/>
    <x v="3"/>
    <x v="6"/>
    <x v="0"/>
    <s v="own-child"/>
    <x v="1"/>
    <x v="0"/>
    <x v="38"/>
    <x v="2"/>
    <x v="0"/>
    <x v="1"/>
    <x v="0"/>
    <x v="0"/>
    <x v="5"/>
    <x v="278"/>
    <x v="12"/>
    <x v="1"/>
    <x v="0"/>
    <x v="2"/>
    <x v="3"/>
    <x v="0"/>
    <x v="257"/>
    <x v="241"/>
    <n v="7090"/>
    <x v="246"/>
    <s v="BMW"/>
    <s v="X6"/>
    <n v="1997"/>
    <x v="1"/>
    <n v="0"/>
  </r>
  <r>
    <n v="259"/>
    <x v="5"/>
    <x v="279"/>
    <d v="1995-09-19T00:00:00"/>
    <x v="0"/>
    <s v="250/500"/>
    <n v="1000"/>
    <x v="277"/>
    <n v="0"/>
    <x v="278"/>
    <x v="1"/>
    <x v="6"/>
    <x v="0"/>
    <x v="10"/>
    <s v="unmarried"/>
    <x v="1"/>
    <x v="125"/>
    <x v="27"/>
    <x v="2"/>
    <x v="0"/>
    <x v="1"/>
    <x v="2"/>
    <x v="7"/>
    <x v="0"/>
    <x v="279"/>
    <x v="11"/>
    <x v="1"/>
    <x v="2"/>
    <x v="0"/>
    <x v="2"/>
    <x v="1"/>
    <x v="258"/>
    <x v="26"/>
    <n v="7760"/>
    <x v="247"/>
    <s v="Nissan"/>
    <s v="Ultima"/>
    <n v="2012"/>
    <x v="1"/>
    <n v="0"/>
  </r>
  <r>
    <n v="186"/>
    <x v="8"/>
    <x v="280"/>
    <d v="2010-02-27T00:00:00"/>
    <x v="1"/>
    <s v="100/300"/>
    <n v="1000"/>
    <x v="278"/>
    <n v="0"/>
    <x v="144"/>
    <x v="1"/>
    <x v="2"/>
    <x v="0"/>
    <x v="19"/>
    <s v="wife"/>
    <x v="128"/>
    <x v="126"/>
    <x v="45"/>
    <x v="1"/>
    <x v="1"/>
    <x v="3"/>
    <x v="0"/>
    <x v="2"/>
    <x v="2"/>
    <x v="280"/>
    <x v="19"/>
    <x v="0"/>
    <x v="2"/>
    <x v="2"/>
    <x v="3"/>
    <x v="1"/>
    <x v="259"/>
    <x v="63"/>
    <n v="860"/>
    <x v="248"/>
    <s v="Chevrolet"/>
    <s v="Malibu"/>
    <n v="2013"/>
    <x v="0"/>
    <n v="0"/>
  </r>
  <r>
    <n v="201"/>
    <x v="17"/>
    <x v="281"/>
    <d v="1991-12-28T00:00:00"/>
    <x v="0"/>
    <s v="250/500"/>
    <n v="2000"/>
    <x v="279"/>
    <n v="0"/>
    <x v="279"/>
    <x v="1"/>
    <x v="1"/>
    <x v="10"/>
    <x v="17"/>
    <s v="not-in-family"/>
    <x v="1"/>
    <x v="0"/>
    <x v="32"/>
    <x v="1"/>
    <x v="1"/>
    <x v="1"/>
    <x v="0"/>
    <x v="0"/>
    <x v="6"/>
    <x v="281"/>
    <x v="8"/>
    <x v="0"/>
    <x v="0"/>
    <x v="1"/>
    <x v="1"/>
    <x v="0"/>
    <x v="260"/>
    <x v="72"/>
    <n v="1240"/>
    <x v="147"/>
    <s v="Jeep"/>
    <s v="Grand Cherokee"/>
    <n v="2003"/>
    <x v="1"/>
    <n v="0"/>
  </r>
  <r>
    <n v="436"/>
    <x v="12"/>
    <x v="282"/>
    <d v="2002-04-30T00:00:00"/>
    <x v="0"/>
    <s v="250/500"/>
    <n v="2000"/>
    <x v="280"/>
    <n v="5000000"/>
    <x v="280"/>
    <x v="0"/>
    <x v="1"/>
    <x v="4"/>
    <x v="0"/>
    <s v="other-relative"/>
    <x v="129"/>
    <x v="127"/>
    <x v="3"/>
    <x v="0"/>
    <x v="2"/>
    <x v="0"/>
    <x v="0"/>
    <x v="4"/>
    <x v="1"/>
    <x v="282"/>
    <x v="15"/>
    <x v="0"/>
    <x v="1"/>
    <x v="1"/>
    <x v="0"/>
    <x v="1"/>
    <x v="261"/>
    <x v="242"/>
    <n v="5990"/>
    <x v="249"/>
    <s v="BMW"/>
    <s v="X5"/>
    <n v="1997"/>
    <x v="0"/>
    <n v="0"/>
  </r>
  <r>
    <n v="189"/>
    <x v="31"/>
    <x v="283"/>
    <d v="2007-04-28T00:00:00"/>
    <x v="0"/>
    <s v="250/500"/>
    <n v="2000"/>
    <x v="281"/>
    <n v="0"/>
    <x v="281"/>
    <x v="1"/>
    <x v="0"/>
    <x v="7"/>
    <x v="16"/>
    <s v="own-child"/>
    <x v="1"/>
    <x v="128"/>
    <x v="56"/>
    <x v="2"/>
    <x v="0"/>
    <x v="0"/>
    <x v="0"/>
    <x v="4"/>
    <x v="1"/>
    <x v="283"/>
    <x v="18"/>
    <x v="1"/>
    <x v="1"/>
    <x v="0"/>
    <x v="2"/>
    <x v="0"/>
    <x v="262"/>
    <x v="243"/>
    <n v="13260"/>
    <x v="18"/>
    <s v="Ford"/>
    <s v="Escape"/>
    <n v="2009"/>
    <x v="1"/>
    <n v="0"/>
  </r>
  <r>
    <n v="105"/>
    <x v="8"/>
    <x v="284"/>
    <d v="1996-07-08T00:00:00"/>
    <x v="2"/>
    <s v="500/1000"/>
    <n v="500"/>
    <x v="282"/>
    <n v="0"/>
    <x v="282"/>
    <x v="1"/>
    <x v="5"/>
    <x v="12"/>
    <x v="15"/>
    <s v="not-in-family"/>
    <x v="1"/>
    <x v="129"/>
    <x v="4"/>
    <x v="0"/>
    <x v="3"/>
    <x v="2"/>
    <x v="3"/>
    <x v="1"/>
    <x v="6"/>
    <x v="284"/>
    <x v="1"/>
    <x v="0"/>
    <x v="0"/>
    <x v="1"/>
    <x v="3"/>
    <x v="1"/>
    <x v="206"/>
    <x v="192"/>
    <n v="6390"/>
    <x v="199"/>
    <s v="Accura"/>
    <s v="MDX"/>
    <n v="2008"/>
    <x v="1"/>
    <n v="0"/>
  </r>
  <r>
    <n v="163"/>
    <x v="14"/>
    <x v="285"/>
    <d v="2002-04-01T00:00:00"/>
    <x v="1"/>
    <s v="100/300"/>
    <n v="1000"/>
    <x v="283"/>
    <n v="6000000"/>
    <x v="283"/>
    <x v="0"/>
    <x v="6"/>
    <x v="7"/>
    <x v="11"/>
    <s v="not-in-family"/>
    <x v="130"/>
    <x v="0"/>
    <x v="22"/>
    <x v="2"/>
    <x v="2"/>
    <x v="2"/>
    <x v="4"/>
    <x v="0"/>
    <x v="4"/>
    <x v="285"/>
    <x v="8"/>
    <x v="1"/>
    <x v="0"/>
    <x v="2"/>
    <x v="1"/>
    <x v="2"/>
    <x v="263"/>
    <x v="244"/>
    <n v="11620"/>
    <x v="250"/>
    <s v="Suburu"/>
    <s v="Forrestor"/>
    <n v="1999"/>
    <x v="1"/>
    <n v="0"/>
  </r>
  <r>
    <n v="219"/>
    <x v="17"/>
    <x v="286"/>
    <d v="2006-10-29T00:00:00"/>
    <x v="0"/>
    <s v="100/300"/>
    <n v="500"/>
    <x v="284"/>
    <n v="0"/>
    <x v="284"/>
    <x v="1"/>
    <x v="2"/>
    <x v="10"/>
    <x v="6"/>
    <s v="not-in-family"/>
    <x v="131"/>
    <x v="0"/>
    <x v="15"/>
    <x v="1"/>
    <x v="1"/>
    <x v="3"/>
    <x v="1"/>
    <x v="0"/>
    <x v="1"/>
    <x v="286"/>
    <x v="13"/>
    <x v="0"/>
    <x v="1"/>
    <x v="0"/>
    <x v="1"/>
    <x v="2"/>
    <x v="264"/>
    <x v="214"/>
    <n v="640"/>
    <x v="177"/>
    <s v="Toyota"/>
    <s v="Camry"/>
    <n v="1997"/>
    <x v="1"/>
    <n v="0"/>
  </r>
  <r>
    <n v="88"/>
    <x v="20"/>
    <x v="287"/>
    <d v="2007-10-25T00:00:00"/>
    <x v="1"/>
    <s v="250/500"/>
    <n v="1000"/>
    <x v="285"/>
    <n v="0"/>
    <x v="285"/>
    <x v="1"/>
    <x v="6"/>
    <x v="11"/>
    <x v="10"/>
    <s v="husband"/>
    <x v="1"/>
    <x v="0"/>
    <x v="56"/>
    <x v="0"/>
    <x v="2"/>
    <x v="0"/>
    <x v="4"/>
    <x v="0"/>
    <x v="6"/>
    <x v="287"/>
    <x v="13"/>
    <x v="0"/>
    <x v="0"/>
    <x v="0"/>
    <x v="0"/>
    <x v="0"/>
    <x v="265"/>
    <x v="97"/>
    <n v="7420"/>
    <x v="104"/>
    <s v="Ford"/>
    <s v="Escape"/>
    <n v="2013"/>
    <x v="0"/>
    <n v="0"/>
  </r>
  <r>
    <n v="40"/>
    <x v="5"/>
    <x v="288"/>
    <d v="2001-03-28T00:00:00"/>
    <x v="1"/>
    <s v="500/1000"/>
    <n v="1000"/>
    <x v="286"/>
    <n v="4000000"/>
    <x v="286"/>
    <x v="1"/>
    <x v="3"/>
    <x v="2"/>
    <x v="11"/>
    <s v="own-child"/>
    <x v="1"/>
    <x v="130"/>
    <x v="52"/>
    <x v="3"/>
    <x v="1"/>
    <x v="1"/>
    <x v="0"/>
    <x v="1"/>
    <x v="6"/>
    <x v="288"/>
    <x v="1"/>
    <x v="0"/>
    <x v="2"/>
    <x v="1"/>
    <x v="0"/>
    <x v="1"/>
    <x v="266"/>
    <x v="245"/>
    <n v="1460"/>
    <x v="251"/>
    <s v="BMW"/>
    <s v="3 Series"/>
    <n v="2013"/>
    <x v="1"/>
    <n v="0"/>
  </r>
  <r>
    <n v="284"/>
    <x v="1"/>
    <x v="289"/>
    <d v="1995-05-04T00:00:00"/>
    <x v="0"/>
    <s v="100/300"/>
    <n v="500"/>
    <x v="287"/>
    <n v="-1000000"/>
    <x v="287"/>
    <x v="0"/>
    <x v="2"/>
    <x v="1"/>
    <x v="15"/>
    <s v="wife"/>
    <x v="1"/>
    <x v="0"/>
    <x v="15"/>
    <x v="0"/>
    <x v="0"/>
    <x v="0"/>
    <x v="4"/>
    <x v="5"/>
    <x v="2"/>
    <x v="289"/>
    <x v="21"/>
    <x v="0"/>
    <x v="0"/>
    <x v="1"/>
    <x v="3"/>
    <x v="1"/>
    <x v="267"/>
    <x v="152"/>
    <n v="17120"/>
    <x v="252"/>
    <s v="Chevrolet"/>
    <s v="Malibu"/>
    <n v="1996"/>
    <x v="1"/>
    <n v="0"/>
  </r>
  <r>
    <n v="59"/>
    <x v="17"/>
    <x v="290"/>
    <d v="2011-09-28T00:00:00"/>
    <x v="2"/>
    <s v="250/500"/>
    <n v="2000"/>
    <x v="288"/>
    <n v="0"/>
    <x v="288"/>
    <x v="0"/>
    <x v="3"/>
    <x v="9"/>
    <x v="6"/>
    <s v="other-relative"/>
    <x v="132"/>
    <x v="131"/>
    <x v="38"/>
    <x v="2"/>
    <x v="3"/>
    <x v="2"/>
    <x v="4"/>
    <x v="3"/>
    <x v="3"/>
    <x v="290"/>
    <x v="5"/>
    <x v="1"/>
    <x v="1"/>
    <x v="1"/>
    <x v="0"/>
    <x v="2"/>
    <x v="268"/>
    <x v="246"/>
    <n v="11460"/>
    <x v="253"/>
    <s v="BMW"/>
    <s v="X5"/>
    <n v="2010"/>
    <x v="1"/>
    <n v="0"/>
  </r>
  <r>
    <n v="39"/>
    <x v="14"/>
    <x v="291"/>
    <d v="2003-01-28T00:00:00"/>
    <x v="2"/>
    <s v="250/500"/>
    <n v="2000"/>
    <x v="289"/>
    <n v="0"/>
    <x v="289"/>
    <x v="1"/>
    <x v="5"/>
    <x v="11"/>
    <x v="18"/>
    <s v="husband"/>
    <x v="1"/>
    <x v="132"/>
    <x v="21"/>
    <x v="2"/>
    <x v="2"/>
    <x v="0"/>
    <x v="2"/>
    <x v="5"/>
    <x v="5"/>
    <x v="291"/>
    <x v="8"/>
    <x v="1"/>
    <x v="1"/>
    <x v="0"/>
    <x v="1"/>
    <x v="2"/>
    <x v="269"/>
    <x v="136"/>
    <n v="10540"/>
    <x v="254"/>
    <s v="BMW"/>
    <s v="X6"/>
    <n v="2014"/>
    <x v="0"/>
    <n v="0"/>
  </r>
  <r>
    <n v="147"/>
    <x v="6"/>
    <x v="292"/>
    <d v="2011-02-01T00:00:00"/>
    <x v="2"/>
    <s v="500/1000"/>
    <n v="1000"/>
    <x v="290"/>
    <n v="0"/>
    <x v="290"/>
    <x v="0"/>
    <x v="5"/>
    <x v="2"/>
    <x v="8"/>
    <s v="wife"/>
    <x v="1"/>
    <x v="133"/>
    <x v="1"/>
    <x v="0"/>
    <x v="0"/>
    <x v="1"/>
    <x v="2"/>
    <x v="2"/>
    <x v="0"/>
    <x v="292"/>
    <x v="21"/>
    <x v="0"/>
    <x v="0"/>
    <x v="2"/>
    <x v="0"/>
    <x v="1"/>
    <x v="270"/>
    <x v="247"/>
    <n v="15540"/>
    <x v="255"/>
    <s v="Mercedes"/>
    <s v="ML350"/>
    <n v="1998"/>
    <x v="1"/>
    <n v="0"/>
  </r>
  <r>
    <n v="156"/>
    <x v="7"/>
    <x v="293"/>
    <d v="1993-02-09T00:00:00"/>
    <x v="1"/>
    <s v="250/500"/>
    <n v="500"/>
    <x v="291"/>
    <n v="0"/>
    <x v="291"/>
    <x v="0"/>
    <x v="5"/>
    <x v="8"/>
    <x v="6"/>
    <s v="unmarried"/>
    <x v="1"/>
    <x v="134"/>
    <x v="29"/>
    <x v="2"/>
    <x v="2"/>
    <x v="1"/>
    <x v="0"/>
    <x v="5"/>
    <x v="0"/>
    <x v="293"/>
    <x v="16"/>
    <x v="2"/>
    <x v="1"/>
    <x v="0"/>
    <x v="0"/>
    <x v="0"/>
    <x v="271"/>
    <x v="248"/>
    <n v="5340"/>
    <x v="256"/>
    <s v="Honda"/>
    <s v="Civic"/>
    <n v="2010"/>
    <x v="0"/>
    <n v="0"/>
  </r>
  <r>
    <n v="123"/>
    <x v="14"/>
    <x v="294"/>
    <d v="2005-08-05T00:00:00"/>
    <x v="1"/>
    <s v="250/500"/>
    <n v="500"/>
    <x v="292"/>
    <n v="0"/>
    <x v="292"/>
    <x v="1"/>
    <x v="2"/>
    <x v="5"/>
    <x v="16"/>
    <s v="wife"/>
    <x v="1"/>
    <x v="135"/>
    <x v="4"/>
    <x v="0"/>
    <x v="0"/>
    <x v="2"/>
    <x v="2"/>
    <x v="0"/>
    <x v="6"/>
    <x v="294"/>
    <x v="21"/>
    <x v="0"/>
    <x v="1"/>
    <x v="0"/>
    <x v="0"/>
    <x v="2"/>
    <x v="272"/>
    <x v="249"/>
    <n v="12020"/>
    <x v="257"/>
    <s v="Mercedes"/>
    <s v="ML350"/>
    <n v="2009"/>
    <x v="1"/>
    <n v="0"/>
  </r>
  <r>
    <n v="231"/>
    <x v="18"/>
    <x v="295"/>
    <d v="2006-06-17T00:00:00"/>
    <x v="2"/>
    <s v="250/500"/>
    <n v="2000"/>
    <x v="293"/>
    <n v="0"/>
    <x v="293"/>
    <x v="0"/>
    <x v="3"/>
    <x v="9"/>
    <x v="1"/>
    <s v="wife"/>
    <x v="1"/>
    <x v="49"/>
    <x v="52"/>
    <x v="2"/>
    <x v="3"/>
    <x v="1"/>
    <x v="0"/>
    <x v="7"/>
    <x v="4"/>
    <x v="295"/>
    <x v="12"/>
    <x v="1"/>
    <x v="0"/>
    <x v="2"/>
    <x v="0"/>
    <x v="0"/>
    <x v="273"/>
    <x v="250"/>
    <n v="15420"/>
    <x v="258"/>
    <s v="Audi"/>
    <s v="A3"/>
    <n v="2010"/>
    <x v="1"/>
    <n v="0"/>
  </r>
  <r>
    <n v="247"/>
    <x v="5"/>
    <x v="296"/>
    <d v="1993-12-07T00:00:00"/>
    <x v="2"/>
    <s v="100/300"/>
    <n v="500"/>
    <x v="294"/>
    <n v="0"/>
    <x v="294"/>
    <x v="1"/>
    <x v="3"/>
    <x v="11"/>
    <x v="8"/>
    <s v="wife"/>
    <x v="1"/>
    <x v="0"/>
    <x v="54"/>
    <x v="3"/>
    <x v="1"/>
    <x v="3"/>
    <x v="0"/>
    <x v="0"/>
    <x v="5"/>
    <x v="296"/>
    <x v="19"/>
    <x v="0"/>
    <x v="1"/>
    <x v="2"/>
    <x v="2"/>
    <x v="1"/>
    <x v="274"/>
    <x v="251"/>
    <n v="0"/>
    <x v="259"/>
    <s v="Dodge"/>
    <s v="RAM"/>
    <n v="2003"/>
    <x v="1"/>
    <n v="0"/>
  </r>
  <r>
    <n v="194"/>
    <x v="21"/>
    <x v="297"/>
    <d v="2012-03-14T00:00:00"/>
    <x v="2"/>
    <s v="500/1000"/>
    <n v="500"/>
    <x v="295"/>
    <n v="0"/>
    <x v="295"/>
    <x v="1"/>
    <x v="0"/>
    <x v="12"/>
    <x v="6"/>
    <s v="not-in-family"/>
    <x v="1"/>
    <x v="0"/>
    <x v="33"/>
    <x v="3"/>
    <x v="1"/>
    <x v="1"/>
    <x v="1"/>
    <x v="4"/>
    <x v="5"/>
    <x v="297"/>
    <x v="2"/>
    <x v="0"/>
    <x v="0"/>
    <x v="0"/>
    <x v="1"/>
    <x v="1"/>
    <x v="160"/>
    <x v="252"/>
    <n v="540"/>
    <x v="260"/>
    <s v="Nissan"/>
    <s v="Pathfinder"/>
    <n v="2003"/>
    <x v="1"/>
    <n v="0"/>
  </r>
  <r>
    <n v="119"/>
    <x v="28"/>
    <x v="298"/>
    <d v="1997-08-05T00:00:00"/>
    <x v="1"/>
    <s v="250/500"/>
    <n v="2000"/>
    <x v="296"/>
    <n v="0"/>
    <x v="296"/>
    <x v="0"/>
    <x v="5"/>
    <x v="10"/>
    <x v="17"/>
    <s v="other-relative"/>
    <x v="133"/>
    <x v="0"/>
    <x v="38"/>
    <x v="2"/>
    <x v="2"/>
    <x v="0"/>
    <x v="3"/>
    <x v="7"/>
    <x v="5"/>
    <x v="298"/>
    <x v="16"/>
    <x v="3"/>
    <x v="2"/>
    <x v="0"/>
    <x v="1"/>
    <x v="1"/>
    <x v="275"/>
    <x v="23"/>
    <n v="21240"/>
    <x v="261"/>
    <s v="Accura"/>
    <s v="TL"/>
    <n v="2006"/>
    <x v="1"/>
    <n v="0"/>
  </r>
  <r>
    <n v="259"/>
    <x v="18"/>
    <x v="299"/>
    <d v="2009-07-05T00:00:00"/>
    <x v="2"/>
    <s v="100/300"/>
    <n v="500"/>
    <x v="297"/>
    <n v="0"/>
    <x v="297"/>
    <x v="1"/>
    <x v="4"/>
    <x v="13"/>
    <x v="5"/>
    <s v="not-in-family"/>
    <x v="1"/>
    <x v="4"/>
    <x v="51"/>
    <x v="1"/>
    <x v="1"/>
    <x v="3"/>
    <x v="0"/>
    <x v="0"/>
    <x v="1"/>
    <x v="299"/>
    <x v="12"/>
    <x v="0"/>
    <x v="2"/>
    <x v="0"/>
    <x v="2"/>
    <x v="2"/>
    <x v="103"/>
    <x v="168"/>
    <n v="640"/>
    <x v="262"/>
    <s v="Audi"/>
    <s v="A5"/>
    <n v="2008"/>
    <x v="1"/>
    <n v="1"/>
  </r>
  <r>
    <n v="107"/>
    <x v="14"/>
    <x v="300"/>
    <d v="1994-11-25T00:00:00"/>
    <x v="2"/>
    <s v="100/300"/>
    <n v="2000"/>
    <x v="298"/>
    <n v="5000000"/>
    <x v="298"/>
    <x v="0"/>
    <x v="2"/>
    <x v="11"/>
    <x v="12"/>
    <s v="own-child"/>
    <x v="134"/>
    <x v="136"/>
    <x v="35"/>
    <x v="2"/>
    <x v="0"/>
    <x v="2"/>
    <x v="0"/>
    <x v="2"/>
    <x v="1"/>
    <x v="300"/>
    <x v="7"/>
    <x v="1"/>
    <x v="0"/>
    <x v="0"/>
    <x v="0"/>
    <x v="1"/>
    <x v="276"/>
    <x v="253"/>
    <n v="21630"/>
    <x v="263"/>
    <s v="Honda"/>
    <s v="CRV"/>
    <n v="2001"/>
    <x v="1"/>
    <n v="0"/>
  </r>
  <r>
    <n v="48"/>
    <x v="4"/>
    <x v="301"/>
    <d v="1997-02-03T00:00:00"/>
    <x v="2"/>
    <s v="100/300"/>
    <n v="2000"/>
    <x v="299"/>
    <n v="0"/>
    <x v="299"/>
    <x v="0"/>
    <x v="3"/>
    <x v="2"/>
    <x v="5"/>
    <s v="other-relative"/>
    <x v="135"/>
    <x v="15"/>
    <x v="1"/>
    <x v="2"/>
    <x v="2"/>
    <x v="0"/>
    <x v="0"/>
    <x v="5"/>
    <x v="2"/>
    <x v="301"/>
    <x v="6"/>
    <x v="1"/>
    <x v="0"/>
    <x v="1"/>
    <x v="0"/>
    <x v="1"/>
    <x v="277"/>
    <x v="254"/>
    <n v="17460"/>
    <x v="264"/>
    <s v="Jeep"/>
    <s v="Wrangler"/>
    <n v="2013"/>
    <x v="1"/>
    <n v="0"/>
  </r>
  <r>
    <n v="267"/>
    <x v="17"/>
    <x v="302"/>
    <d v="2009-10-09T00:00:00"/>
    <x v="2"/>
    <s v="250/500"/>
    <n v="500"/>
    <x v="300"/>
    <n v="5000000"/>
    <x v="300"/>
    <x v="0"/>
    <x v="6"/>
    <x v="10"/>
    <x v="7"/>
    <s v="wife"/>
    <x v="1"/>
    <x v="137"/>
    <x v="27"/>
    <x v="3"/>
    <x v="1"/>
    <x v="3"/>
    <x v="0"/>
    <x v="2"/>
    <x v="0"/>
    <x v="302"/>
    <x v="0"/>
    <x v="0"/>
    <x v="1"/>
    <x v="1"/>
    <x v="0"/>
    <x v="2"/>
    <x v="278"/>
    <x v="88"/>
    <n v="630"/>
    <x v="265"/>
    <s v="Ford"/>
    <s v="F150"/>
    <n v="1997"/>
    <x v="1"/>
    <n v="0"/>
  </r>
  <r>
    <n v="286"/>
    <x v="26"/>
    <x v="303"/>
    <d v="2002-11-20T00:00:00"/>
    <x v="1"/>
    <s v="250/500"/>
    <n v="500"/>
    <x v="301"/>
    <n v="0"/>
    <x v="301"/>
    <x v="0"/>
    <x v="5"/>
    <x v="7"/>
    <x v="4"/>
    <s v="husband"/>
    <x v="73"/>
    <x v="138"/>
    <x v="34"/>
    <x v="2"/>
    <x v="2"/>
    <x v="1"/>
    <x v="3"/>
    <x v="2"/>
    <x v="3"/>
    <x v="303"/>
    <x v="12"/>
    <x v="1"/>
    <x v="0"/>
    <x v="1"/>
    <x v="1"/>
    <x v="2"/>
    <x v="279"/>
    <x v="255"/>
    <n v="6580"/>
    <x v="266"/>
    <s v="Accura"/>
    <s v="TL"/>
    <n v="2001"/>
    <x v="1"/>
    <n v="0"/>
  </r>
  <r>
    <n v="175"/>
    <x v="6"/>
    <x v="304"/>
    <d v="1995-05-29T00:00:00"/>
    <x v="0"/>
    <s v="100/300"/>
    <n v="500"/>
    <x v="302"/>
    <n v="0"/>
    <x v="302"/>
    <x v="1"/>
    <x v="6"/>
    <x v="11"/>
    <x v="5"/>
    <s v="wife"/>
    <x v="136"/>
    <x v="71"/>
    <x v="43"/>
    <x v="0"/>
    <x v="3"/>
    <x v="0"/>
    <x v="3"/>
    <x v="2"/>
    <x v="2"/>
    <x v="304"/>
    <x v="8"/>
    <x v="0"/>
    <x v="1"/>
    <x v="2"/>
    <x v="3"/>
    <x v="0"/>
    <x v="280"/>
    <x v="256"/>
    <n v="4080"/>
    <x v="267"/>
    <s v="Honda"/>
    <s v="Accord"/>
    <n v="2009"/>
    <x v="0"/>
    <n v="0"/>
  </r>
  <r>
    <n v="111"/>
    <x v="2"/>
    <x v="305"/>
    <d v="2011-01-22T00:00:00"/>
    <x v="2"/>
    <s v="250/500"/>
    <n v="500"/>
    <x v="303"/>
    <n v="2000000"/>
    <x v="303"/>
    <x v="1"/>
    <x v="1"/>
    <x v="13"/>
    <x v="15"/>
    <s v="own-child"/>
    <x v="1"/>
    <x v="0"/>
    <x v="25"/>
    <x v="0"/>
    <x v="0"/>
    <x v="0"/>
    <x v="2"/>
    <x v="0"/>
    <x v="1"/>
    <x v="305"/>
    <x v="17"/>
    <x v="0"/>
    <x v="1"/>
    <x v="0"/>
    <x v="3"/>
    <x v="0"/>
    <x v="96"/>
    <x v="257"/>
    <n v="9600"/>
    <x v="268"/>
    <s v="Mercedes"/>
    <s v="ML350"/>
    <n v="1996"/>
    <x v="0"/>
    <n v="0"/>
  </r>
  <r>
    <n v="151"/>
    <x v="7"/>
    <x v="306"/>
    <d v="2012-10-18T00:00:00"/>
    <x v="1"/>
    <s v="250/500"/>
    <n v="500"/>
    <x v="304"/>
    <n v="0"/>
    <x v="304"/>
    <x v="1"/>
    <x v="2"/>
    <x v="9"/>
    <x v="19"/>
    <s v="unmarried"/>
    <x v="137"/>
    <x v="0"/>
    <x v="11"/>
    <x v="2"/>
    <x v="2"/>
    <x v="2"/>
    <x v="2"/>
    <x v="0"/>
    <x v="2"/>
    <x v="306"/>
    <x v="8"/>
    <x v="1"/>
    <x v="2"/>
    <x v="0"/>
    <x v="0"/>
    <x v="0"/>
    <x v="281"/>
    <x v="258"/>
    <n v="5910"/>
    <x v="269"/>
    <s v="Nissan"/>
    <s v="Maxima"/>
    <n v="1998"/>
    <x v="0"/>
    <n v="0"/>
  </r>
  <r>
    <n v="156"/>
    <x v="7"/>
    <x v="307"/>
    <d v="1991-10-13T00:00:00"/>
    <x v="0"/>
    <s v="500/1000"/>
    <n v="1000"/>
    <x v="305"/>
    <n v="6000000"/>
    <x v="305"/>
    <x v="0"/>
    <x v="2"/>
    <x v="1"/>
    <x v="11"/>
    <s v="unmarried"/>
    <x v="1"/>
    <x v="110"/>
    <x v="29"/>
    <x v="2"/>
    <x v="2"/>
    <x v="2"/>
    <x v="3"/>
    <x v="2"/>
    <x v="6"/>
    <x v="307"/>
    <x v="18"/>
    <x v="1"/>
    <x v="1"/>
    <x v="0"/>
    <x v="3"/>
    <x v="0"/>
    <x v="282"/>
    <x v="259"/>
    <n v="7040"/>
    <x v="270"/>
    <s v="Suburu"/>
    <s v="Legacy"/>
    <n v="1999"/>
    <x v="1"/>
    <n v="0"/>
  </r>
  <r>
    <n v="165"/>
    <x v="31"/>
    <x v="308"/>
    <d v="2010-10-01T00:00:00"/>
    <x v="2"/>
    <s v="250/500"/>
    <n v="2000"/>
    <x v="306"/>
    <n v="0"/>
    <x v="306"/>
    <x v="0"/>
    <x v="4"/>
    <x v="3"/>
    <x v="6"/>
    <s v="husband"/>
    <x v="1"/>
    <x v="99"/>
    <x v="45"/>
    <x v="2"/>
    <x v="0"/>
    <x v="2"/>
    <x v="2"/>
    <x v="2"/>
    <x v="5"/>
    <x v="308"/>
    <x v="3"/>
    <x v="1"/>
    <x v="2"/>
    <x v="2"/>
    <x v="0"/>
    <x v="2"/>
    <x v="283"/>
    <x v="207"/>
    <n v="4570"/>
    <x v="271"/>
    <s v="BMW"/>
    <s v="3 Series"/>
    <n v="2008"/>
    <x v="1"/>
    <n v="0"/>
  </r>
  <r>
    <n v="253"/>
    <x v="3"/>
    <x v="309"/>
    <d v="2013-04-10T00:00:00"/>
    <x v="0"/>
    <s v="100/300"/>
    <n v="2000"/>
    <x v="307"/>
    <n v="0"/>
    <x v="307"/>
    <x v="1"/>
    <x v="1"/>
    <x v="2"/>
    <x v="8"/>
    <s v="other-relative"/>
    <x v="138"/>
    <x v="0"/>
    <x v="17"/>
    <x v="2"/>
    <x v="2"/>
    <x v="0"/>
    <x v="3"/>
    <x v="0"/>
    <x v="3"/>
    <x v="309"/>
    <x v="15"/>
    <x v="1"/>
    <x v="2"/>
    <x v="2"/>
    <x v="0"/>
    <x v="0"/>
    <x v="284"/>
    <x v="260"/>
    <n v="14680"/>
    <x v="272"/>
    <s v="Toyota"/>
    <s v="Camry"/>
    <n v="2014"/>
    <x v="0"/>
    <n v="0"/>
  </r>
  <r>
    <n v="10"/>
    <x v="13"/>
    <x v="310"/>
    <d v="2008-06-11T00:00:00"/>
    <x v="1"/>
    <s v="100/300"/>
    <n v="2000"/>
    <x v="308"/>
    <n v="0"/>
    <x v="308"/>
    <x v="0"/>
    <x v="0"/>
    <x v="2"/>
    <x v="5"/>
    <s v="not-in-family"/>
    <x v="1"/>
    <x v="139"/>
    <x v="55"/>
    <x v="2"/>
    <x v="3"/>
    <x v="0"/>
    <x v="4"/>
    <x v="0"/>
    <x v="6"/>
    <x v="310"/>
    <x v="19"/>
    <x v="1"/>
    <x v="1"/>
    <x v="1"/>
    <x v="2"/>
    <x v="1"/>
    <x v="285"/>
    <x v="261"/>
    <n v="5700"/>
    <x v="273"/>
    <s v="Honda"/>
    <s v="Accord"/>
    <n v="2001"/>
    <x v="0"/>
    <n v="0"/>
  </r>
  <r>
    <n v="158"/>
    <x v="8"/>
    <x v="311"/>
    <d v="2013-12-04T00:00:00"/>
    <x v="0"/>
    <s v="100/300"/>
    <n v="2000"/>
    <x v="309"/>
    <n v="0"/>
    <x v="309"/>
    <x v="1"/>
    <x v="2"/>
    <x v="11"/>
    <x v="9"/>
    <s v="other-relative"/>
    <x v="1"/>
    <x v="140"/>
    <x v="59"/>
    <x v="0"/>
    <x v="0"/>
    <x v="2"/>
    <x v="3"/>
    <x v="0"/>
    <x v="4"/>
    <x v="311"/>
    <x v="5"/>
    <x v="0"/>
    <x v="1"/>
    <x v="1"/>
    <x v="1"/>
    <x v="1"/>
    <x v="286"/>
    <x v="262"/>
    <n v="7000"/>
    <x v="274"/>
    <s v="Suburu"/>
    <s v="Legacy"/>
    <n v="2012"/>
    <x v="1"/>
    <n v="0"/>
  </r>
  <r>
    <n v="436"/>
    <x v="27"/>
    <x v="312"/>
    <d v="2010-08-21T00:00:00"/>
    <x v="0"/>
    <s v="500/1000"/>
    <n v="1000"/>
    <x v="310"/>
    <n v="0"/>
    <x v="310"/>
    <x v="0"/>
    <x v="1"/>
    <x v="9"/>
    <x v="2"/>
    <s v="own-child"/>
    <x v="139"/>
    <x v="0"/>
    <x v="37"/>
    <x v="2"/>
    <x v="0"/>
    <x v="2"/>
    <x v="0"/>
    <x v="4"/>
    <x v="4"/>
    <x v="312"/>
    <x v="15"/>
    <x v="1"/>
    <x v="1"/>
    <x v="2"/>
    <x v="0"/>
    <x v="2"/>
    <x v="287"/>
    <x v="263"/>
    <n v="6800"/>
    <x v="275"/>
    <s v="Toyota"/>
    <s v="Corolla"/>
    <n v="2014"/>
    <x v="1"/>
    <n v="0"/>
  </r>
  <r>
    <n v="91"/>
    <x v="22"/>
    <x v="313"/>
    <d v="2010-06-18T00:00:00"/>
    <x v="2"/>
    <s v="250/500"/>
    <n v="2000"/>
    <x v="311"/>
    <n v="8000000"/>
    <x v="311"/>
    <x v="1"/>
    <x v="4"/>
    <x v="1"/>
    <x v="6"/>
    <s v="unmarried"/>
    <x v="140"/>
    <x v="0"/>
    <x v="13"/>
    <x v="2"/>
    <x v="0"/>
    <x v="1"/>
    <x v="3"/>
    <x v="0"/>
    <x v="5"/>
    <x v="313"/>
    <x v="21"/>
    <x v="1"/>
    <x v="0"/>
    <x v="2"/>
    <x v="1"/>
    <x v="1"/>
    <x v="288"/>
    <x v="264"/>
    <n v="13000"/>
    <x v="276"/>
    <s v="BMW"/>
    <s v="X6"/>
    <n v="2009"/>
    <x v="1"/>
    <n v="0"/>
  </r>
  <r>
    <n v="256"/>
    <x v="1"/>
    <x v="314"/>
    <d v="1992-04-10T00:00:00"/>
    <x v="2"/>
    <s v="500/1000"/>
    <n v="1000"/>
    <x v="312"/>
    <n v="0"/>
    <x v="312"/>
    <x v="1"/>
    <x v="0"/>
    <x v="10"/>
    <x v="4"/>
    <s v="wife"/>
    <x v="1"/>
    <x v="141"/>
    <x v="12"/>
    <x v="0"/>
    <x v="2"/>
    <x v="1"/>
    <x v="0"/>
    <x v="4"/>
    <x v="5"/>
    <x v="314"/>
    <x v="8"/>
    <x v="0"/>
    <x v="2"/>
    <x v="2"/>
    <x v="3"/>
    <x v="1"/>
    <x v="289"/>
    <x v="265"/>
    <n v="15100"/>
    <x v="277"/>
    <s v="Nissan"/>
    <s v="Ultima"/>
    <n v="1998"/>
    <x v="1"/>
    <n v="0"/>
  </r>
  <r>
    <n v="274"/>
    <x v="35"/>
    <x v="315"/>
    <d v="1997-02-03T00:00:00"/>
    <x v="0"/>
    <s v="500/1000"/>
    <n v="1000"/>
    <x v="313"/>
    <n v="0"/>
    <x v="313"/>
    <x v="0"/>
    <x v="5"/>
    <x v="8"/>
    <x v="4"/>
    <s v="not-in-family"/>
    <x v="1"/>
    <x v="0"/>
    <x v="6"/>
    <x v="2"/>
    <x v="0"/>
    <x v="2"/>
    <x v="3"/>
    <x v="4"/>
    <x v="1"/>
    <x v="315"/>
    <x v="9"/>
    <x v="1"/>
    <x v="2"/>
    <x v="0"/>
    <x v="2"/>
    <x v="1"/>
    <x v="290"/>
    <x v="266"/>
    <n v="15100"/>
    <x v="278"/>
    <s v="BMW"/>
    <s v="X5"/>
    <n v="2009"/>
    <x v="1"/>
    <n v="0"/>
  </r>
  <r>
    <n v="275"/>
    <x v="19"/>
    <x v="316"/>
    <d v="1991-12-06T00:00:00"/>
    <x v="1"/>
    <s v="500/1000"/>
    <n v="2000"/>
    <x v="314"/>
    <n v="0"/>
    <x v="314"/>
    <x v="1"/>
    <x v="2"/>
    <x v="12"/>
    <x v="7"/>
    <s v="wife"/>
    <x v="141"/>
    <x v="142"/>
    <x v="23"/>
    <x v="2"/>
    <x v="0"/>
    <x v="2"/>
    <x v="4"/>
    <x v="1"/>
    <x v="5"/>
    <x v="316"/>
    <x v="1"/>
    <x v="1"/>
    <x v="0"/>
    <x v="0"/>
    <x v="3"/>
    <x v="1"/>
    <x v="291"/>
    <x v="206"/>
    <n v="10720"/>
    <x v="279"/>
    <s v="Accura"/>
    <s v="MDX"/>
    <n v="1998"/>
    <x v="1"/>
    <n v="0"/>
  </r>
  <r>
    <n v="1"/>
    <x v="8"/>
    <x v="317"/>
    <d v="1995-09-19T00:00:00"/>
    <x v="2"/>
    <s v="250/500"/>
    <n v="500"/>
    <x v="315"/>
    <n v="0"/>
    <x v="315"/>
    <x v="1"/>
    <x v="5"/>
    <x v="10"/>
    <x v="12"/>
    <s v="not-in-family"/>
    <x v="1"/>
    <x v="0"/>
    <x v="16"/>
    <x v="2"/>
    <x v="2"/>
    <x v="1"/>
    <x v="0"/>
    <x v="2"/>
    <x v="5"/>
    <x v="317"/>
    <x v="17"/>
    <x v="1"/>
    <x v="1"/>
    <x v="0"/>
    <x v="1"/>
    <x v="1"/>
    <x v="292"/>
    <x v="3"/>
    <n v="3170"/>
    <x v="280"/>
    <s v="Toyota"/>
    <s v="Highlander"/>
    <n v="2006"/>
    <x v="1"/>
    <n v="0"/>
  </r>
  <r>
    <n v="85"/>
    <x v="22"/>
    <x v="318"/>
    <d v="1993-10-29T00:00:00"/>
    <x v="1"/>
    <s v="500/1000"/>
    <n v="1000"/>
    <x v="316"/>
    <n v="0"/>
    <x v="316"/>
    <x v="0"/>
    <x v="2"/>
    <x v="9"/>
    <x v="1"/>
    <s v="other-relative"/>
    <x v="142"/>
    <x v="143"/>
    <x v="50"/>
    <x v="0"/>
    <x v="0"/>
    <x v="0"/>
    <x v="3"/>
    <x v="2"/>
    <x v="3"/>
    <x v="318"/>
    <x v="4"/>
    <x v="0"/>
    <x v="0"/>
    <x v="1"/>
    <x v="3"/>
    <x v="0"/>
    <x v="293"/>
    <x v="267"/>
    <n v="12380"/>
    <x v="281"/>
    <s v="Suburu"/>
    <s v="Forrestor"/>
    <n v="2006"/>
    <x v="0"/>
    <n v="0"/>
  </r>
  <r>
    <n v="233"/>
    <x v="7"/>
    <x v="319"/>
    <d v="1991-11-03T00:00:00"/>
    <x v="2"/>
    <s v="100/300"/>
    <n v="2000"/>
    <x v="317"/>
    <n v="0"/>
    <x v="317"/>
    <x v="1"/>
    <x v="5"/>
    <x v="2"/>
    <x v="17"/>
    <s v="wife"/>
    <x v="143"/>
    <x v="14"/>
    <x v="38"/>
    <x v="0"/>
    <x v="3"/>
    <x v="2"/>
    <x v="2"/>
    <x v="2"/>
    <x v="0"/>
    <x v="319"/>
    <x v="18"/>
    <x v="0"/>
    <x v="0"/>
    <x v="1"/>
    <x v="0"/>
    <x v="0"/>
    <x v="294"/>
    <x v="268"/>
    <n v="6710"/>
    <x v="282"/>
    <s v="Toyota"/>
    <s v="Corolla"/>
    <n v="2005"/>
    <x v="1"/>
    <n v="0"/>
  </r>
  <r>
    <n v="142"/>
    <x v="22"/>
    <x v="320"/>
    <d v="2002-07-09T00:00:00"/>
    <x v="1"/>
    <s v="250/500"/>
    <n v="2000"/>
    <x v="318"/>
    <n v="0"/>
    <x v="318"/>
    <x v="0"/>
    <x v="6"/>
    <x v="12"/>
    <x v="18"/>
    <s v="husband"/>
    <x v="144"/>
    <x v="144"/>
    <x v="57"/>
    <x v="2"/>
    <x v="2"/>
    <x v="0"/>
    <x v="3"/>
    <x v="0"/>
    <x v="4"/>
    <x v="320"/>
    <x v="21"/>
    <x v="1"/>
    <x v="0"/>
    <x v="1"/>
    <x v="2"/>
    <x v="0"/>
    <x v="295"/>
    <x v="269"/>
    <n v="12720"/>
    <x v="283"/>
    <s v="Dodge"/>
    <s v="RAM"/>
    <n v="2010"/>
    <x v="1"/>
    <n v="0"/>
  </r>
  <r>
    <n v="266"/>
    <x v="4"/>
    <x v="321"/>
    <d v="1999-12-07T00:00:00"/>
    <x v="2"/>
    <s v="250/500"/>
    <n v="500"/>
    <x v="319"/>
    <n v="0"/>
    <x v="319"/>
    <x v="0"/>
    <x v="5"/>
    <x v="11"/>
    <x v="10"/>
    <s v="husband"/>
    <x v="1"/>
    <x v="0"/>
    <x v="5"/>
    <x v="0"/>
    <x v="3"/>
    <x v="2"/>
    <x v="0"/>
    <x v="4"/>
    <x v="1"/>
    <x v="321"/>
    <x v="14"/>
    <x v="0"/>
    <x v="1"/>
    <x v="0"/>
    <x v="0"/>
    <x v="0"/>
    <x v="296"/>
    <x v="270"/>
    <n v="3280"/>
    <x v="284"/>
    <s v="BMW"/>
    <s v="3 Series"/>
    <n v="2012"/>
    <x v="1"/>
    <n v="0"/>
  </r>
  <r>
    <n v="350"/>
    <x v="36"/>
    <x v="322"/>
    <d v="2005-07-01T00:00:00"/>
    <x v="0"/>
    <s v="500/1000"/>
    <n v="500"/>
    <x v="320"/>
    <n v="0"/>
    <x v="320"/>
    <x v="1"/>
    <x v="4"/>
    <x v="7"/>
    <x v="2"/>
    <s v="other-relative"/>
    <x v="1"/>
    <x v="0"/>
    <x v="33"/>
    <x v="2"/>
    <x v="2"/>
    <x v="2"/>
    <x v="0"/>
    <x v="7"/>
    <x v="5"/>
    <x v="322"/>
    <x v="8"/>
    <x v="1"/>
    <x v="2"/>
    <x v="1"/>
    <x v="0"/>
    <x v="2"/>
    <x v="297"/>
    <x v="271"/>
    <n v="4910"/>
    <x v="285"/>
    <s v="Audi"/>
    <s v="A3"/>
    <n v="2015"/>
    <x v="1"/>
    <n v="0"/>
  </r>
  <r>
    <n v="97"/>
    <x v="13"/>
    <x v="323"/>
    <d v="1991-11-04T00:00:00"/>
    <x v="2"/>
    <s v="250/500"/>
    <n v="1000"/>
    <x v="321"/>
    <n v="0"/>
    <x v="321"/>
    <x v="0"/>
    <x v="3"/>
    <x v="8"/>
    <x v="0"/>
    <s v="not-in-family"/>
    <x v="1"/>
    <x v="0"/>
    <x v="42"/>
    <x v="2"/>
    <x v="2"/>
    <x v="0"/>
    <x v="3"/>
    <x v="1"/>
    <x v="3"/>
    <x v="323"/>
    <x v="14"/>
    <x v="3"/>
    <x v="0"/>
    <x v="2"/>
    <x v="0"/>
    <x v="2"/>
    <x v="298"/>
    <x v="272"/>
    <n v="5040"/>
    <x v="286"/>
    <s v="Honda"/>
    <s v="CRV"/>
    <n v="2000"/>
    <x v="0"/>
    <n v="0"/>
  </r>
  <r>
    <n v="399"/>
    <x v="16"/>
    <x v="324"/>
    <d v="1993-04-14T00:00:00"/>
    <x v="2"/>
    <s v="500/1000"/>
    <n v="2000"/>
    <x v="322"/>
    <n v="0"/>
    <x v="322"/>
    <x v="0"/>
    <x v="6"/>
    <x v="4"/>
    <x v="0"/>
    <s v="not-in-family"/>
    <x v="1"/>
    <x v="145"/>
    <x v="58"/>
    <x v="2"/>
    <x v="0"/>
    <x v="2"/>
    <x v="0"/>
    <x v="2"/>
    <x v="5"/>
    <x v="324"/>
    <x v="6"/>
    <x v="1"/>
    <x v="0"/>
    <x v="0"/>
    <x v="3"/>
    <x v="0"/>
    <x v="299"/>
    <x v="11"/>
    <n v="8840"/>
    <x v="287"/>
    <s v="Nissan"/>
    <s v="Pathfinder"/>
    <n v="2010"/>
    <x v="1"/>
    <n v="0"/>
  </r>
  <r>
    <n v="305"/>
    <x v="24"/>
    <x v="325"/>
    <d v="2009-08-23T00:00:00"/>
    <x v="2"/>
    <s v="100/300"/>
    <n v="2000"/>
    <x v="323"/>
    <n v="0"/>
    <x v="323"/>
    <x v="1"/>
    <x v="5"/>
    <x v="13"/>
    <x v="4"/>
    <s v="own-child"/>
    <x v="1"/>
    <x v="146"/>
    <x v="4"/>
    <x v="2"/>
    <x v="3"/>
    <x v="2"/>
    <x v="2"/>
    <x v="2"/>
    <x v="4"/>
    <x v="325"/>
    <x v="7"/>
    <x v="1"/>
    <x v="0"/>
    <x v="1"/>
    <x v="0"/>
    <x v="1"/>
    <x v="300"/>
    <x v="273"/>
    <n v="6050"/>
    <x v="288"/>
    <s v="Volkswagen"/>
    <s v="Jetta"/>
    <n v="2003"/>
    <x v="1"/>
    <n v="0"/>
  </r>
  <r>
    <n v="276"/>
    <x v="26"/>
    <x v="326"/>
    <d v="1993-06-18T00:00:00"/>
    <x v="1"/>
    <s v="100/300"/>
    <n v="1000"/>
    <x v="324"/>
    <n v="0"/>
    <x v="324"/>
    <x v="0"/>
    <x v="1"/>
    <x v="0"/>
    <x v="12"/>
    <s v="own-child"/>
    <x v="1"/>
    <x v="0"/>
    <x v="37"/>
    <x v="2"/>
    <x v="2"/>
    <x v="1"/>
    <x v="0"/>
    <x v="2"/>
    <x v="2"/>
    <x v="326"/>
    <x v="6"/>
    <x v="1"/>
    <x v="0"/>
    <x v="1"/>
    <x v="1"/>
    <x v="1"/>
    <x v="301"/>
    <x v="181"/>
    <n v="11960"/>
    <x v="188"/>
    <s v="Chevrolet"/>
    <s v="Tahoe"/>
    <n v="2014"/>
    <x v="1"/>
    <n v="0"/>
  </r>
  <r>
    <n v="257"/>
    <x v="17"/>
    <x v="327"/>
    <d v="2012-07-17T00:00:00"/>
    <x v="1"/>
    <s v="250/500"/>
    <n v="500"/>
    <x v="325"/>
    <n v="0"/>
    <x v="325"/>
    <x v="0"/>
    <x v="0"/>
    <x v="3"/>
    <x v="5"/>
    <s v="husband"/>
    <x v="1"/>
    <x v="0"/>
    <x v="52"/>
    <x v="2"/>
    <x v="0"/>
    <x v="0"/>
    <x v="3"/>
    <x v="2"/>
    <x v="0"/>
    <x v="327"/>
    <x v="13"/>
    <x v="1"/>
    <x v="1"/>
    <x v="1"/>
    <x v="0"/>
    <x v="0"/>
    <x v="302"/>
    <x v="274"/>
    <n v="4710"/>
    <x v="289"/>
    <s v="Audi"/>
    <s v="A3"/>
    <n v="2002"/>
    <x v="0"/>
    <n v="0"/>
  </r>
  <r>
    <n v="78"/>
    <x v="14"/>
    <x v="328"/>
    <d v="1999-01-25T00:00:00"/>
    <x v="1"/>
    <s v="250/500"/>
    <n v="1000"/>
    <x v="326"/>
    <n v="4000000"/>
    <x v="326"/>
    <x v="0"/>
    <x v="1"/>
    <x v="9"/>
    <x v="2"/>
    <s v="own-child"/>
    <x v="1"/>
    <x v="147"/>
    <x v="51"/>
    <x v="0"/>
    <x v="3"/>
    <x v="0"/>
    <x v="3"/>
    <x v="4"/>
    <x v="3"/>
    <x v="328"/>
    <x v="7"/>
    <x v="0"/>
    <x v="2"/>
    <x v="0"/>
    <x v="1"/>
    <x v="2"/>
    <x v="303"/>
    <x v="275"/>
    <n v="10120"/>
    <x v="290"/>
    <s v="Honda"/>
    <s v="CRV"/>
    <n v="2009"/>
    <x v="0"/>
    <n v="0"/>
  </r>
  <r>
    <n v="129"/>
    <x v="23"/>
    <x v="329"/>
    <d v="1990-02-23T00:00:00"/>
    <x v="0"/>
    <s v="500/1000"/>
    <n v="1000"/>
    <x v="327"/>
    <n v="0"/>
    <x v="327"/>
    <x v="0"/>
    <x v="4"/>
    <x v="1"/>
    <x v="5"/>
    <s v="not-in-family"/>
    <x v="1"/>
    <x v="0"/>
    <x v="31"/>
    <x v="0"/>
    <x v="0"/>
    <x v="0"/>
    <x v="2"/>
    <x v="2"/>
    <x v="3"/>
    <x v="329"/>
    <x v="6"/>
    <x v="0"/>
    <x v="1"/>
    <x v="2"/>
    <x v="2"/>
    <x v="1"/>
    <x v="304"/>
    <x v="276"/>
    <n v="4960"/>
    <x v="291"/>
    <s v="Toyota"/>
    <s v="Camry"/>
    <n v="2005"/>
    <x v="1"/>
    <n v="0"/>
  </r>
  <r>
    <n v="283"/>
    <x v="35"/>
    <x v="330"/>
    <d v="2000-08-30T00:00:00"/>
    <x v="2"/>
    <s v="500/1000"/>
    <n v="2000"/>
    <x v="328"/>
    <n v="0"/>
    <x v="328"/>
    <x v="1"/>
    <x v="1"/>
    <x v="10"/>
    <x v="1"/>
    <s v="husband"/>
    <x v="10"/>
    <x v="148"/>
    <x v="25"/>
    <x v="2"/>
    <x v="3"/>
    <x v="0"/>
    <x v="4"/>
    <x v="2"/>
    <x v="1"/>
    <x v="330"/>
    <x v="19"/>
    <x v="1"/>
    <x v="1"/>
    <x v="0"/>
    <x v="2"/>
    <x v="2"/>
    <x v="305"/>
    <x v="226"/>
    <n v="14120"/>
    <x v="123"/>
    <s v="Nissan"/>
    <s v="Maxima"/>
    <n v="2004"/>
    <x v="0"/>
    <n v="0"/>
  </r>
  <r>
    <n v="85"/>
    <x v="20"/>
    <x v="331"/>
    <d v="2008-09-03T00:00:00"/>
    <x v="1"/>
    <s v="250/500"/>
    <n v="500"/>
    <x v="329"/>
    <n v="0"/>
    <x v="329"/>
    <x v="1"/>
    <x v="6"/>
    <x v="4"/>
    <x v="5"/>
    <s v="unmarried"/>
    <x v="145"/>
    <x v="149"/>
    <x v="55"/>
    <x v="3"/>
    <x v="1"/>
    <x v="3"/>
    <x v="1"/>
    <x v="0"/>
    <x v="5"/>
    <x v="331"/>
    <x v="1"/>
    <x v="0"/>
    <x v="2"/>
    <x v="2"/>
    <x v="0"/>
    <x v="1"/>
    <x v="306"/>
    <x v="82"/>
    <n v="940"/>
    <x v="133"/>
    <s v="Nissan"/>
    <s v="Ultima"/>
    <n v="2005"/>
    <x v="1"/>
    <n v="0"/>
  </r>
  <r>
    <n v="101"/>
    <x v="13"/>
    <x v="332"/>
    <d v="1991-08-02T00:00:00"/>
    <x v="2"/>
    <s v="500/1000"/>
    <n v="1000"/>
    <x v="330"/>
    <n v="0"/>
    <x v="330"/>
    <x v="1"/>
    <x v="0"/>
    <x v="5"/>
    <x v="1"/>
    <s v="husband"/>
    <x v="1"/>
    <x v="0"/>
    <x v="57"/>
    <x v="3"/>
    <x v="1"/>
    <x v="3"/>
    <x v="1"/>
    <x v="1"/>
    <x v="2"/>
    <x v="332"/>
    <x v="14"/>
    <x v="0"/>
    <x v="1"/>
    <x v="2"/>
    <x v="0"/>
    <x v="1"/>
    <x v="307"/>
    <x v="277"/>
    <n v="580"/>
    <x v="292"/>
    <s v="Suburu"/>
    <s v="Legacy"/>
    <n v="1995"/>
    <x v="1"/>
    <n v="0"/>
  </r>
  <r>
    <n v="96"/>
    <x v="22"/>
    <x v="333"/>
    <d v="2001-09-25T00:00:00"/>
    <x v="0"/>
    <s v="100/300"/>
    <n v="500"/>
    <x v="331"/>
    <n v="6000000"/>
    <x v="331"/>
    <x v="0"/>
    <x v="3"/>
    <x v="5"/>
    <x v="11"/>
    <s v="wife"/>
    <x v="146"/>
    <x v="150"/>
    <x v="20"/>
    <x v="0"/>
    <x v="0"/>
    <x v="2"/>
    <x v="2"/>
    <x v="5"/>
    <x v="2"/>
    <x v="333"/>
    <x v="9"/>
    <x v="0"/>
    <x v="1"/>
    <x v="1"/>
    <x v="1"/>
    <x v="0"/>
    <x v="308"/>
    <x v="20"/>
    <n v="6680"/>
    <x v="293"/>
    <s v="Ford"/>
    <s v="Escape"/>
    <n v="2004"/>
    <x v="1"/>
    <n v="0"/>
  </r>
  <r>
    <n v="121"/>
    <x v="14"/>
    <x v="334"/>
    <d v="2007-03-11T00:00:00"/>
    <x v="2"/>
    <s v="500/1000"/>
    <n v="1000"/>
    <x v="332"/>
    <n v="6000000"/>
    <x v="332"/>
    <x v="1"/>
    <x v="6"/>
    <x v="3"/>
    <x v="7"/>
    <s v="unmarried"/>
    <x v="1"/>
    <x v="0"/>
    <x v="52"/>
    <x v="0"/>
    <x v="2"/>
    <x v="1"/>
    <x v="0"/>
    <x v="4"/>
    <x v="4"/>
    <x v="334"/>
    <x v="16"/>
    <x v="0"/>
    <x v="2"/>
    <x v="1"/>
    <x v="3"/>
    <x v="0"/>
    <x v="309"/>
    <x v="278"/>
    <n v="7250"/>
    <x v="212"/>
    <s v="BMW"/>
    <s v="3 Series"/>
    <n v="2002"/>
    <x v="1"/>
    <n v="0"/>
  </r>
  <r>
    <n v="176"/>
    <x v="5"/>
    <x v="335"/>
    <d v="2010-11-20T00:00:00"/>
    <x v="0"/>
    <s v="250/500"/>
    <n v="500"/>
    <x v="333"/>
    <n v="4000000"/>
    <x v="333"/>
    <x v="0"/>
    <x v="3"/>
    <x v="3"/>
    <x v="0"/>
    <s v="unmarried"/>
    <x v="1"/>
    <x v="151"/>
    <x v="53"/>
    <x v="2"/>
    <x v="0"/>
    <x v="1"/>
    <x v="2"/>
    <x v="0"/>
    <x v="0"/>
    <x v="335"/>
    <x v="8"/>
    <x v="1"/>
    <x v="2"/>
    <x v="2"/>
    <x v="3"/>
    <x v="2"/>
    <x v="58"/>
    <x v="279"/>
    <n v="4920"/>
    <x v="294"/>
    <s v="Chevrolet"/>
    <s v="Silverado"/>
    <n v="2008"/>
    <x v="1"/>
    <n v="0"/>
  </r>
  <r>
    <n v="159"/>
    <x v="7"/>
    <x v="336"/>
    <d v="1998-08-28T00:00:00"/>
    <x v="2"/>
    <s v="500/1000"/>
    <n v="1000"/>
    <x v="334"/>
    <n v="0"/>
    <x v="334"/>
    <x v="0"/>
    <x v="2"/>
    <x v="4"/>
    <x v="7"/>
    <s v="wife"/>
    <x v="1"/>
    <x v="59"/>
    <x v="22"/>
    <x v="0"/>
    <x v="2"/>
    <x v="2"/>
    <x v="0"/>
    <x v="2"/>
    <x v="3"/>
    <x v="336"/>
    <x v="21"/>
    <x v="0"/>
    <x v="0"/>
    <x v="2"/>
    <x v="1"/>
    <x v="2"/>
    <x v="206"/>
    <x v="280"/>
    <n v="7810"/>
    <x v="295"/>
    <s v="Dodge"/>
    <s v="RAM"/>
    <n v="1999"/>
    <x v="1"/>
    <n v="0"/>
  </r>
  <r>
    <n v="120"/>
    <x v="22"/>
    <x v="337"/>
    <d v="2002-07-16T00:00:00"/>
    <x v="1"/>
    <s v="250/500"/>
    <n v="500"/>
    <x v="335"/>
    <n v="0"/>
    <x v="335"/>
    <x v="1"/>
    <x v="2"/>
    <x v="7"/>
    <x v="10"/>
    <s v="husband"/>
    <x v="81"/>
    <x v="152"/>
    <x v="38"/>
    <x v="0"/>
    <x v="3"/>
    <x v="1"/>
    <x v="3"/>
    <x v="2"/>
    <x v="4"/>
    <x v="337"/>
    <x v="3"/>
    <x v="0"/>
    <x v="1"/>
    <x v="0"/>
    <x v="3"/>
    <x v="0"/>
    <x v="310"/>
    <x v="281"/>
    <n v="8710"/>
    <x v="296"/>
    <s v="Saab"/>
    <s v="92x"/>
    <n v="2000"/>
    <x v="1"/>
    <n v="0"/>
  </r>
  <r>
    <n v="212"/>
    <x v="21"/>
    <x v="338"/>
    <d v="1990-04-29T00:00:00"/>
    <x v="1"/>
    <s v="500/1000"/>
    <n v="2000"/>
    <x v="336"/>
    <n v="0"/>
    <x v="336"/>
    <x v="0"/>
    <x v="0"/>
    <x v="7"/>
    <x v="17"/>
    <s v="unmarried"/>
    <x v="147"/>
    <x v="17"/>
    <x v="1"/>
    <x v="2"/>
    <x v="3"/>
    <x v="2"/>
    <x v="2"/>
    <x v="2"/>
    <x v="0"/>
    <x v="338"/>
    <x v="5"/>
    <x v="1"/>
    <x v="1"/>
    <x v="0"/>
    <x v="2"/>
    <x v="1"/>
    <x v="311"/>
    <x v="282"/>
    <n v="4580"/>
    <x v="297"/>
    <s v="Suburu"/>
    <s v="Forrestor"/>
    <n v="1996"/>
    <x v="1"/>
    <n v="0"/>
  </r>
  <r>
    <n v="290"/>
    <x v="19"/>
    <x v="339"/>
    <d v="1998-02-01T00:00:00"/>
    <x v="2"/>
    <s v="100/300"/>
    <n v="500"/>
    <x v="337"/>
    <n v="0"/>
    <x v="337"/>
    <x v="1"/>
    <x v="6"/>
    <x v="2"/>
    <x v="19"/>
    <s v="wife"/>
    <x v="1"/>
    <x v="120"/>
    <x v="44"/>
    <x v="2"/>
    <x v="0"/>
    <x v="2"/>
    <x v="0"/>
    <x v="1"/>
    <x v="2"/>
    <x v="339"/>
    <x v="6"/>
    <x v="1"/>
    <x v="0"/>
    <x v="2"/>
    <x v="0"/>
    <x v="2"/>
    <x v="32"/>
    <x v="144"/>
    <n v="6480"/>
    <x v="154"/>
    <s v="Audi"/>
    <s v="A3"/>
    <n v="2014"/>
    <x v="0"/>
    <n v="0"/>
  </r>
  <r>
    <n v="299"/>
    <x v="1"/>
    <x v="340"/>
    <d v="2008-07-20T00:00:00"/>
    <x v="0"/>
    <s v="100/300"/>
    <n v="2000"/>
    <x v="338"/>
    <n v="0"/>
    <x v="338"/>
    <x v="1"/>
    <x v="2"/>
    <x v="0"/>
    <x v="10"/>
    <s v="wife"/>
    <x v="93"/>
    <x v="0"/>
    <x v="20"/>
    <x v="0"/>
    <x v="2"/>
    <x v="1"/>
    <x v="3"/>
    <x v="0"/>
    <x v="0"/>
    <x v="340"/>
    <x v="21"/>
    <x v="0"/>
    <x v="0"/>
    <x v="0"/>
    <x v="2"/>
    <x v="2"/>
    <x v="111"/>
    <x v="129"/>
    <n v="12800"/>
    <x v="137"/>
    <s v="BMW"/>
    <s v="3 Series"/>
    <n v="2000"/>
    <x v="1"/>
    <n v="0"/>
  </r>
  <r>
    <n v="66"/>
    <x v="13"/>
    <x v="341"/>
    <d v="1998-11-13T00:00:00"/>
    <x v="2"/>
    <s v="250/500"/>
    <n v="1000"/>
    <x v="339"/>
    <n v="0"/>
    <x v="339"/>
    <x v="0"/>
    <x v="3"/>
    <x v="3"/>
    <x v="9"/>
    <s v="own-child"/>
    <x v="1"/>
    <x v="0"/>
    <x v="40"/>
    <x v="0"/>
    <x v="2"/>
    <x v="0"/>
    <x v="0"/>
    <x v="2"/>
    <x v="5"/>
    <x v="341"/>
    <x v="1"/>
    <x v="0"/>
    <x v="1"/>
    <x v="2"/>
    <x v="0"/>
    <x v="0"/>
    <x v="312"/>
    <x v="20"/>
    <n v="10520"/>
    <x v="198"/>
    <s v="Suburu"/>
    <s v="Impreza"/>
    <n v="2008"/>
    <x v="0"/>
    <n v="0"/>
  </r>
  <r>
    <n v="334"/>
    <x v="26"/>
    <x v="342"/>
    <d v="2001-05-24T00:00:00"/>
    <x v="2"/>
    <s v="500/1000"/>
    <n v="500"/>
    <x v="340"/>
    <n v="0"/>
    <x v="340"/>
    <x v="0"/>
    <x v="4"/>
    <x v="9"/>
    <x v="0"/>
    <s v="other-relative"/>
    <x v="1"/>
    <x v="0"/>
    <x v="50"/>
    <x v="1"/>
    <x v="1"/>
    <x v="1"/>
    <x v="1"/>
    <x v="4"/>
    <x v="5"/>
    <x v="342"/>
    <x v="19"/>
    <x v="0"/>
    <x v="1"/>
    <x v="1"/>
    <x v="2"/>
    <x v="2"/>
    <x v="313"/>
    <x v="175"/>
    <n v="960"/>
    <x v="260"/>
    <s v="Ford"/>
    <s v="Fusion"/>
    <n v="2011"/>
    <x v="1"/>
    <n v="0"/>
  </r>
  <r>
    <n v="216"/>
    <x v="11"/>
    <x v="343"/>
    <d v="2014-06-03T00:00:00"/>
    <x v="1"/>
    <s v="100/300"/>
    <n v="1000"/>
    <x v="341"/>
    <n v="5000000"/>
    <x v="341"/>
    <x v="1"/>
    <x v="2"/>
    <x v="4"/>
    <x v="2"/>
    <s v="unmarried"/>
    <x v="1"/>
    <x v="0"/>
    <x v="25"/>
    <x v="0"/>
    <x v="2"/>
    <x v="2"/>
    <x v="0"/>
    <x v="1"/>
    <x v="0"/>
    <x v="343"/>
    <x v="16"/>
    <x v="0"/>
    <x v="1"/>
    <x v="2"/>
    <x v="2"/>
    <x v="2"/>
    <x v="314"/>
    <x v="283"/>
    <n v="11100"/>
    <x v="176"/>
    <s v="Jeep"/>
    <s v="Grand Cherokee"/>
    <n v="2012"/>
    <x v="0"/>
    <n v="0"/>
  </r>
  <r>
    <n v="86"/>
    <x v="23"/>
    <x v="344"/>
    <d v="1991-08-22T00:00:00"/>
    <x v="1"/>
    <s v="100/300"/>
    <n v="2000"/>
    <x v="342"/>
    <n v="0"/>
    <x v="342"/>
    <x v="0"/>
    <x v="1"/>
    <x v="10"/>
    <x v="11"/>
    <s v="unmarried"/>
    <x v="148"/>
    <x v="0"/>
    <x v="43"/>
    <x v="0"/>
    <x v="0"/>
    <x v="1"/>
    <x v="0"/>
    <x v="1"/>
    <x v="4"/>
    <x v="344"/>
    <x v="4"/>
    <x v="0"/>
    <x v="0"/>
    <x v="1"/>
    <x v="0"/>
    <x v="0"/>
    <x v="315"/>
    <x v="284"/>
    <n v="11820"/>
    <x v="269"/>
    <s v="Jeep"/>
    <s v="Wrangler"/>
    <n v="2002"/>
    <x v="1"/>
    <n v="0"/>
  </r>
  <r>
    <n v="429"/>
    <x v="29"/>
    <x v="345"/>
    <d v="1998-12-12T00:00:00"/>
    <x v="0"/>
    <s v="250/500"/>
    <n v="1000"/>
    <x v="343"/>
    <n v="6000000"/>
    <x v="343"/>
    <x v="0"/>
    <x v="2"/>
    <x v="1"/>
    <x v="9"/>
    <s v="own-child"/>
    <x v="149"/>
    <x v="153"/>
    <x v="21"/>
    <x v="0"/>
    <x v="2"/>
    <x v="1"/>
    <x v="4"/>
    <x v="4"/>
    <x v="3"/>
    <x v="345"/>
    <x v="5"/>
    <x v="0"/>
    <x v="0"/>
    <x v="2"/>
    <x v="1"/>
    <x v="0"/>
    <x v="316"/>
    <x v="285"/>
    <n v="6580"/>
    <x v="298"/>
    <s v="Suburu"/>
    <s v="Forrestor"/>
    <n v="2002"/>
    <x v="1"/>
    <n v="0"/>
  </r>
  <r>
    <n v="257"/>
    <x v="18"/>
    <x v="346"/>
    <d v="1999-02-18T00:00:00"/>
    <x v="1"/>
    <s v="500/1000"/>
    <n v="2000"/>
    <x v="344"/>
    <n v="6000000"/>
    <x v="344"/>
    <x v="1"/>
    <x v="1"/>
    <x v="11"/>
    <x v="5"/>
    <s v="husband"/>
    <x v="150"/>
    <x v="154"/>
    <x v="45"/>
    <x v="0"/>
    <x v="3"/>
    <x v="2"/>
    <x v="3"/>
    <x v="1"/>
    <x v="2"/>
    <x v="346"/>
    <x v="11"/>
    <x v="0"/>
    <x v="1"/>
    <x v="2"/>
    <x v="0"/>
    <x v="0"/>
    <x v="147"/>
    <x v="136"/>
    <n v="5270"/>
    <x v="299"/>
    <s v="Mercedes"/>
    <s v="E400"/>
    <n v="2005"/>
    <x v="1"/>
    <n v="0"/>
  </r>
  <r>
    <n v="15"/>
    <x v="6"/>
    <x v="347"/>
    <d v="1997-10-30T00:00:00"/>
    <x v="2"/>
    <s v="100/300"/>
    <n v="1000"/>
    <x v="345"/>
    <n v="0"/>
    <x v="345"/>
    <x v="0"/>
    <x v="6"/>
    <x v="4"/>
    <x v="19"/>
    <s v="not-in-family"/>
    <x v="151"/>
    <x v="0"/>
    <x v="51"/>
    <x v="2"/>
    <x v="0"/>
    <x v="2"/>
    <x v="3"/>
    <x v="0"/>
    <x v="2"/>
    <x v="347"/>
    <x v="7"/>
    <x v="1"/>
    <x v="0"/>
    <x v="0"/>
    <x v="1"/>
    <x v="1"/>
    <x v="317"/>
    <x v="286"/>
    <n v="6150"/>
    <x v="300"/>
    <s v="Audi"/>
    <s v="A5"/>
    <n v="2009"/>
    <x v="1"/>
    <n v="0"/>
  </r>
  <r>
    <n v="230"/>
    <x v="5"/>
    <x v="348"/>
    <d v="1999-11-29T00:00:00"/>
    <x v="2"/>
    <s v="100/300"/>
    <n v="1000"/>
    <x v="346"/>
    <n v="7000000"/>
    <x v="346"/>
    <x v="1"/>
    <x v="0"/>
    <x v="0"/>
    <x v="4"/>
    <s v="unmarried"/>
    <x v="152"/>
    <x v="88"/>
    <x v="4"/>
    <x v="0"/>
    <x v="3"/>
    <x v="0"/>
    <x v="2"/>
    <x v="0"/>
    <x v="1"/>
    <x v="348"/>
    <x v="5"/>
    <x v="0"/>
    <x v="1"/>
    <x v="0"/>
    <x v="2"/>
    <x v="2"/>
    <x v="102"/>
    <x v="287"/>
    <n v="14840"/>
    <x v="283"/>
    <s v="Accura"/>
    <s v="TL"/>
    <n v="2002"/>
    <x v="0"/>
    <n v="0"/>
  </r>
  <r>
    <n v="250"/>
    <x v="18"/>
    <x v="349"/>
    <d v="2013-07-07T00:00:00"/>
    <x v="0"/>
    <s v="500/1000"/>
    <n v="1000"/>
    <x v="347"/>
    <n v="0"/>
    <x v="347"/>
    <x v="1"/>
    <x v="6"/>
    <x v="4"/>
    <x v="18"/>
    <s v="own-child"/>
    <x v="153"/>
    <x v="155"/>
    <x v="8"/>
    <x v="0"/>
    <x v="0"/>
    <x v="1"/>
    <x v="3"/>
    <x v="1"/>
    <x v="0"/>
    <x v="349"/>
    <x v="9"/>
    <x v="0"/>
    <x v="0"/>
    <x v="0"/>
    <x v="2"/>
    <x v="2"/>
    <x v="318"/>
    <x v="196"/>
    <n v="12980"/>
    <x v="301"/>
    <s v="Volkswagen"/>
    <s v="Jetta"/>
    <n v="2011"/>
    <x v="1"/>
    <n v="0"/>
  </r>
  <r>
    <n v="270"/>
    <x v="4"/>
    <x v="350"/>
    <d v="2003-07-05T00:00:00"/>
    <x v="2"/>
    <s v="500/1000"/>
    <n v="2000"/>
    <x v="348"/>
    <n v="0"/>
    <x v="348"/>
    <x v="1"/>
    <x v="2"/>
    <x v="1"/>
    <x v="13"/>
    <s v="other-relative"/>
    <x v="60"/>
    <x v="0"/>
    <x v="51"/>
    <x v="2"/>
    <x v="2"/>
    <x v="0"/>
    <x v="4"/>
    <x v="5"/>
    <x v="5"/>
    <x v="350"/>
    <x v="3"/>
    <x v="1"/>
    <x v="1"/>
    <x v="0"/>
    <x v="1"/>
    <x v="2"/>
    <x v="319"/>
    <x v="288"/>
    <n v="3590"/>
    <x v="302"/>
    <s v="Audi"/>
    <s v="A3"/>
    <n v="2007"/>
    <x v="0"/>
    <n v="0"/>
  </r>
  <r>
    <n v="65"/>
    <x v="13"/>
    <x v="351"/>
    <d v="2005-09-21T00:00:00"/>
    <x v="1"/>
    <s v="100/300"/>
    <n v="500"/>
    <x v="349"/>
    <n v="3000000"/>
    <x v="349"/>
    <x v="1"/>
    <x v="5"/>
    <x v="0"/>
    <x v="7"/>
    <s v="unmarried"/>
    <x v="1"/>
    <x v="156"/>
    <x v="51"/>
    <x v="0"/>
    <x v="2"/>
    <x v="1"/>
    <x v="2"/>
    <x v="1"/>
    <x v="1"/>
    <x v="351"/>
    <x v="5"/>
    <x v="0"/>
    <x v="2"/>
    <x v="0"/>
    <x v="2"/>
    <x v="1"/>
    <x v="320"/>
    <x v="289"/>
    <n v="10440"/>
    <x v="303"/>
    <s v="Honda"/>
    <s v="CRV"/>
    <n v="2011"/>
    <x v="1"/>
    <n v="0"/>
  </r>
  <r>
    <n v="475"/>
    <x v="37"/>
    <x v="352"/>
    <d v="1995-02-18T00:00:00"/>
    <x v="0"/>
    <s v="100/300"/>
    <n v="500"/>
    <x v="350"/>
    <n v="0"/>
    <x v="350"/>
    <x v="0"/>
    <x v="4"/>
    <x v="12"/>
    <x v="9"/>
    <s v="own-child"/>
    <x v="149"/>
    <x v="157"/>
    <x v="50"/>
    <x v="0"/>
    <x v="3"/>
    <x v="1"/>
    <x v="0"/>
    <x v="0"/>
    <x v="4"/>
    <x v="352"/>
    <x v="3"/>
    <x v="0"/>
    <x v="1"/>
    <x v="1"/>
    <x v="0"/>
    <x v="2"/>
    <x v="321"/>
    <x v="290"/>
    <n v="13000"/>
    <x v="276"/>
    <s v="Suburu"/>
    <s v="Forrestor"/>
    <n v="2000"/>
    <x v="1"/>
    <n v="0"/>
  </r>
  <r>
    <n v="77"/>
    <x v="28"/>
    <x v="353"/>
    <d v="1999-04-07T00:00:00"/>
    <x v="1"/>
    <s v="500/1000"/>
    <n v="2000"/>
    <x v="351"/>
    <n v="0"/>
    <x v="351"/>
    <x v="1"/>
    <x v="5"/>
    <x v="12"/>
    <x v="5"/>
    <s v="own-child"/>
    <x v="154"/>
    <x v="6"/>
    <x v="38"/>
    <x v="2"/>
    <x v="3"/>
    <x v="1"/>
    <x v="4"/>
    <x v="2"/>
    <x v="3"/>
    <x v="353"/>
    <x v="17"/>
    <x v="1"/>
    <x v="0"/>
    <x v="1"/>
    <x v="1"/>
    <x v="1"/>
    <x v="322"/>
    <x v="291"/>
    <n v="6720"/>
    <x v="138"/>
    <s v="Volkswagen"/>
    <s v="Passat"/>
    <n v="1995"/>
    <x v="1"/>
    <n v="0"/>
  </r>
  <r>
    <n v="256"/>
    <x v="18"/>
    <x v="354"/>
    <d v="2014-12-13T00:00:00"/>
    <x v="0"/>
    <s v="100/300"/>
    <n v="500"/>
    <x v="352"/>
    <n v="0"/>
    <x v="352"/>
    <x v="1"/>
    <x v="0"/>
    <x v="5"/>
    <x v="6"/>
    <s v="unmarried"/>
    <x v="151"/>
    <x v="65"/>
    <x v="38"/>
    <x v="0"/>
    <x v="2"/>
    <x v="2"/>
    <x v="2"/>
    <x v="4"/>
    <x v="4"/>
    <x v="354"/>
    <x v="20"/>
    <x v="0"/>
    <x v="2"/>
    <x v="1"/>
    <x v="1"/>
    <x v="1"/>
    <x v="234"/>
    <x v="292"/>
    <n v="5750"/>
    <x v="229"/>
    <s v="Nissan"/>
    <s v="Ultima"/>
    <n v="1997"/>
    <x v="1"/>
    <n v="0"/>
  </r>
  <r>
    <n v="229"/>
    <x v="7"/>
    <x v="355"/>
    <d v="1997-06-01T00:00:00"/>
    <x v="2"/>
    <s v="250/500"/>
    <n v="2000"/>
    <x v="353"/>
    <n v="0"/>
    <x v="353"/>
    <x v="1"/>
    <x v="0"/>
    <x v="0"/>
    <x v="13"/>
    <s v="not-in-family"/>
    <x v="108"/>
    <x v="0"/>
    <x v="15"/>
    <x v="2"/>
    <x v="0"/>
    <x v="0"/>
    <x v="3"/>
    <x v="4"/>
    <x v="0"/>
    <x v="355"/>
    <x v="8"/>
    <x v="1"/>
    <x v="0"/>
    <x v="0"/>
    <x v="3"/>
    <x v="0"/>
    <x v="323"/>
    <x v="293"/>
    <n v="5730"/>
    <x v="304"/>
    <s v="Ford"/>
    <s v="Fusion"/>
    <n v="1995"/>
    <x v="1"/>
    <n v="0"/>
  </r>
  <r>
    <n v="110"/>
    <x v="23"/>
    <x v="356"/>
    <d v="2013-07-13T00:00:00"/>
    <x v="0"/>
    <s v="250/500"/>
    <n v="1000"/>
    <x v="354"/>
    <n v="0"/>
    <x v="354"/>
    <x v="0"/>
    <x v="3"/>
    <x v="6"/>
    <x v="10"/>
    <s v="other-relative"/>
    <x v="155"/>
    <x v="0"/>
    <x v="22"/>
    <x v="2"/>
    <x v="0"/>
    <x v="1"/>
    <x v="0"/>
    <x v="2"/>
    <x v="3"/>
    <x v="356"/>
    <x v="3"/>
    <x v="1"/>
    <x v="0"/>
    <x v="1"/>
    <x v="0"/>
    <x v="1"/>
    <x v="324"/>
    <x v="294"/>
    <n v="10840"/>
    <x v="305"/>
    <s v="Suburu"/>
    <s v="Impreza"/>
    <n v="2010"/>
    <x v="1"/>
    <n v="0"/>
  </r>
  <r>
    <n v="177"/>
    <x v="8"/>
    <x v="357"/>
    <d v="2002-12-30T00:00:00"/>
    <x v="2"/>
    <s v="100/300"/>
    <n v="1000"/>
    <x v="355"/>
    <n v="0"/>
    <x v="355"/>
    <x v="0"/>
    <x v="3"/>
    <x v="12"/>
    <x v="12"/>
    <s v="wife"/>
    <x v="1"/>
    <x v="158"/>
    <x v="39"/>
    <x v="0"/>
    <x v="0"/>
    <x v="0"/>
    <x v="4"/>
    <x v="0"/>
    <x v="3"/>
    <x v="357"/>
    <x v="9"/>
    <x v="0"/>
    <x v="1"/>
    <x v="0"/>
    <x v="2"/>
    <x v="1"/>
    <x v="325"/>
    <x v="295"/>
    <n v="13800"/>
    <x v="306"/>
    <s v="Jeep"/>
    <s v="Grand Cherokee"/>
    <n v="2004"/>
    <x v="0"/>
    <n v="0"/>
  </r>
  <r>
    <n v="292"/>
    <x v="4"/>
    <x v="358"/>
    <d v="1997-02-28T00:00:00"/>
    <x v="0"/>
    <s v="500/1000"/>
    <n v="500"/>
    <x v="356"/>
    <n v="0"/>
    <x v="356"/>
    <x v="0"/>
    <x v="1"/>
    <x v="7"/>
    <x v="16"/>
    <s v="unmarried"/>
    <x v="1"/>
    <x v="0"/>
    <x v="24"/>
    <x v="0"/>
    <x v="0"/>
    <x v="2"/>
    <x v="3"/>
    <x v="0"/>
    <x v="0"/>
    <x v="358"/>
    <x v="11"/>
    <x v="0"/>
    <x v="2"/>
    <x v="0"/>
    <x v="1"/>
    <x v="0"/>
    <x v="326"/>
    <x v="296"/>
    <n v="6170"/>
    <x v="307"/>
    <s v="Saab"/>
    <n v="93"/>
    <n v="2005"/>
    <x v="1"/>
    <n v="0"/>
  </r>
  <r>
    <n v="451"/>
    <x v="9"/>
    <x v="359"/>
    <d v="1998-06-18T00:00:00"/>
    <x v="1"/>
    <s v="250/500"/>
    <n v="2000"/>
    <x v="357"/>
    <n v="2000000"/>
    <x v="357"/>
    <x v="1"/>
    <x v="2"/>
    <x v="10"/>
    <x v="18"/>
    <s v="unmarried"/>
    <x v="1"/>
    <x v="159"/>
    <x v="57"/>
    <x v="2"/>
    <x v="2"/>
    <x v="0"/>
    <x v="4"/>
    <x v="3"/>
    <x v="0"/>
    <x v="359"/>
    <x v="19"/>
    <x v="1"/>
    <x v="0"/>
    <x v="2"/>
    <x v="3"/>
    <x v="0"/>
    <x v="327"/>
    <x v="297"/>
    <n v="7810"/>
    <x v="295"/>
    <s v="Chevrolet"/>
    <s v="Tahoe"/>
    <n v="1997"/>
    <x v="0"/>
    <n v="0"/>
  </r>
  <r>
    <n v="61"/>
    <x v="39"/>
    <x v="360"/>
    <d v="1996-02-08T00:00:00"/>
    <x v="1"/>
    <s v="100/300"/>
    <n v="500"/>
    <x v="358"/>
    <n v="0"/>
    <x v="358"/>
    <x v="1"/>
    <x v="3"/>
    <x v="7"/>
    <x v="13"/>
    <s v="other-relative"/>
    <x v="129"/>
    <x v="0"/>
    <x v="37"/>
    <x v="2"/>
    <x v="2"/>
    <x v="0"/>
    <x v="4"/>
    <x v="0"/>
    <x v="5"/>
    <x v="360"/>
    <x v="12"/>
    <x v="1"/>
    <x v="0"/>
    <x v="2"/>
    <x v="3"/>
    <x v="1"/>
    <x v="328"/>
    <x v="298"/>
    <n v="9360"/>
    <x v="245"/>
    <s v="Toyota"/>
    <s v="Highlander"/>
    <n v="2011"/>
    <x v="0"/>
    <n v="0"/>
  </r>
  <r>
    <n v="150"/>
    <x v="22"/>
    <x v="361"/>
    <d v="2004-11-17T00:00:00"/>
    <x v="1"/>
    <s v="100/300"/>
    <n v="1000"/>
    <x v="359"/>
    <n v="0"/>
    <x v="359"/>
    <x v="0"/>
    <x v="0"/>
    <x v="5"/>
    <x v="18"/>
    <s v="own-child"/>
    <x v="1"/>
    <x v="0"/>
    <x v="24"/>
    <x v="3"/>
    <x v="1"/>
    <x v="3"/>
    <x v="1"/>
    <x v="1"/>
    <x v="2"/>
    <x v="361"/>
    <x v="1"/>
    <x v="0"/>
    <x v="0"/>
    <x v="1"/>
    <x v="0"/>
    <x v="2"/>
    <x v="329"/>
    <x v="154"/>
    <n v="450"/>
    <x v="95"/>
    <s v="Saab"/>
    <n v="93"/>
    <n v="1999"/>
    <x v="1"/>
    <n v="0"/>
  </r>
  <r>
    <n v="283"/>
    <x v="3"/>
    <x v="362"/>
    <d v="2012-10-25T00:00:00"/>
    <x v="0"/>
    <s v="100/300"/>
    <n v="500"/>
    <x v="360"/>
    <n v="0"/>
    <x v="360"/>
    <x v="1"/>
    <x v="2"/>
    <x v="2"/>
    <x v="1"/>
    <s v="own-child"/>
    <x v="156"/>
    <x v="160"/>
    <x v="13"/>
    <x v="2"/>
    <x v="0"/>
    <x v="0"/>
    <x v="3"/>
    <x v="4"/>
    <x v="5"/>
    <x v="362"/>
    <x v="21"/>
    <x v="1"/>
    <x v="2"/>
    <x v="1"/>
    <x v="0"/>
    <x v="1"/>
    <x v="330"/>
    <x v="20"/>
    <n v="6100"/>
    <x v="308"/>
    <s v="Mercedes"/>
    <s v="ML350"/>
    <n v="2011"/>
    <x v="0"/>
    <n v="0"/>
  </r>
  <r>
    <n v="291"/>
    <x v="35"/>
    <x v="363"/>
    <d v="2006-04-13T00:00:00"/>
    <x v="0"/>
    <s v="500/1000"/>
    <n v="1000"/>
    <x v="361"/>
    <n v="0"/>
    <x v="361"/>
    <x v="1"/>
    <x v="5"/>
    <x v="12"/>
    <x v="18"/>
    <s v="own-child"/>
    <x v="1"/>
    <x v="161"/>
    <x v="0"/>
    <x v="3"/>
    <x v="1"/>
    <x v="1"/>
    <x v="0"/>
    <x v="0"/>
    <x v="4"/>
    <x v="363"/>
    <x v="1"/>
    <x v="0"/>
    <x v="2"/>
    <x v="2"/>
    <x v="0"/>
    <x v="0"/>
    <x v="331"/>
    <x v="299"/>
    <n v="620"/>
    <x v="147"/>
    <s v="Volkswagen"/>
    <s v="Passat"/>
    <n v="2005"/>
    <x v="0"/>
    <n v="0"/>
  </r>
  <r>
    <n v="162"/>
    <x v="14"/>
    <x v="364"/>
    <d v="2006-02-21T00:00:00"/>
    <x v="1"/>
    <s v="100/300"/>
    <n v="1000"/>
    <x v="362"/>
    <n v="0"/>
    <x v="362"/>
    <x v="1"/>
    <x v="4"/>
    <x v="12"/>
    <x v="14"/>
    <s v="wife"/>
    <x v="157"/>
    <x v="0"/>
    <x v="33"/>
    <x v="3"/>
    <x v="1"/>
    <x v="1"/>
    <x v="1"/>
    <x v="5"/>
    <x v="2"/>
    <x v="364"/>
    <x v="2"/>
    <x v="0"/>
    <x v="1"/>
    <x v="1"/>
    <x v="1"/>
    <x v="2"/>
    <x v="332"/>
    <x v="300"/>
    <n v="720"/>
    <x v="309"/>
    <s v="BMW"/>
    <s v="X5"/>
    <n v="2013"/>
    <x v="0"/>
    <n v="0"/>
  </r>
  <r>
    <n v="154"/>
    <x v="31"/>
    <x v="365"/>
    <d v="2003-12-17T00:00:00"/>
    <x v="2"/>
    <s v="250/500"/>
    <n v="2000"/>
    <x v="363"/>
    <n v="7000000"/>
    <x v="363"/>
    <x v="1"/>
    <x v="4"/>
    <x v="8"/>
    <x v="8"/>
    <s v="own-child"/>
    <x v="94"/>
    <x v="0"/>
    <x v="51"/>
    <x v="1"/>
    <x v="1"/>
    <x v="3"/>
    <x v="1"/>
    <x v="0"/>
    <x v="6"/>
    <x v="365"/>
    <x v="10"/>
    <x v="0"/>
    <x v="1"/>
    <x v="2"/>
    <x v="1"/>
    <x v="1"/>
    <x v="333"/>
    <x v="174"/>
    <n v="280"/>
    <x v="221"/>
    <s v="Volkswagen"/>
    <s v="Passat"/>
    <n v="2015"/>
    <x v="1"/>
    <n v="0"/>
  </r>
  <r>
    <n v="289"/>
    <x v="26"/>
    <x v="366"/>
    <d v="1999-07-31T00:00:00"/>
    <x v="0"/>
    <s v="500/1000"/>
    <n v="2000"/>
    <x v="364"/>
    <n v="0"/>
    <x v="364"/>
    <x v="1"/>
    <x v="2"/>
    <x v="12"/>
    <x v="11"/>
    <s v="own-child"/>
    <x v="158"/>
    <x v="162"/>
    <x v="50"/>
    <x v="0"/>
    <x v="3"/>
    <x v="1"/>
    <x v="4"/>
    <x v="1"/>
    <x v="5"/>
    <x v="366"/>
    <x v="12"/>
    <x v="0"/>
    <x v="2"/>
    <x v="0"/>
    <x v="1"/>
    <x v="0"/>
    <x v="334"/>
    <x v="301"/>
    <n v="6000"/>
    <x v="310"/>
    <s v="Toyota"/>
    <s v="Highlander"/>
    <n v="1996"/>
    <x v="1"/>
    <n v="0"/>
  </r>
  <r>
    <n v="10"/>
    <x v="41"/>
    <x v="367"/>
    <d v="2014-08-05T00:00:00"/>
    <x v="1"/>
    <s v="250/500"/>
    <n v="1000"/>
    <x v="365"/>
    <n v="0"/>
    <x v="365"/>
    <x v="1"/>
    <x v="6"/>
    <x v="0"/>
    <x v="12"/>
    <s v="wife"/>
    <x v="1"/>
    <x v="163"/>
    <x v="52"/>
    <x v="0"/>
    <x v="0"/>
    <x v="1"/>
    <x v="0"/>
    <x v="5"/>
    <x v="5"/>
    <x v="367"/>
    <x v="0"/>
    <x v="0"/>
    <x v="1"/>
    <x v="1"/>
    <x v="0"/>
    <x v="1"/>
    <x v="335"/>
    <x v="302"/>
    <n v="8900"/>
    <x v="311"/>
    <s v="Accura"/>
    <s v="TL"/>
    <n v="2011"/>
    <x v="0"/>
    <n v="0"/>
  </r>
  <r>
    <n v="309"/>
    <x v="26"/>
    <x v="368"/>
    <d v="2011-06-05T00:00:00"/>
    <x v="2"/>
    <s v="500/1000"/>
    <n v="500"/>
    <x v="366"/>
    <n v="0"/>
    <x v="366"/>
    <x v="0"/>
    <x v="1"/>
    <x v="8"/>
    <x v="11"/>
    <s v="other-relative"/>
    <x v="159"/>
    <x v="0"/>
    <x v="31"/>
    <x v="2"/>
    <x v="2"/>
    <x v="0"/>
    <x v="3"/>
    <x v="4"/>
    <x v="5"/>
    <x v="368"/>
    <x v="12"/>
    <x v="2"/>
    <x v="0"/>
    <x v="1"/>
    <x v="3"/>
    <x v="1"/>
    <x v="336"/>
    <x v="303"/>
    <n v="15560"/>
    <x v="312"/>
    <s v="Dodge"/>
    <s v="RAM"/>
    <n v="2002"/>
    <x v="1"/>
    <n v="0"/>
  </r>
  <r>
    <n v="396"/>
    <x v="37"/>
    <x v="369"/>
    <d v="1992-10-11T00:00:00"/>
    <x v="1"/>
    <s v="100/300"/>
    <n v="1000"/>
    <x v="367"/>
    <n v="0"/>
    <x v="367"/>
    <x v="0"/>
    <x v="5"/>
    <x v="9"/>
    <x v="20"/>
    <s v="other-relative"/>
    <x v="1"/>
    <x v="164"/>
    <x v="8"/>
    <x v="2"/>
    <x v="3"/>
    <x v="0"/>
    <x v="3"/>
    <x v="5"/>
    <x v="0"/>
    <x v="369"/>
    <x v="9"/>
    <x v="1"/>
    <x v="0"/>
    <x v="2"/>
    <x v="3"/>
    <x v="2"/>
    <x v="337"/>
    <x v="81"/>
    <n v="5840"/>
    <x v="313"/>
    <s v="Saab"/>
    <n v="93"/>
    <n v="1995"/>
    <x v="1"/>
    <n v="0"/>
  </r>
  <r>
    <n v="273"/>
    <x v="3"/>
    <x v="370"/>
    <d v="2010-02-17T00:00:00"/>
    <x v="0"/>
    <s v="500/1000"/>
    <n v="1000"/>
    <x v="368"/>
    <n v="0"/>
    <x v="368"/>
    <x v="1"/>
    <x v="1"/>
    <x v="13"/>
    <x v="8"/>
    <s v="own-child"/>
    <x v="1"/>
    <x v="0"/>
    <x v="50"/>
    <x v="2"/>
    <x v="0"/>
    <x v="2"/>
    <x v="0"/>
    <x v="1"/>
    <x v="1"/>
    <x v="370"/>
    <x v="16"/>
    <x v="3"/>
    <x v="1"/>
    <x v="0"/>
    <x v="0"/>
    <x v="0"/>
    <x v="338"/>
    <x v="304"/>
    <n v="8020"/>
    <x v="314"/>
    <s v="Honda"/>
    <s v="Accord"/>
    <n v="2015"/>
    <x v="1"/>
    <n v="0"/>
  </r>
  <r>
    <n v="129"/>
    <x v="22"/>
    <x v="371"/>
    <d v="2007-05-06T00:00:00"/>
    <x v="2"/>
    <s v="500/1000"/>
    <n v="2000"/>
    <x v="369"/>
    <n v="0"/>
    <x v="369"/>
    <x v="1"/>
    <x v="1"/>
    <x v="2"/>
    <x v="17"/>
    <s v="husband"/>
    <x v="118"/>
    <x v="0"/>
    <x v="6"/>
    <x v="0"/>
    <x v="3"/>
    <x v="2"/>
    <x v="3"/>
    <x v="0"/>
    <x v="4"/>
    <x v="371"/>
    <x v="2"/>
    <x v="0"/>
    <x v="2"/>
    <x v="0"/>
    <x v="2"/>
    <x v="1"/>
    <x v="339"/>
    <x v="305"/>
    <n v="6760"/>
    <x v="315"/>
    <s v="Suburu"/>
    <s v="Forrestor"/>
    <n v="2009"/>
    <x v="1"/>
    <n v="0"/>
  </r>
  <r>
    <n v="140"/>
    <x v="14"/>
    <x v="372"/>
    <d v="1997-05-01T00:00:00"/>
    <x v="0"/>
    <s v="250/500"/>
    <n v="2000"/>
    <x v="370"/>
    <n v="6000000"/>
    <x v="370"/>
    <x v="1"/>
    <x v="6"/>
    <x v="3"/>
    <x v="5"/>
    <s v="wife"/>
    <x v="160"/>
    <x v="0"/>
    <x v="55"/>
    <x v="3"/>
    <x v="1"/>
    <x v="1"/>
    <x v="1"/>
    <x v="4"/>
    <x v="2"/>
    <x v="372"/>
    <x v="23"/>
    <x v="0"/>
    <x v="0"/>
    <x v="0"/>
    <x v="0"/>
    <x v="1"/>
    <x v="201"/>
    <x v="218"/>
    <n v="680"/>
    <x v="316"/>
    <s v="Honda"/>
    <s v="Civic"/>
    <n v="2002"/>
    <x v="0"/>
    <n v="0"/>
  </r>
  <r>
    <n v="419"/>
    <x v="38"/>
    <x v="373"/>
    <d v="1998-01-28T00:00:00"/>
    <x v="2"/>
    <s v="500/1000"/>
    <n v="2000"/>
    <x v="371"/>
    <n v="6000000"/>
    <x v="371"/>
    <x v="0"/>
    <x v="3"/>
    <x v="10"/>
    <x v="14"/>
    <s v="unmarried"/>
    <x v="161"/>
    <x v="0"/>
    <x v="57"/>
    <x v="2"/>
    <x v="0"/>
    <x v="1"/>
    <x v="0"/>
    <x v="0"/>
    <x v="5"/>
    <x v="373"/>
    <x v="18"/>
    <x v="2"/>
    <x v="1"/>
    <x v="1"/>
    <x v="1"/>
    <x v="0"/>
    <x v="340"/>
    <x v="306"/>
    <n v="10380"/>
    <x v="317"/>
    <s v="Suburu"/>
    <s v="Forrestor"/>
    <n v="2012"/>
    <x v="1"/>
    <n v="0"/>
  </r>
  <r>
    <n v="315"/>
    <x v="4"/>
    <x v="374"/>
    <d v="1993-05-05T00:00:00"/>
    <x v="2"/>
    <s v="250/500"/>
    <n v="1000"/>
    <x v="372"/>
    <n v="6000000"/>
    <x v="372"/>
    <x v="1"/>
    <x v="4"/>
    <x v="2"/>
    <x v="1"/>
    <s v="other-relative"/>
    <x v="1"/>
    <x v="56"/>
    <x v="58"/>
    <x v="2"/>
    <x v="3"/>
    <x v="2"/>
    <x v="3"/>
    <x v="2"/>
    <x v="3"/>
    <x v="374"/>
    <x v="11"/>
    <x v="1"/>
    <x v="1"/>
    <x v="0"/>
    <x v="1"/>
    <x v="0"/>
    <x v="341"/>
    <x v="307"/>
    <n v="4860"/>
    <x v="318"/>
    <s v="Volkswagen"/>
    <s v="Jetta"/>
    <n v="2006"/>
    <x v="1"/>
    <n v="0"/>
  </r>
  <r>
    <n v="72"/>
    <x v="2"/>
    <x v="375"/>
    <d v="1994-08-06T00:00:00"/>
    <x v="0"/>
    <s v="500/1000"/>
    <n v="500"/>
    <x v="373"/>
    <n v="0"/>
    <x v="373"/>
    <x v="1"/>
    <x v="2"/>
    <x v="0"/>
    <x v="20"/>
    <s v="own-child"/>
    <x v="1"/>
    <x v="165"/>
    <x v="29"/>
    <x v="0"/>
    <x v="2"/>
    <x v="0"/>
    <x v="4"/>
    <x v="4"/>
    <x v="2"/>
    <x v="375"/>
    <x v="10"/>
    <x v="0"/>
    <x v="1"/>
    <x v="0"/>
    <x v="1"/>
    <x v="2"/>
    <x v="342"/>
    <x v="308"/>
    <n v="6620"/>
    <x v="114"/>
    <s v="Dodge"/>
    <s v="Neon"/>
    <n v="2013"/>
    <x v="1"/>
    <n v="0"/>
  </r>
  <r>
    <n v="32"/>
    <x v="13"/>
    <x v="376"/>
    <d v="2014-11-14T00:00:00"/>
    <x v="0"/>
    <s v="100/300"/>
    <n v="2000"/>
    <x v="374"/>
    <n v="6000000"/>
    <x v="374"/>
    <x v="0"/>
    <x v="6"/>
    <x v="6"/>
    <x v="18"/>
    <s v="not-in-family"/>
    <x v="1"/>
    <x v="166"/>
    <x v="24"/>
    <x v="0"/>
    <x v="0"/>
    <x v="2"/>
    <x v="2"/>
    <x v="1"/>
    <x v="6"/>
    <x v="376"/>
    <x v="16"/>
    <x v="0"/>
    <x v="1"/>
    <x v="0"/>
    <x v="0"/>
    <x v="1"/>
    <x v="343"/>
    <x v="309"/>
    <n v="4550"/>
    <x v="319"/>
    <s v="Toyota"/>
    <s v="Corolla"/>
    <n v="2009"/>
    <x v="1"/>
    <n v="0"/>
  </r>
  <r>
    <n v="230"/>
    <x v="3"/>
    <x v="377"/>
    <d v="1991-12-14T00:00:00"/>
    <x v="1"/>
    <s v="100/300"/>
    <n v="1000"/>
    <x v="375"/>
    <n v="0"/>
    <x v="375"/>
    <x v="0"/>
    <x v="6"/>
    <x v="10"/>
    <x v="0"/>
    <s v="own-child"/>
    <x v="1"/>
    <x v="0"/>
    <x v="42"/>
    <x v="2"/>
    <x v="0"/>
    <x v="1"/>
    <x v="4"/>
    <x v="2"/>
    <x v="3"/>
    <x v="377"/>
    <x v="4"/>
    <x v="1"/>
    <x v="1"/>
    <x v="2"/>
    <x v="1"/>
    <x v="1"/>
    <x v="344"/>
    <x v="310"/>
    <n v="4420"/>
    <x v="320"/>
    <s v="Audi"/>
    <s v="A3"/>
    <n v="2006"/>
    <x v="1"/>
    <n v="0"/>
  </r>
  <r>
    <n v="157"/>
    <x v="30"/>
    <x v="378"/>
    <d v="2009-10-21T00:00:00"/>
    <x v="0"/>
    <s v="100/300"/>
    <n v="2000"/>
    <x v="376"/>
    <n v="0"/>
    <x v="376"/>
    <x v="0"/>
    <x v="3"/>
    <x v="6"/>
    <x v="1"/>
    <s v="other-relative"/>
    <x v="1"/>
    <x v="167"/>
    <x v="5"/>
    <x v="2"/>
    <x v="3"/>
    <x v="0"/>
    <x v="3"/>
    <x v="1"/>
    <x v="0"/>
    <x v="378"/>
    <x v="8"/>
    <x v="1"/>
    <x v="1"/>
    <x v="0"/>
    <x v="0"/>
    <x v="2"/>
    <x v="76"/>
    <x v="74"/>
    <n v="5080"/>
    <x v="321"/>
    <s v="Mercedes"/>
    <s v="E400"/>
    <n v="2013"/>
    <x v="0"/>
    <n v="0"/>
  </r>
  <r>
    <n v="265"/>
    <x v="3"/>
    <x v="379"/>
    <d v="1997-09-29T00:00:00"/>
    <x v="1"/>
    <s v="250/500"/>
    <n v="2000"/>
    <x v="377"/>
    <n v="6000000"/>
    <x v="377"/>
    <x v="1"/>
    <x v="2"/>
    <x v="0"/>
    <x v="0"/>
    <s v="own-child"/>
    <x v="162"/>
    <x v="0"/>
    <x v="6"/>
    <x v="2"/>
    <x v="0"/>
    <x v="2"/>
    <x v="0"/>
    <x v="0"/>
    <x v="5"/>
    <x v="379"/>
    <x v="22"/>
    <x v="1"/>
    <x v="1"/>
    <x v="0"/>
    <x v="2"/>
    <x v="1"/>
    <x v="345"/>
    <x v="310"/>
    <n v="4420"/>
    <x v="322"/>
    <s v="Audi"/>
    <s v="A5"/>
    <n v="2014"/>
    <x v="1"/>
    <n v="0"/>
  </r>
  <r>
    <n v="47"/>
    <x v="6"/>
    <x v="380"/>
    <d v="2003-12-31T00:00:00"/>
    <x v="2"/>
    <s v="500/1000"/>
    <n v="500"/>
    <x v="378"/>
    <n v="0"/>
    <x v="378"/>
    <x v="1"/>
    <x v="1"/>
    <x v="8"/>
    <x v="5"/>
    <s v="other-relative"/>
    <x v="163"/>
    <x v="50"/>
    <x v="22"/>
    <x v="0"/>
    <x v="3"/>
    <x v="1"/>
    <x v="0"/>
    <x v="0"/>
    <x v="3"/>
    <x v="380"/>
    <x v="6"/>
    <x v="0"/>
    <x v="0"/>
    <x v="0"/>
    <x v="2"/>
    <x v="1"/>
    <x v="103"/>
    <x v="55"/>
    <n v="5720"/>
    <x v="57"/>
    <s v="Chevrolet"/>
    <s v="Malibu"/>
    <n v="2012"/>
    <x v="1"/>
    <n v="1"/>
  </r>
  <r>
    <n v="113"/>
    <x v="2"/>
    <x v="381"/>
    <d v="2008-01-01T00:00:00"/>
    <x v="0"/>
    <s v="250/500"/>
    <n v="2000"/>
    <x v="379"/>
    <n v="0"/>
    <x v="379"/>
    <x v="0"/>
    <x v="1"/>
    <x v="8"/>
    <x v="6"/>
    <s v="not-in-family"/>
    <x v="29"/>
    <x v="168"/>
    <x v="9"/>
    <x v="2"/>
    <x v="2"/>
    <x v="1"/>
    <x v="3"/>
    <x v="2"/>
    <x v="3"/>
    <x v="381"/>
    <x v="12"/>
    <x v="1"/>
    <x v="1"/>
    <x v="1"/>
    <x v="0"/>
    <x v="0"/>
    <x v="346"/>
    <x v="167"/>
    <n v="5550"/>
    <x v="176"/>
    <s v="Nissan"/>
    <s v="Ultima"/>
    <n v="2004"/>
    <x v="0"/>
    <n v="0"/>
  </r>
  <r>
    <n v="289"/>
    <x v="35"/>
    <x v="382"/>
    <d v="2004-05-31T00:00:00"/>
    <x v="2"/>
    <s v="250/500"/>
    <n v="2000"/>
    <x v="380"/>
    <n v="0"/>
    <x v="380"/>
    <x v="0"/>
    <x v="6"/>
    <x v="3"/>
    <x v="14"/>
    <s v="unmarried"/>
    <x v="1"/>
    <x v="0"/>
    <x v="24"/>
    <x v="0"/>
    <x v="2"/>
    <x v="1"/>
    <x v="4"/>
    <x v="5"/>
    <x v="2"/>
    <x v="382"/>
    <x v="22"/>
    <x v="0"/>
    <x v="0"/>
    <x v="1"/>
    <x v="3"/>
    <x v="0"/>
    <x v="53"/>
    <x v="311"/>
    <n v="6270"/>
    <x v="323"/>
    <s v="BMW"/>
    <s v="3 Series"/>
    <n v="1995"/>
    <x v="0"/>
    <n v="0"/>
  </r>
  <r>
    <n v="254"/>
    <x v="3"/>
    <x v="383"/>
    <d v="2013-12-18T00:00:00"/>
    <x v="2"/>
    <s v="250/500"/>
    <n v="2000"/>
    <x v="381"/>
    <n v="0"/>
    <x v="381"/>
    <x v="1"/>
    <x v="4"/>
    <x v="9"/>
    <x v="2"/>
    <s v="own-child"/>
    <x v="1"/>
    <x v="0"/>
    <x v="59"/>
    <x v="0"/>
    <x v="3"/>
    <x v="1"/>
    <x v="0"/>
    <x v="2"/>
    <x v="1"/>
    <x v="383"/>
    <x v="16"/>
    <x v="0"/>
    <x v="2"/>
    <x v="2"/>
    <x v="0"/>
    <x v="0"/>
    <x v="347"/>
    <x v="312"/>
    <n v="18220"/>
    <x v="324"/>
    <s v="Audi"/>
    <s v="A5"/>
    <n v="2014"/>
    <x v="1"/>
    <n v="0"/>
  </r>
  <r>
    <n v="115"/>
    <x v="22"/>
    <x v="384"/>
    <d v="2000-08-24T00:00:00"/>
    <x v="0"/>
    <s v="500/1000"/>
    <n v="500"/>
    <x v="382"/>
    <n v="0"/>
    <x v="382"/>
    <x v="0"/>
    <x v="5"/>
    <x v="5"/>
    <x v="5"/>
    <s v="wife"/>
    <x v="150"/>
    <x v="0"/>
    <x v="40"/>
    <x v="2"/>
    <x v="3"/>
    <x v="1"/>
    <x v="2"/>
    <x v="2"/>
    <x v="5"/>
    <x v="384"/>
    <x v="11"/>
    <x v="1"/>
    <x v="2"/>
    <x v="0"/>
    <x v="1"/>
    <x v="0"/>
    <x v="348"/>
    <x v="313"/>
    <n v="5460"/>
    <x v="325"/>
    <s v="Ford"/>
    <s v="F150"/>
    <n v="2007"/>
    <x v="1"/>
    <n v="0"/>
  </r>
  <r>
    <n v="236"/>
    <x v="11"/>
    <x v="385"/>
    <d v="1992-10-14T00:00:00"/>
    <x v="0"/>
    <s v="250/500"/>
    <n v="1000"/>
    <x v="383"/>
    <n v="0"/>
    <x v="383"/>
    <x v="1"/>
    <x v="3"/>
    <x v="6"/>
    <x v="13"/>
    <s v="not-in-family"/>
    <x v="1"/>
    <x v="169"/>
    <x v="43"/>
    <x v="0"/>
    <x v="0"/>
    <x v="0"/>
    <x v="4"/>
    <x v="4"/>
    <x v="6"/>
    <x v="385"/>
    <x v="16"/>
    <x v="0"/>
    <x v="2"/>
    <x v="1"/>
    <x v="3"/>
    <x v="1"/>
    <x v="349"/>
    <x v="314"/>
    <n v="5570"/>
    <x v="326"/>
    <s v="Mercedes"/>
    <s v="E400"/>
    <n v="2014"/>
    <x v="1"/>
    <n v="0"/>
  </r>
  <r>
    <n v="7"/>
    <x v="42"/>
    <x v="386"/>
    <d v="1991-11-16T00:00:00"/>
    <x v="1"/>
    <s v="500/1000"/>
    <n v="1000"/>
    <x v="384"/>
    <n v="0"/>
    <x v="384"/>
    <x v="0"/>
    <x v="2"/>
    <x v="1"/>
    <x v="7"/>
    <s v="wife"/>
    <x v="1"/>
    <x v="170"/>
    <x v="18"/>
    <x v="0"/>
    <x v="3"/>
    <x v="2"/>
    <x v="3"/>
    <x v="2"/>
    <x v="4"/>
    <x v="386"/>
    <x v="7"/>
    <x v="0"/>
    <x v="1"/>
    <x v="0"/>
    <x v="0"/>
    <x v="1"/>
    <x v="350"/>
    <x v="315"/>
    <n v="6940"/>
    <x v="327"/>
    <s v="Honda"/>
    <s v="Accord"/>
    <n v="2003"/>
    <x v="1"/>
    <n v="0"/>
  </r>
  <r>
    <n v="208"/>
    <x v="31"/>
    <x v="387"/>
    <d v="1995-10-08T00:00:00"/>
    <x v="0"/>
    <s v="100/300"/>
    <n v="2000"/>
    <x v="385"/>
    <n v="5000000"/>
    <x v="385"/>
    <x v="0"/>
    <x v="6"/>
    <x v="1"/>
    <x v="5"/>
    <s v="wife"/>
    <x v="1"/>
    <x v="0"/>
    <x v="55"/>
    <x v="2"/>
    <x v="0"/>
    <x v="2"/>
    <x v="3"/>
    <x v="2"/>
    <x v="0"/>
    <x v="387"/>
    <x v="12"/>
    <x v="1"/>
    <x v="0"/>
    <x v="1"/>
    <x v="3"/>
    <x v="1"/>
    <x v="351"/>
    <x v="59"/>
    <n v="11420"/>
    <x v="328"/>
    <s v="Nissan"/>
    <s v="Ultima"/>
    <n v="1999"/>
    <x v="1"/>
    <n v="0"/>
  </r>
  <r>
    <n v="126"/>
    <x v="8"/>
    <x v="388"/>
    <d v="2007-10-28T00:00:00"/>
    <x v="0"/>
    <s v="500/1000"/>
    <n v="1000"/>
    <x v="386"/>
    <n v="2000000"/>
    <x v="386"/>
    <x v="1"/>
    <x v="6"/>
    <x v="7"/>
    <x v="0"/>
    <s v="own-child"/>
    <x v="164"/>
    <x v="155"/>
    <x v="59"/>
    <x v="0"/>
    <x v="3"/>
    <x v="0"/>
    <x v="4"/>
    <x v="4"/>
    <x v="6"/>
    <x v="388"/>
    <x v="7"/>
    <x v="0"/>
    <x v="0"/>
    <x v="0"/>
    <x v="0"/>
    <x v="1"/>
    <x v="352"/>
    <x v="316"/>
    <n v="6770"/>
    <x v="329"/>
    <s v="Suburu"/>
    <s v="Legacy"/>
    <n v="2009"/>
    <x v="1"/>
    <n v="0"/>
  </r>
  <r>
    <n v="48"/>
    <x v="21"/>
    <x v="389"/>
    <d v="2008-05-16T00:00:00"/>
    <x v="2"/>
    <s v="100/300"/>
    <n v="500"/>
    <x v="387"/>
    <n v="0"/>
    <x v="387"/>
    <x v="1"/>
    <x v="6"/>
    <x v="8"/>
    <x v="6"/>
    <s v="unmarried"/>
    <x v="1"/>
    <x v="5"/>
    <x v="8"/>
    <x v="0"/>
    <x v="2"/>
    <x v="0"/>
    <x v="4"/>
    <x v="4"/>
    <x v="2"/>
    <x v="389"/>
    <x v="17"/>
    <x v="0"/>
    <x v="0"/>
    <x v="1"/>
    <x v="0"/>
    <x v="2"/>
    <x v="353"/>
    <x v="317"/>
    <n v="4840"/>
    <x v="330"/>
    <s v="Saab"/>
    <s v="92x"/>
    <n v="2005"/>
    <x v="1"/>
    <n v="0"/>
  </r>
  <r>
    <n v="297"/>
    <x v="0"/>
    <x v="390"/>
    <d v="2009-06-22T00:00:00"/>
    <x v="1"/>
    <s v="250/500"/>
    <n v="1000"/>
    <x v="388"/>
    <n v="3000000"/>
    <x v="388"/>
    <x v="0"/>
    <x v="1"/>
    <x v="8"/>
    <x v="6"/>
    <s v="other-relative"/>
    <x v="165"/>
    <x v="98"/>
    <x v="0"/>
    <x v="2"/>
    <x v="0"/>
    <x v="2"/>
    <x v="2"/>
    <x v="2"/>
    <x v="2"/>
    <x v="390"/>
    <x v="18"/>
    <x v="1"/>
    <x v="1"/>
    <x v="1"/>
    <x v="1"/>
    <x v="2"/>
    <x v="354"/>
    <x v="318"/>
    <n v="5720"/>
    <x v="331"/>
    <s v="Toyota"/>
    <s v="Highlander"/>
    <n v="2013"/>
    <x v="1"/>
    <n v="0"/>
  </r>
  <r>
    <n v="160"/>
    <x v="31"/>
    <x v="391"/>
    <d v="2012-05-10T00:00:00"/>
    <x v="0"/>
    <s v="100/300"/>
    <n v="1000"/>
    <x v="389"/>
    <n v="0"/>
    <x v="389"/>
    <x v="1"/>
    <x v="5"/>
    <x v="5"/>
    <x v="2"/>
    <s v="husband"/>
    <x v="1"/>
    <x v="171"/>
    <x v="12"/>
    <x v="2"/>
    <x v="2"/>
    <x v="2"/>
    <x v="2"/>
    <x v="2"/>
    <x v="0"/>
    <x v="391"/>
    <x v="0"/>
    <x v="1"/>
    <x v="2"/>
    <x v="2"/>
    <x v="3"/>
    <x v="2"/>
    <x v="355"/>
    <x v="319"/>
    <n v="10340"/>
    <x v="332"/>
    <s v="Saab"/>
    <n v="95"/>
    <n v="2003"/>
    <x v="1"/>
    <n v="0"/>
  </r>
  <r>
    <n v="406"/>
    <x v="12"/>
    <x v="392"/>
    <d v="2003-10-02T00:00:00"/>
    <x v="0"/>
    <s v="250/500"/>
    <n v="2000"/>
    <x v="390"/>
    <n v="0"/>
    <x v="390"/>
    <x v="0"/>
    <x v="0"/>
    <x v="8"/>
    <x v="17"/>
    <s v="own-child"/>
    <x v="1"/>
    <x v="172"/>
    <x v="17"/>
    <x v="2"/>
    <x v="3"/>
    <x v="2"/>
    <x v="3"/>
    <x v="4"/>
    <x v="5"/>
    <x v="392"/>
    <x v="12"/>
    <x v="1"/>
    <x v="1"/>
    <x v="0"/>
    <x v="0"/>
    <x v="1"/>
    <x v="328"/>
    <x v="320"/>
    <n v="5460"/>
    <x v="333"/>
    <s v="Volkswagen"/>
    <s v="Jetta"/>
    <n v="2009"/>
    <x v="1"/>
    <n v="0"/>
  </r>
  <r>
    <n v="157"/>
    <x v="14"/>
    <x v="393"/>
    <d v="1990-08-02T00:00:00"/>
    <x v="1"/>
    <s v="500/1000"/>
    <n v="500"/>
    <x v="391"/>
    <n v="7000000"/>
    <x v="391"/>
    <x v="0"/>
    <x v="5"/>
    <x v="13"/>
    <x v="1"/>
    <s v="own-child"/>
    <x v="62"/>
    <x v="173"/>
    <x v="30"/>
    <x v="2"/>
    <x v="2"/>
    <x v="0"/>
    <x v="3"/>
    <x v="3"/>
    <x v="2"/>
    <x v="393"/>
    <x v="23"/>
    <x v="2"/>
    <x v="2"/>
    <x v="2"/>
    <x v="0"/>
    <x v="2"/>
    <x v="109"/>
    <x v="102"/>
    <n v="9540"/>
    <x v="110"/>
    <s v="Accura"/>
    <s v="TL"/>
    <n v="2011"/>
    <x v="0"/>
    <n v="0"/>
  </r>
  <r>
    <n v="146"/>
    <x v="14"/>
    <x v="394"/>
    <d v="1997-09-16T00:00:00"/>
    <x v="0"/>
    <s v="250/500"/>
    <n v="2000"/>
    <x v="392"/>
    <n v="0"/>
    <x v="392"/>
    <x v="1"/>
    <x v="1"/>
    <x v="1"/>
    <x v="17"/>
    <s v="not-in-family"/>
    <x v="166"/>
    <x v="94"/>
    <x v="14"/>
    <x v="1"/>
    <x v="1"/>
    <x v="1"/>
    <x v="1"/>
    <x v="0"/>
    <x v="5"/>
    <x v="394"/>
    <x v="19"/>
    <x v="0"/>
    <x v="0"/>
    <x v="2"/>
    <x v="1"/>
    <x v="2"/>
    <x v="356"/>
    <x v="277"/>
    <n v="580"/>
    <x v="334"/>
    <s v="Accura"/>
    <s v="MDX"/>
    <n v="2015"/>
    <x v="1"/>
    <n v="0"/>
  </r>
  <r>
    <n v="409"/>
    <x v="37"/>
    <x v="395"/>
    <d v="1995-07-29T00:00:00"/>
    <x v="1"/>
    <s v="100/300"/>
    <n v="1000"/>
    <x v="393"/>
    <n v="6000000"/>
    <x v="393"/>
    <x v="0"/>
    <x v="5"/>
    <x v="9"/>
    <x v="20"/>
    <s v="unmarried"/>
    <x v="127"/>
    <x v="0"/>
    <x v="10"/>
    <x v="0"/>
    <x v="0"/>
    <x v="0"/>
    <x v="3"/>
    <x v="2"/>
    <x v="1"/>
    <x v="395"/>
    <x v="4"/>
    <x v="0"/>
    <x v="2"/>
    <x v="0"/>
    <x v="1"/>
    <x v="1"/>
    <x v="357"/>
    <x v="321"/>
    <n v="12220"/>
    <x v="335"/>
    <s v="Ford"/>
    <s v="Fusion"/>
    <n v="2012"/>
    <x v="1"/>
    <n v="0"/>
  </r>
  <r>
    <n v="252"/>
    <x v="35"/>
    <x v="396"/>
    <d v="2005-09-06T00:00:00"/>
    <x v="1"/>
    <s v="100/300"/>
    <n v="1000"/>
    <x v="394"/>
    <n v="0"/>
    <x v="394"/>
    <x v="0"/>
    <x v="4"/>
    <x v="12"/>
    <x v="8"/>
    <s v="wife"/>
    <x v="1"/>
    <x v="174"/>
    <x v="42"/>
    <x v="0"/>
    <x v="3"/>
    <x v="1"/>
    <x v="2"/>
    <x v="1"/>
    <x v="4"/>
    <x v="396"/>
    <x v="18"/>
    <x v="0"/>
    <x v="0"/>
    <x v="1"/>
    <x v="0"/>
    <x v="0"/>
    <x v="358"/>
    <x v="322"/>
    <n v="7490"/>
    <x v="336"/>
    <s v="Jeep"/>
    <s v="Grand Cherokee"/>
    <n v="2003"/>
    <x v="1"/>
    <n v="0"/>
  </r>
  <r>
    <n v="6"/>
    <x v="28"/>
    <x v="397"/>
    <d v="1992-08-05T00:00:00"/>
    <x v="0"/>
    <s v="250/500"/>
    <n v="500"/>
    <x v="395"/>
    <n v="0"/>
    <x v="395"/>
    <x v="1"/>
    <x v="5"/>
    <x v="5"/>
    <x v="8"/>
    <s v="unmarried"/>
    <x v="1"/>
    <x v="175"/>
    <x v="4"/>
    <x v="1"/>
    <x v="1"/>
    <x v="3"/>
    <x v="0"/>
    <x v="4"/>
    <x v="0"/>
    <x v="397"/>
    <x v="2"/>
    <x v="0"/>
    <x v="1"/>
    <x v="1"/>
    <x v="3"/>
    <x v="0"/>
    <x v="307"/>
    <x v="277"/>
    <n v="290"/>
    <x v="337"/>
    <s v="Saab"/>
    <n v="95"/>
    <n v="2015"/>
    <x v="1"/>
    <n v="0"/>
  </r>
  <r>
    <n v="103"/>
    <x v="8"/>
    <x v="398"/>
    <d v="1993-01-22T00:00:00"/>
    <x v="1"/>
    <s v="100/300"/>
    <n v="1000"/>
    <x v="396"/>
    <n v="6000000"/>
    <x v="396"/>
    <x v="0"/>
    <x v="0"/>
    <x v="3"/>
    <x v="20"/>
    <s v="own-child"/>
    <x v="1"/>
    <x v="0"/>
    <x v="1"/>
    <x v="0"/>
    <x v="2"/>
    <x v="1"/>
    <x v="4"/>
    <x v="2"/>
    <x v="0"/>
    <x v="398"/>
    <x v="7"/>
    <x v="0"/>
    <x v="2"/>
    <x v="0"/>
    <x v="1"/>
    <x v="0"/>
    <x v="359"/>
    <x v="50"/>
    <n v="6410"/>
    <x v="338"/>
    <s v="Chevrolet"/>
    <s v="Malibu"/>
    <n v="2002"/>
    <x v="1"/>
    <n v="0"/>
  </r>
  <r>
    <n v="369"/>
    <x v="38"/>
    <x v="399"/>
    <d v="1995-05-20T00:00:00"/>
    <x v="0"/>
    <s v="250/500"/>
    <n v="2000"/>
    <x v="397"/>
    <n v="0"/>
    <x v="397"/>
    <x v="1"/>
    <x v="4"/>
    <x v="7"/>
    <x v="17"/>
    <s v="not-in-family"/>
    <x v="1"/>
    <x v="0"/>
    <x v="47"/>
    <x v="2"/>
    <x v="3"/>
    <x v="2"/>
    <x v="0"/>
    <x v="4"/>
    <x v="3"/>
    <x v="399"/>
    <x v="15"/>
    <x v="3"/>
    <x v="0"/>
    <x v="0"/>
    <x v="2"/>
    <x v="2"/>
    <x v="360"/>
    <x v="323"/>
    <n v="14180"/>
    <x v="339"/>
    <s v="Jeep"/>
    <s v="Wrangler"/>
    <n v="2012"/>
    <x v="1"/>
    <n v="0"/>
  </r>
  <r>
    <n v="261"/>
    <x v="35"/>
    <x v="400"/>
    <d v="1992-09-24T00:00:00"/>
    <x v="2"/>
    <s v="500/1000"/>
    <n v="1000"/>
    <x v="398"/>
    <n v="0"/>
    <x v="398"/>
    <x v="0"/>
    <x v="0"/>
    <x v="10"/>
    <x v="5"/>
    <s v="own-child"/>
    <x v="1"/>
    <x v="0"/>
    <x v="26"/>
    <x v="0"/>
    <x v="3"/>
    <x v="2"/>
    <x v="2"/>
    <x v="2"/>
    <x v="0"/>
    <x v="400"/>
    <x v="20"/>
    <x v="0"/>
    <x v="0"/>
    <x v="0"/>
    <x v="1"/>
    <x v="1"/>
    <x v="361"/>
    <x v="324"/>
    <n v="9180"/>
    <x v="340"/>
    <s v="Ford"/>
    <s v="Escape"/>
    <n v="2008"/>
    <x v="1"/>
    <n v="0"/>
  </r>
  <r>
    <n v="159"/>
    <x v="8"/>
    <x v="401"/>
    <d v="2007-07-20T00:00:00"/>
    <x v="1"/>
    <s v="100/300"/>
    <n v="2000"/>
    <x v="399"/>
    <n v="0"/>
    <x v="399"/>
    <x v="1"/>
    <x v="3"/>
    <x v="0"/>
    <x v="9"/>
    <s v="husband"/>
    <x v="167"/>
    <x v="176"/>
    <x v="20"/>
    <x v="2"/>
    <x v="2"/>
    <x v="0"/>
    <x v="4"/>
    <x v="2"/>
    <x v="0"/>
    <x v="401"/>
    <x v="6"/>
    <x v="1"/>
    <x v="0"/>
    <x v="2"/>
    <x v="1"/>
    <x v="2"/>
    <x v="362"/>
    <x v="325"/>
    <n v="4080"/>
    <x v="341"/>
    <s v="Mercedes"/>
    <s v="C300"/>
    <n v="2004"/>
    <x v="0"/>
    <n v="0"/>
  </r>
  <r>
    <n v="344"/>
    <x v="34"/>
    <x v="402"/>
    <d v="1992-04-28T00:00:00"/>
    <x v="1"/>
    <s v="100/300"/>
    <n v="2000"/>
    <x v="400"/>
    <n v="0"/>
    <x v="400"/>
    <x v="0"/>
    <x v="2"/>
    <x v="2"/>
    <x v="9"/>
    <s v="other-relative"/>
    <x v="1"/>
    <x v="0"/>
    <x v="40"/>
    <x v="0"/>
    <x v="0"/>
    <x v="1"/>
    <x v="4"/>
    <x v="5"/>
    <x v="5"/>
    <x v="402"/>
    <x v="8"/>
    <x v="0"/>
    <x v="1"/>
    <x v="1"/>
    <x v="0"/>
    <x v="2"/>
    <x v="363"/>
    <x v="326"/>
    <n v="15060"/>
    <x v="342"/>
    <s v="Audi"/>
    <s v="A5"/>
    <n v="2004"/>
    <x v="1"/>
    <n v="0"/>
  </r>
  <r>
    <n v="437"/>
    <x v="33"/>
    <x v="403"/>
    <d v="1998-01-19T00:00:00"/>
    <x v="0"/>
    <s v="500/1000"/>
    <n v="1000"/>
    <x v="401"/>
    <n v="0"/>
    <x v="401"/>
    <x v="1"/>
    <x v="3"/>
    <x v="3"/>
    <x v="19"/>
    <s v="unmarried"/>
    <x v="168"/>
    <x v="0"/>
    <x v="30"/>
    <x v="0"/>
    <x v="3"/>
    <x v="1"/>
    <x v="3"/>
    <x v="0"/>
    <x v="1"/>
    <x v="403"/>
    <x v="15"/>
    <x v="0"/>
    <x v="2"/>
    <x v="0"/>
    <x v="2"/>
    <x v="2"/>
    <x v="364"/>
    <x v="327"/>
    <n v="15360"/>
    <x v="343"/>
    <s v="Chevrolet"/>
    <s v="Silverado"/>
    <n v="2012"/>
    <x v="0"/>
    <n v="0"/>
  </r>
  <r>
    <n v="65"/>
    <x v="22"/>
    <x v="404"/>
    <d v="2009-09-08T00:00:00"/>
    <x v="1"/>
    <s v="100/300"/>
    <n v="500"/>
    <x v="402"/>
    <n v="4000000"/>
    <x v="402"/>
    <x v="1"/>
    <x v="3"/>
    <x v="10"/>
    <x v="9"/>
    <s v="wife"/>
    <x v="1"/>
    <x v="177"/>
    <x v="11"/>
    <x v="2"/>
    <x v="0"/>
    <x v="2"/>
    <x v="2"/>
    <x v="4"/>
    <x v="4"/>
    <x v="404"/>
    <x v="13"/>
    <x v="1"/>
    <x v="1"/>
    <x v="2"/>
    <x v="2"/>
    <x v="2"/>
    <x v="101"/>
    <x v="328"/>
    <n v="7980"/>
    <x v="344"/>
    <s v="Honda"/>
    <s v="Civic"/>
    <n v="1999"/>
    <x v="1"/>
    <n v="0"/>
  </r>
  <r>
    <n v="280"/>
    <x v="3"/>
    <x v="405"/>
    <d v="1994-12-18T00:00:00"/>
    <x v="0"/>
    <s v="500/1000"/>
    <n v="2000"/>
    <x v="403"/>
    <n v="0"/>
    <x v="403"/>
    <x v="0"/>
    <x v="0"/>
    <x v="12"/>
    <x v="20"/>
    <s v="husband"/>
    <x v="96"/>
    <x v="178"/>
    <x v="24"/>
    <x v="2"/>
    <x v="2"/>
    <x v="1"/>
    <x v="0"/>
    <x v="4"/>
    <x v="2"/>
    <x v="405"/>
    <x v="15"/>
    <x v="1"/>
    <x v="1"/>
    <x v="1"/>
    <x v="2"/>
    <x v="0"/>
    <x v="365"/>
    <x v="329"/>
    <n v="9640"/>
    <x v="345"/>
    <s v="Toyota"/>
    <s v="Corolla"/>
    <n v="1999"/>
    <x v="1"/>
    <n v="0"/>
  </r>
  <r>
    <n v="269"/>
    <x v="19"/>
    <x v="406"/>
    <d v="1996-08-23T00:00:00"/>
    <x v="1"/>
    <s v="500/1000"/>
    <n v="500"/>
    <x v="404"/>
    <n v="0"/>
    <x v="404"/>
    <x v="1"/>
    <x v="5"/>
    <x v="1"/>
    <x v="0"/>
    <s v="wife"/>
    <x v="169"/>
    <x v="179"/>
    <x v="23"/>
    <x v="2"/>
    <x v="0"/>
    <x v="2"/>
    <x v="0"/>
    <x v="1"/>
    <x v="4"/>
    <x v="406"/>
    <x v="0"/>
    <x v="1"/>
    <x v="1"/>
    <x v="1"/>
    <x v="1"/>
    <x v="2"/>
    <x v="366"/>
    <x v="330"/>
    <n v="4400"/>
    <x v="346"/>
    <s v="Suburu"/>
    <s v="Forrestor"/>
    <n v="2008"/>
    <x v="1"/>
    <n v="0"/>
  </r>
  <r>
    <n v="275"/>
    <x v="17"/>
    <x v="407"/>
    <d v="1991-11-20T00:00:00"/>
    <x v="0"/>
    <s v="250/500"/>
    <n v="2000"/>
    <x v="405"/>
    <n v="0"/>
    <x v="405"/>
    <x v="0"/>
    <x v="4"/>
    <x v="8"/>
    <x v="7"/>
    <s v="unmarried"/>
    <x v="1"/>
    <x v="170"/>
    <x v="10"/>
    <x v="0"/>
    <x v="2"/>
    <x v="1"/>
    <x v="2"/>
    <x v="3"/>
    <x v="1"/>
    <x v="407"/>
    <x v="18"/>
    <x v="0"/>
    <x v="1"/>
    <x v="0"/>
    <x v="2"/>
    <x v="0"/>
    <x v="367"/>
    <x v="331"/>
    <n v="7860"/>
    <x v="347"/>
    <s v="Chevrolet"/>
    <s v="Silverado"/>
    <n v="2001"/>
    <x v="1"/>
    <n v="0"/>
  </r>
  <r>
    <n v="265"/>
    <x v="19"/>
    <x v="408"/>
    <d v="1998-10-28T00:00:00"/>
    <x v="0"/>
    <s v="250/500"/>
    <n v="500"/>
    <x v="406"/>
    <n v="0"/>
    <x v="406"/>
    <x v="1"/>
    <x v="3"/>
    <x v="8"/>
    <x v="19"/>
    <s v="unmarried"/>
    <x v="1"/>
    <x v="0"/>
    <x v="16"/>
    <x v="1"/>
    <x v="1"/>
    <x v="3"/>
    <x v="1"/>
    <x v="5"/>
    <x v="3"/>
    <x v="408"/>
    <x v="19"/>
    <x v="0"/>
    <x v="2"/>
    <x v="2"/>
    <x v="2"/>
    <x v="2"/>
    <x v="307"/>
    <x v="332"/>
    <n v="580"/>
    <x v="337"/>
    <s v="Ford"/>
    <s v="Escape"/>
    <n v="1995"/>
    <x v="1"/>
    <n v="0"/>
  </r>
  <r>
    <n v="283"/>
    <x v="18"/>
    <x v="409"/>
    <d v="1997-07-14T00:00:00"/>
    <x v="1"/>
    <s v="100/300"/>
    <n v="2000"/>
    <x v="407"/>
    <n v="0"/>
    <x v="407"/>
    <x v="1"/>
    <x v="2"/>
    <x v="12"/>
    <x v="18"/>
    <s v="not-in-family"/>
    <x v="1"/>
    <x v="180"/>
    <x v="34"/>
    <x v="3"/>
    <x v="1"/>
    <x v="1"/>
    <x v="1"/>
    <x v="4"/>
    <x v="6"/>
    <x v="409"/>
    <x v="10"/>
    <x v="0"/>
    <x v="1"/>
    <x v="1"/>
    <x v="2"/>
    <x v="2"/>
    <x v="368"/>
    <x v="4"/>
    <n v="650"/>
    <x v="181"/>
    <s v="BMW"/>
    <s v="M5"/>
    <n v="2006"/>
    <x v="1"/>
    <n v="0"/>
  </r>
  <r>
    <n v="84"/>
    <x v="2"/>
    <x v="410"/>
    <d v="2003-04-09T00:00:00"/>
    <x v="0"/>
    <s v="250/500"/>
    <n v="1000"/>
    <x v="408"/>
    <n v="0"/>
    <x v="408"/>
    <x v="1"/>
    <x v="5"/>
    <x v="1"/>
    <x v="17"/>
    <s v="not-in-family"/>
    <x v="1"/>
    <x v="181"/>
    <x v="26"/>
    <x v="3"/>
    <x v="1"/>
    <x v="3"/>
    <x v="0"/>
    <x v="0"/>
    <x v="2"/>
    <x v="410"/>
    <x v="13"/>
    <x v="0"/>
    <x v="0"/>
    <x v="2"/>
    <x v="1"/>
    <x v="0"/>
    <x v="260"/>
    <x v="299"/>
    <n v="1240"/>
    <x v="348"/>
    <s v="BMW"/>
    <s v="3 Series"/>
    <n v="2005"/>
    <x v="1"/>
    <n v="0"/>
  </r>
  <r>
    <n v="247"/>
    <x v="4"/>
    <x v="411"/>
    <d v="1992-02-04T00:00:00"/>
    <x v="0"/>
    <s v="250/500"/>
    <n v="2000"/>
    <x v="409"/>
    <n v="0"/>
    <x v="409"/>
    <x v="1"/>
    <x v="3"/>
    <x v="13"/>
    <x v="7"/>
    <s v="not-in-family"/>
    <x v="170"/>
    <x v="0"/>
    <x v="36"/>
    <x v="2"/>
    <x v="3"/>
    <x v="1"/>
    <x v="2"/>
    <x v="2"/>
    <x v="1"/>
    <x v="411"/>
    <x v="9"/>
    <x v="1"/>
    <x v="2"/>
    <x v="2"/>
    <x v="0"/>
    <x v="2"/>
    <x v="57"/>
    <x v="333"/>
    <n v="11580"/>
    <x v="349"/>
    <s v="Chevrolet"/>
    <s v="Tahoe"/>
    <n v="2008"/>
    <x v="1"/>
    <n v="0"/>
  </r>
  <r>
    <n v="56"/>
    <x v="2"/>
    <x v="412"/>
    <d v="2006-06-29T00:00:00"/>
    <x v="2"/>
    <s v="100/300"/>
    <n v="1000"/>
    <x v="410"/>
    <n v="0"/>
    <x v="410"/>
    <x v="0"/>
    <x v="4"/>
    <x v="5"/>
    <x v="10"/>
    <s v="own-child"/>
    <x v="1"/>
    <x v="0"/>
    <x v="31"/>
    <x v="2"/>
    <x v="3"/>
    <x v="0"/>
    <x v="2"/>
    <x v="7"/>
    <x v="5"/>
    <x v="412"/>
    <x v="15"/>
    <x v="1"/>
    <x v="1"/>
    <x v="0"/>
    <x v="0"/>
    <x v="0"/>
    <x v="369"/>
    <x v="334"/>
    <n v="15760"/>
    <x v="350"/>
    <s v="Jeep"/>
    <s v="Grand Cherokee"/>
    <n v="1995"/>
    <x v="1"/>
    <n v="0"/>
  </r>
  <r>
    <n v="210"/>
    <x v="5"/>
    <x v="413"/>
    <d v="1997-06-21T00:00:00"/>
    <x v="0"/>
    <s v="500/1000"/>
    <n v="1000"/>
    <x v="411"/>
    <n v="0"/>
    <x v="411"/>
    <x v="0"/>
    <x v="2"/>
    <x v="3"/>
    <x v="13"/>
    <s v="unmarried"/>
    <x v="1"/>
    <x v="0"/>
    <x v="5"/>
    <x v="1"/>
    <x v="1"/>
    <x v="1"/>
    <x v="1"/>
    <x v="5"/>
    <x v="1"/>
    <x v="413"/>
    <x v="14"/>
    <x v="0"/>
    <x v="0"/>
    <x v="0"/>
    <x v="0"/>
    <x v="1"/>
    <x v="370"/>
    <x v="1"/>
    <n v="780"/>
    <x v="351"/>
    <s v="Dodge"/>
    <s v="RAM"/>
    <n v="1997"/>
    <x v="1"/>
    <n v="0"/>
  </r>
  <r>
    <n v="108"/>
    <x v="30"/>
    <x v="414"/>
    <d v="2006-09-07T00:00:00"/>
    <x v="0"/>
    <s v="500/1000"/>
    <n v="2000"/>
    <x v="412"/>
    <n v="4000000"/>
    <x v="412"/>
    <x v="1"/>
    <x v="5"/>
    <x v="1"/>
    <x v="16"/>
    <s v="unmarried"/>
    <x v="171"/>
    <x v="182"/>
    <x v="19"/>
    <x v="0"/>
    <x v="3"/>
    <x v="2"/>
    <x v="3"/>
    <x v="4"/>
    <x v="6"/>
    <x v="414"/>
    <x v="6"/>
    <x v="0"/>
    <x v="2"/>
    <x v="0"/>
    <x v="2"/>
    <x v="2"/>
    <x v="371"/>
    <x v="335"/>
    <n v="11140"/>
    <x v="326"/>
    <s v="Suburu"/>
    <s v="Legacy"/>
    <n v="1999"/>
    <x v="1"/>
    <n v="0"/>
  </r>
  <r>
    <n v="328"/>
    <x v="24"/>
    <x v="415"/>
    <d v="2001-10-01T00:00:00"/>
    <x v="0"/>
    <s v="500/1000"/>
    <n v="500"/>
    <x v="413"/>
    <n v="0"/>
    <x v="413"/>
    <x v="1"/>
    <x v="4"/>
    <x v="10"/>
    <x v="4"/>
    <s v="wife"/>
    <x v="1"/>
    <x v="0"/>
    <x v="43"/>
    <x v="0"/>
    <x v="2"/>
    <x v="2"/>
    <x v="0"/>
    <x v="2"/>
    <x v="1"/>
    <x v="415"/>
    <x v="4"/>
    <x v="0"/>
    <x v="1"/>
    <x v="1"/>
    <x v="0"/>
    <x v="0"/>
    <x v="372"/>
    <x v="336"/>
    <n v="8930"/>
    <x v="352"/>
    <s v="Mercedes"/>
    <s v="ML350"/>
    <n v="2005"/>
    <x v="1"/>
    <n v="0"/>
  </r>
  <r>
    <n v="186"/>
    <x v="7"/>
    <x v="416"/>
    <d v="2009-02-20T00:00:00"/>
    <x v="0"/>
    <s v="250/500"/>
    <n v="2000"/>
    <x v="414"/>
    <n v="0"/>
    <x v="414"/>
    <x v="1"/>
    <x v="6"/>
    <x v="7"/>
    <x v="20"/>
    <s v="unmarried"/>
    <x v="1"/>
    <x v="0"/>
    <x v="21"/>
    <x v="0"/>
    <x v="2"/>
    <x v="2"/>
    <x v="4"/>
    <x v="2"/>
    <x v="4"/>
    <x v="416"/>
    <x v="9"/>
    <x v="0"/>
    <x v="0"/>
    <x v="0"/>
    <x v="0"/>
    <x v="0"/>
    <x v="373"/>
    <x v="337"/>
    <n v="5560"/>
    <x v="353"/>
    <s v="Jeep"/>
    <s v="Grand Cherokee"/>
    <n v="2009"/>
    <x v="1"/>
    <n v="0"/>
  </r>
  <r>
    <n v="277"/>
    <x v="4"/>
    <x v="417"/>
    <d v="2001-06-26T00:00:00"/>
    <x v="1"/>
    <s v="500/1000"/>
    <n v="500"/>
    <x v="415"/>
    <n v="0"/>
    <x v="415"/>
    <x v="0"/>
    <x v="5"/>
    <x v="7"/>
    <x v="2"/>
    <s v="unmarried"/>
    <x v="1"/>
    <x v="0"/>
    <x v="52"/>
    <x v="1"/>
    <x v="1"/>
    <x v="3"/>
    <x v="0"/>
    <x v="5"/>
    <x v="1"/>
    <x v="417"/>
    <x v="13"/>
    <x v="0"/>
    <x v="2"/>
    <x v="0"/>
    <x v="2"/>
    <x v="2"/>
    <x v="374"/>
    <x v="338"/>
    <n v="500"/>
    <x v="354"/>
    <s v="Jeep"/>
    <s v="Wrangler"/>
    <n v="2005"/>
    <x v="1"/>
    <n v="0"/>
  </r>
  <r>
    <n v="138"/>
    <x v="8"/>
    <x v="418"/>
    <d v="1997-01-18T00:00:00"/>
    <x v="2"/>
    <s v="250/500"/>
    <n v="500"/>
    <x v="63"/>
    <n v="5000000"/>
    <x v="416"/>
    <x v="1"/>
    <x v="6"/>
    <x v="8"/>
    <x v="13"/>
    <s v="own-child"/>
    <x v="172"/>
    <x v="183"/>
    <x v="20"/>
    <x v="0"/>
    <x v="0"/>
    <x v="1"/>
    <x v="3"/>
    <x v="2"/>
    <x v="3"/>
    <x v="418"/>
    <x v="13"/>
    <x v="0"/>
    <x v="2"/>
    <x v="2"/>
    <x v="1"/>
    <x v="1"/>
    <x v="375"/>
    <x v="100"/>
    <n v="14740"/>
    <x v="355"/>
    <s v="BMW"/>
    <s v="X5"/>
    <n v="2007"/>
    <x v="1"/>
    <n v="0"/>
  </r>
  <r>
    <n v="208"/>
    <x v="3"/>
    <x v="419"/>
    <d v="2014-06-24T00:00:00"/>
    <x v="1"/>
    <s v="100/300"/>
    <n v="1000"/>
    <x v="416"/>
    <n v="0"/>
    <x v="417"/>
    <x v="1"/>
    <x v="3"/>
    <x v="4"/>
    <x v="14"/>
    <s v="husband"/>
    <x v="1"/>
    <x v="0"/>
    <x v="39"/>
    <x v="0"/>
    <x v="2"/>
    <x v="0"/>
    <x v="4"/>
    <x v="0"/>
    <x v="5"/>
    <x v="419"/>
    <x v="22"/>
    <x v="0"/>
    <x v="2"/>
    <x v="2"/>
    <x v="0"/>
    <x v="1"/>
    <x v="114"/>
    <x v="339"/>
    <n v="13860"/>
    <x v="356"/>
    <s v="Volkswagen"/>
    <s v="Jetta"/>
    <n v="1996"/>
    <x v="1"/>
    <n v="0"/>
  </r>
  <r>
    <n v="147"/>
    <x v="7"/>
    <x v="420"/>
    <d v="1992-10-02T00:00:00"/>
    <x v="1"/>
    <s v="250/500"/>
    <n v="1000"/>
    <x v="417"/>
    <n v="0"/>
    <x v="418"/>
    <x v="0"/>
    <x v="0"/>
    <x v="5"/>
    <x v="17"/>
    <s v="other-relative"/>
    <x v="1"/>
    <x v="0"/>
    <x v="45"/>
    <x v="0"/>
    <x v="3"/>
    <x v="2"/>
    <x v="4"/>
    <x v="0"/>
    <x v="5"/>
    <x v="420"/>
    <x v="9"/>
    <x v="0"/>
    <x v="1"/>
    <x v="0"/>
    <x v="1"/>
    <x v="2"/>
    <x v="376"/>
    <x v="305"/>
    <n v="20280"/>
    <x v="357"/>
    <s v="Toyota"/>
    <s v="Camry"/>
    <n v="1995"/>
    <x v="1"/>
    <n v="0"/>
  </r>
  <r>
    <n v="8"/>
    <x v="42"/>
    <x v="421"/>
    <d v="2012-10-09T00:00:00"/>
    <x v="1"/>
    <s v="500/1000"/>
    <n v="500"/>
    <x v="418"/>
    <n v="0"/>
    <x v="419"/>
    <x v="0"/>
    <x v="5"/>
    <x v="11"/>
    <x v="11"/>
    <s v="husband"/>
    <x v="1"/>
    <x v="0"/>
    <x v="53"/>
    <x v="0"/>
    <x v="3"/>
    <x v="0"/>
    <x v="3"/>
    <x v="4"/>
    <x v="0"/>
    <x v="421"/>
    <x v="7"/>
    <x v="0"/>
    <x v="1"/>
    <x v="1"/>
    <x v="1"/>
    <x v="1"/>
    <x v="377"/>
    <x v="340"/>
    <n v="14040"/>
    <x v="358"/>
    <s v="Toyota"/>
    <s v="Corolla"/>
    <n v="2012"/>
    <x v="1"/>
    <n v="0"/>
  </r>
  <r>
    <n v="297"/>
    <x v="0"/>
    <x v="422"/>
    <d v="1993-02-10T00:00:00"/>
    <x v="1"/>
    <s v="100/300"/>
    <n v="1000"/>
    <x v="419"/>
    <n v="0"/>
    <x v="420"/>
    <x v="1"/>
    <x v="0"/>
    <x v="6"/>
    <x v="15"/>
    <s v="wife"/>
    <x v="1"/>
    <x v="184"/>
    <x v="19"/>
    <x v="0"/>
    <x v="0"/>
    <x v="1"/>
    <x v="2"/>
    <x v="0"/>
    <x v="5"/>
    <x v="422"/>
    <x v="11"/>
    <x v="0"/>
    <x v="1"/>
    <x v="1"/>
    <x v="1"/>
    <x v="1"/>
    <x v="378"/>
    <x v="341"/>
    <n v="12120"/>
    <x v="359"/>
    <s v="Ford"/>
    <s v="Fusion"/>
    <n v="2004"/>
    <x v="1"/>
    <n v="0"/>
  </r>
  <r>
    <n v="150"/>
    <x v="14"/>
    <x v="423"/>
    <d v="1994-09-28T00:00:00"/>
    <x v="1"/>
    <s v="500/1000"/>
    <n v="1000"/>
    <x v="420"/>
    <n v="0"/>
    <x v="232"/>
    <x v="0"/>
    <x v="4"/>
    <x v="1"/>
    <x v="5"/>
    <s v="husband"/>
    <x v="6"/>
    <x v="0"/>
    <x v="5"/>
    <x v="2"/>
    <x v="3"/>
    <x v="0"/>
    <x v="4"/>
    <x v="2"/>
    <x v="2"/>
    <x v="423"/>
    <x v="13"/>
    <x v="1"/>
    <x v="1"/>
    <x v="1"/>
    <x v="2"/>
    <x v="0"/>
    <x v="32"/>
    <x v="342"/>
    <n v="12960"/>
    <x v="154"/>
    <s v="Suburu"/>
    <s v="Forrestor"/>
    <n v="2000"/>
    <x v="0"/>
    <n v="0"/>
  </r>
  <r>
    <n v="4"/>
    <x v="6"/>
    <x v="424"/>
    <d v="2003-05-24T00:00:00"/>
    <x v="0"/>
    <s v="500/1000"/>
    <n v="500"/>
    <x v="421"/>
    <n v="0"/>
    <x v="421"/>
    <x v="1"/>
    <x v="3"/>
    <x v="8"/>
    <x v="16"/>
    <s v="other-relative"/>
    <x v="1"/>
    <x v="0"/>
    <x v="26"/>
    <x v="2"/>
    <x v="0"/>
    <x v="0"/>
    <x v="0"/>
    <x v="4"/>
    <x v="6"/>
    <x v="424"/>
    <x v="5"/>
    <x v="2"/>
    <x v="1"/>
    <x v="1"/>
    <x v="1"/>
    <x v="1"/>
    <x v="379"/>
    <x v="343"/>
    <n v="12160"/>
    <x v="360"/>
    <s v="Chevrolet"/>
    <s v="Silverado"/>
    <n v="1996"/>
    <x v="0"/>
    <n v="0"/>
  </r>
  <r>
    <n v="210"/>
    <x v="21"/>
    <x v="425"/>
    <d v="1991-12-25T00:00:00"/>
    <x v="2"/>
    <s v="500/1000"/>
    <n v="1000"/>
    <x v="422"/>
    <n v="0"/>
    <x v="422"/>
    <x v="0"/>
    <x v="4"/>
    <x v="13"/>
    <x v="19"/>
    <s v="not-in-family"/>
    <x v="173"/>
    <x v="185"/>
    <x v="28"/>
    <x v="0"/>
    <x v="3"/>
    <x v="2"/>
    <x v="4"/>
    <x v="4"/>
    <x v="2"/>
    <x v="425"/>
    <x v="20"/>
    <x v="0"/>
    <x v="2"/>
    <x v="1"/>
    <x v="0"/>
    <x v="1"/>
    <x v="380"/>
    <x v="344"/>
    <n v="5820"/>
    <x v="26"/>
    <s v="BMW"/>
    <s v="X5"/>
    <n v="2013"/>
    <x v="1"/>
    <n v="0"/>
  </r>
  <r>
    <n v="91"/>
    <x v="14"/>
    <x v="426"/>
    <d v="1999-09-18T00:00:00"/>
    <x v="1"/>
    <s v="100/300"/>
    <n v="1000"/>
    <x v="423"/>
    <n v="4000000"/>
    <x v="423"/>
    <x v="1"/>
    <x v="5"/>
    <x v="7"/>
    <x v="18"/>
    <s v="own-child"/>
    <x v="9"/>
    <x v="0"/>
    <x v="54"/>
    <x v="0"/>
    <x v="0"/>
    <x v="1"/>
    <x v="0"/>
    <x v="5"/>
    <x v="4"/>
    <x v="426"/>
    <x v="4"/>
    <x v="0"/>
    <x v="1"/>
    <x v="0"/>
    <x v="1"/>
    <x v="2"/>
    <x v="381"/>
    <x v="345"/>
    <n v="6730"/>
    <x v="361"/>
    <s v="Nissan"/>
    <s v="Maxima"/>
    <n v="2011"/>
    <x v="1"/>
    <n v="0"/>
  </r>
  <r>
    <n v="167"/>
    <x v="31"/>
    <x v="427"/>
    <d v="1994-02-03T00:00:00"/>
    <x v="2"/>
    <s v="100/300"/>
    <n v="1000"/>
    <x v="424"/>
    <n v="0"/>
    <x v="424"/>
    <x v="1"/>
    <x v="4"/>
    <x v="8"/>
    <x v="7"/>
    <s v="other-relative"/>
    <x v="1"/>
    <x v="186"/>
    <x v="16"/>
    <x v="2"/>
    <x v="2"/>
    <x v="0"/>
    <x v="4"/>
    <x v="5"/>
    <x v="3"/>
    <x v="427"/>
    <x v="9"/>
    <x v="1"/>
    <x v="1"/>
    <x v="1"/>
    <x v="1"/>
    <x v="2"/>
    <x v="382"/>
    <x v="281"/>
    <n v="8710"/>
    <x v="362"/>
    <s v="Mercedes"/>
    <s v="ML350"/>
    <n v="2008"/>
    <x v="0"/>
    <n v="0"/>
  </r>
  <r>
    <n v="467"/>
    <x v="12"/>
    <x v="428"/>
    <d v="2003-01-18T00:00:00"/>
    <x v="1"/>
    <s v="500/1000"/>
    <n v="2000"/>
    <x v="425"/>
    <n v="0"/>
    <x v="425"/>
    <x v="0"/>
    <x v="4"/>
    <x v="10"/>
    <x v="4"/>
    <s v="own-child"/>
    <x v="174"/>
    <x v="0"/>
    <x v="28"/>
    <x v="0"/>
    <x v="3"/>
    <x v="2"/>
    <x v="2"/>
    <x v="2"/>
    <x v="0"/>
    <x v="428"/>
    <x v="23"/>
    <x v="0"/>
    <x v="0"/>
    <x v="2"/>
    <x v="2"/>
    <x v="2"/>
    <x v="383"/>
    <x v="335"/>
    <n v="11140"/>
    <x v="363"/>
    <s v="Nissan"/>
    <s v="Maxima"/>
    <n v="2014"/>
    <x v="1"/>
    <n v="0"/>
  </r>
  <r>
    <n v="264"/>
    <x v="26"/>
    <x v="429"/>
    <d v="2005-03-07T00:00:00"/>
    <x v="1"/>
    <s v="250/500"/>
    <n v="2000"/>
    <x v="426"/>
    <n v="10000000"/>
    <x v="426"/>
    <x v="1"/>
    <x v="6"/>
    <x v="10"/>
    <x v="0"/>
    <s v="other-relative"/>
    <x v="1"/>
    <x v="20"/>
    <x v="26"/>
    <x v="2"/>
    <x v="3"/>
    <x v="2"/>
    <x v="4"/>
    <x v="3"/>
    <x v="2"/>
    <x v="429"/>
    <x v="16"/>
    <x v="2"/>
    <x v="0"/>
    <x v="0"/>
    <x v="0"/>
    <x v="0"/>
    <x v="384"/>
    <x v="346"/>
    <n v="5670"/>
    <x v="364"/>
    <s v="Dodge"/>
    <s v="Neon"/>
    <n v="2001"/>
    <x v="1"/>
    <n v="0"/>
  </r>
  <r>
    <n v="270"/>
    <x v="19"/>
    <x v="430"/>
    <d v="2003-08-23T00:00:00"/>
    <x v="0"/>
    <s v="500/1000"/>
    <n v="500"/>
    <x v="427"/>
    <n v="0"/>
    <x v="427"/>
    <x v="1"/>
    <x v="1"/>
    <x v="7"/>
    <x v="12"/>
    <s v="not-in-family"/>
    <x v="175"/>
    <x v="121"/>
    <x v="20"/>
    <x v="2"/>
    <x v="0"/>
    <x v="2"/>
    <x v="3"/>
    <x v="1"/>
    <x v="0"/>
    <x v="430"/>
    <x v="6"/>
    <x v="1"/>
    <x v="1"/>
    <x v="1"/>
    <x v="1"/>
    <x v="0"/>
    <x v="385"/>
    <x v="347"/>
    <n v="0"/>
    <x v="365"/>
    <s v="Saab"/>
    <s v="92x"/>
    <n v="2005"/>
    <x v="1"/>
    <n v="0"/>
  </r>
  <r>
    <n v="310"/>
    <x v="0"/>
    <x v="431"/>
    <d v="2002-07-11T00:00:00"/>
    <x v="0"/>
    <s v="100/300"/>
    <n v="1000"/>
    <x v="428"/>
    <n v="0"/>
    <x v="428"/>
    <x v="1"/>
    <x v="4"/>
    <x v="7"/>
    <x v="5"/>
    <s v="other-relative"/>
    <x v="1"/>
    <x v="0"/>
    <x v="54"/>
    <x v="0"/>
    <x v="3"/>
    <x v="0"/>
    <x v="0"/>
    <x v="5"/>
    <x v="5"/>
    <x v="431"/>
    <x v="7"/>
    <x v="0"/>
    <x v="0"/>
    <x v="0"/>
    <x v="1"/>
    <x v="2"/>
    <x v="386"/>
    <x v="348"/>
    <n v="6130"/>
    <x v="366"/>
    <s v="Audi"/>
    <s v="A5"/>
    <n v="2005"/>
    <x v="0"/>
    <n v="0"/>
  </r>
  <r>
    <n v="143"/>
    <x v="6"/>
    <x v="432"/>
    <d v="2014-03-19T00:00:00"/>
    <x v="2"/>
    <s v="100/300"/>
    <n v="500"/>
    <x v="429"/>
    <n v="0"/>
    <x v="429"/>
    <x v="0"/>
    <x v="3"/>
    <x v="7"/>
    <x v="20"/>
    <s v="wife"/>
    <x v="176"/>
    <x v="0"/>
    <x v="4"/>
    <x v="0"/>
    <x v="3"/>
    <x v="1"/>
    <x v="3"/>
    <x v="2"/>
    <x v="0"/>
    <x v="432"/>
    <x v="15"/>
    <x v="0"/>
    <x v="1"/>
    <x v="2"/>
    <x v="2"/>
    <x v="0"/>
    <x v="387"/>
    <x v="140"/>
    <n v="5850"/>
    <x v="367"/>
    <s v="Dodge"/>
    <s v="RAM"/>
    <n v="1999"/>
    <x v="1"/>
    <n v="0"/>
  </r>
  <r>
    <n v="146"/>
    <x v="30"/>
    <x v="433"/>
    <d v="1993-12-06T00:00:00"/>
    <x v="0"/>
    <s v="100/300"/>
    <n v="2000"/>
    <x v="430"/>
    <n v="0"/>
    <x v="430"/>
    <x v="0"/>
    <x v="2"/>
    <x v="7"/>
    <x v="9"/>
    <s v="own-child"/>
    <x v="1"/>
    <x v="0"/>
    <x v="47"/>
    <x v="0"/>
    <x v="2"/>
    <x v="0"/>
    <x v="2"/>
    <x v="5"/>
    <x v="1"/>
    <x v="433"/>
    <x v="11"/>
    <x v="0"/>
    <x v="1"/>
    <x v="1"/>
    <x v="2"/>
    <x v="1"/>
    <x v="388"/>
    <x v="349"/>
    <n v="6660"/>
    <x v="368"/>
    <s v="Honda"/>
    <s v="CRV"/>
    <n v="1995"/>
    <x v="1"/>
    <n v="0"/>
  </r>
  <r>
    <n v="102"/>
    <x v="23"/>
    <x v="434"/>
    <d v="1999-08-29T00:00:00"/>
    <x v="0"/>
    <s v="250/500"/>
    <n v="500"/>
    <x v="431"/>
    <n v="0"/>
    <x v="431"/>
    <x v="0"/>
    <x v="0"/>
    <x v="1"/>
    <x v="1"/>
    <s v="wife"/>
    <x v="45"/>
    <x v="0"/>
    <x v="11"/>
    <x v="0"/>
    <x v="0"/>
    <x v="2"/>
    <x v="0"/>
    <x v="7"/>
    <x v="5"/>
    <x v="434"/>
    <x v="13"/>
    <x v="0"/>
    <x v="2"/>
    <x v="0"/>
    <x v="1"/>
    <x v="2"/>
    <x v="389"/>
    <x v="260"/>
    <n v="7340"/>
    <x v="272"/>
    <s v="Dodge"/>
    <s v="Neon"/>
    <n v="1996"/>
    <x v="1"/>
    <n v="0"/>
  </r>
  <r>
    <n v="61"/>
    <x v="10"/>
    <x v="435"/>
    <d v="2007-03-09T00:00:00"/>
    <x v="2"/>
    <s v="100/300"/>
    <n v="500"/>
    <x v="432"/>
    <n v="0"/>
    <x v="432"/>
    <x v="0"/>
    <x v="6"/>
    <x v="8"/>
    <x v="4"/>
    <s v="other-relative"/>
    <x v="177"/>
    <x v="0"/>
    <x v="54"/>
    <x v="0"/>
    <x v="0"/>
    <x v="0"/>
    <x v="2"/>
    <x v="7"/>
    <x v="1"/>
    <x v="435"/>
    <x v="13"/>
    <x v="0"/>
    <x v="1"/>
    <x v="0"/>
    <x v="0"/>
    <x v="1"/>
    <x v="390"/>
    <x v="350"/>
    <n v="4650"/>
    <x v="369"/>
    <s v="Suburu"/>
    <s v="Legacy"/>
    <n v="1997"/>
    <x v="1"/>
    <n v="0"/>
  </r>
  <r>
    <n v="255"/>
    <x v="4"/>
    <x v="436"/>
    <d v="2004-01-03T00:00:00"/>
    <x v="0"/>
    <s v="500/1000"/>
    <n v="2000"/>
    <x v="433"/>
    <n v="6000000"/>
    <x v="433"/>
    <x v="1"/>
    <x v="1"/>
    <x v="7"/>
    <x v="14"/>
    <s v="not-in-family"/>
    <x v="94"/>
    <x v="0"/>
    <x v="53"/>
    <x v="3"/>
    <x v="1"/>
    <x v="3"/>
    <x v="0"/>
    <x v="5"/>
    <x v="4"/>
    <x v="436"/>
    <x v="2"/>
    <x v="0"/>
    <x v="1"/>
    <x v="2"/>
    <x v="0"/>
    <x v="2"/>
    <x v="264"/>
    <x v="214"/>
    <n v="1280"/>
    <x v="370"/>
    <s v="Mercedes"/>
    <s v="ML350"/>
    <n v="2005"/>
    <x v="0"/>
    <n v="0"/>
  </r>
  <r>
    <n v="211"/>
    <x v="17"/>
    <x v="437"/>
    <d v="1991-04-25T00:00:00"/>
    <x v="2"/>
    <s v="500/1000"/>
    <n v="1000"/>
    <x v="434"/>
    <n v="0"/>
    <x v="434"/>
    <x v="1"/>
    <x v="1"/>
    <x v="6"/>
    <x v="0"/>
    <s v="own-child"/>
    <x v="1"/>
    <x v="0"/>
    <x v="37"/>
    <x v="1"/>
    <x v="1"/>
    <x v="3"/>
    <x v="0"/>
    <x v="4"/>
    <x v="6"/>
    <x v="437"/>
    <x v="19"/>
    <x v="0"/>
    <x v="2"/>
    <x v="0"/>
    <x v="3"/>
    <x v="2"/>
    <x v="307"/>
    <x v="277"/>
    <n v="290"/>
    <x v="337"/>
    <s v="Audi"/>
    <s v="A5"/>
    <n v="2004"/>
    <x v="1"/>
    <n v="0"/>
  </r>
  <r>
    <n v="61"/>
    <x v="2"/>
    <x v="438"/>
    <d v="1995-03-14T00:00:00"/>
    <x v="1"/>
    <s v="250/500"/>
    <n v="1000"/>
    <x v="435"/>
    <n v="0"/>
    <x v="435"/>
    <x v="0"/>
    <x v="6"/>
    <x v="11"/>
    <x v="18"/>
    <s v="unmarried"/>
    <x v="1"/>
    <x v="187"/>
    <x v="17"/>
    <x v="3"/>
    <x v="1"/>
    <x v="3"/>
    <x v="1"/>
    <x v="1"/>
    <x v="4"/>
    <x v="438"/>
    <x v="15"/>
    <x v="0"/>
    <x v="0"/>
    <x v="2"/>
    <x v="3"/>
    <x v="0"/>
    <x v="88"/>
    <x v="85"/>
    <n v="590"/>
    <x v="90"/>
    <s v="Nissan"/>
    <s v="Pathfinder"/>
    <n v="2010"/>
    <x v="1"/>
    <n v="0"/>
  </r>
  <r>
    <n v="108"/>
    <x v="14"/>
    <x v="439"/>
    <d v="2005-12-09T00:00:00"/>
    <x v="1"/>
    <s v="500/1000"/>
    <n v="2000"/>
    <x v="436"/>
    <n v="0"/>
    <x v="436"/>
    <x v="0"/>
    <x v="4"/>
    <x v="9"/>
    <x v="12"/>
    <s v="not-in-family"/>
    <x v="1"/>
    <x v="0"/>
    <x v="46"/>
    <x v="0"/>
    <x v="2"/>
    <x v="2"/>
    <x v="2"/>
    <x v="2"/>
    <x v="0"/>
    <x v="439"/>
    <x v="8"/>
    <x v="0"/>
    <x v="2"/>
    <x v="1"/>
    <x v="0"/>
    <x v="2"/>
    <x v="391"/>
    <x v="351"/>
    <n v="6370"/>
    <x v="371"/>
    <s v="Dodge"/>
    <s v="Neon"/>
    <n v="2006"/>
    <x v="1"/>
    <n v="0"/>
  </r>
  <r>
    <n v="303"/>
    <x v="36"/>
    <x v="440"/>
    <d v="2001-12-25T00:00:00"/>
    <x v="0"/>
    <s v="100/300"/>
    <n v="500"/>
    <x v="437"/>
    <n v="0"/>
    <x v="437"/>
    <x v="0"/>
    <x v="0"/>
    <x v="4"/>
    <x v="2"/>
    <s v="own-child"/>
    <x v="177"/>
    <x v="188"/>
    <x v="45"/>
    <x v="2"/>
    <x v="3"/>
    <x v="2"/>
    <x v="3"/>
    <x v="4"/>
    <x v="4"/>
    <x v="440"/>
    <x v="18"/>
    <x v="1"/>
    <x v="2"/>
    <x v="1"/>
    <x v="2"/>
    <x v="2"/>
    <x v="392"/>
    <x v="352"/>
    <n v="13660"/>
    <x v="372"/>
    <s v="Dodge"/>
    <s v="Neon"/>
    <n v="2008"/>
    <x v="1"/>
    <n v="0"/>
  </r>
  <r>
    <n v="152"/>
    <x v="8"/>
    <x v="441"/>
    <d v="1999-11-14T00:00:00"/>
    <x v="1"/>
    <s v="250/500"/>
    <n v="500"/>
    <x v="438"/>
    <n v="0"/>
    <x v="438"/>
    <x v="1"/>
    <x v="1"/>
    <x v="10"/>
    <x v="20"/>
    <s v="wife"/>
    <x v="1"/>
    <x v="0"/>
    <x v="8"/>
    <x v="0"/>
    <x v="0"/>
    <x v="0"/>
    <x v="2"/>
    <x v="0"/>
    <x v="4"/>
    <x v="441"/>
    <x v="16"/>
    <x v="0"/>
    <x v="0"/>
    <x v="1"/>
    <x v="1"/>
    <x v="1"/>
    <x v="111"/>
    <x v="104"/>
    <n v="19200"/>
    <x v="137"/>
    <s v="Suburu"/>
    <s v="Legacy"/>
    <n v="2001"/>
    <x v="0"/>
    <n v="0"/>
  </r>
  <r>
    <n v="120"/>
    <x v="6"/>
    <x v="442"/>
    <d v="2001-10-27T00:00:00"/>
    <x v="1"/>
    <s v="500/1000"/>
    <n v="1000"/>
    <x v="439"/>
    <n v="0"/>
    <x v="439"/>
    <x v="1"/>
    <x v="6"/>
    <x v="9"/>
    <x v="13"/>
    <s v="not-in-family"/>
    <x v="178"/>
    <x v="0"/>
    <x v="39"/>
    <x v="3"/>
    <x v="1"/>
    <x v="1"/>
    <x v="1"/>
    <x v="1"/>
    <x v="0"/>
    <x v="442"/>
    <x v="19"/>
    <x v="0"/>
    <x v="2"/>
    <x v="2"/>
    <x v="3"/>
    <x v="1"/>
    <x v="393"/>
    <x v="277"/>
    <n v="580"/>
    <x v="373"/>
    <s v="Jeep"/>
    <s v="Grand Cherokee"/>
    <n v="2002"/>
    <x v="1"/>
    <n v="0"/>
  </r>
  <r>
    <n v="144"/>
    <x v="31"/>
    <x v="443"/>
    <d v="1993-10-31T00:00:00"/>
    <x v="1"/>
    <s v="500/1000"/>
    <n v="2000"/>
    <x v="440"/>
    <n v="6000000"/>
    <x v="440"/>
    <x v="1"/>
    <x v="2"/>
    <x v="2"/>
    <x v="1"/>
    <s v="other-relative"/>
    <x v="179"/>
    <x v="189"/>
    <x v="32"/>
    <x v="3"/>
    <x v="1"/>
    <x v="1"/>
    <x v="1"/>
    <x v="5"/>
    <x v="2"/>
    <x v="443"/>
    <x v="2"/>
    <x v="0"/>
    <x v="2"/>
    <x v="1"/>
    <x v="1"/>
    <x v="1"/>
    <x v="394"/>
    <x v="177"/>
    <n v="1480"/>
    <x v="374"/>
    <s v="Dodge"/>
    <s v="Neon"/>
    <n v="2014"/>
    <x v="1"/>
    <n v="0"/>
  </r>
  <r>
    <n v="414"/>
    <x v="40"/>
    <x v="444"/>
    <d v="2003-02-13T00:00:00"/>
    <x v="1"/>
    <s v="500/1000"/>
    <n v="500"/>
    <x v="441"/>
    <n v="0"/>
    <x v="441"/>
    <x v="1"/>
    <x v="5"/>
    <x v="13"/>
    <x v="14"/>
    <s v="unmarried"/>
    <x v="137"/>
    <x v="190"/>
    <x v="22"/>
    <x v="0"/>
    <x v="2"/>
    <x v="2"/>
    <x v="0"/>
    <x v="0"/>
    <x v="5"/>
    <x v="444"/>
    <x v="21"/>
    <x v="0"/>
    <x v="0"/>
    <x v="0"/>
    <x v="3"/>
    <x v="1"/>
    <x v="395"/>
    <x v="353"/>
    <n v="6090"/>
    <x v="375"/>
    <s v="Chevrolet"/>
    <s v="Silverado"/>
    <n v="1999"/>
    <x v="0"/>
    <n v="0"/>
  </r>
  <r>
    <n v="163"/>
    <x v="7"/>
    <x v="445"/>
    <d v="2004-03-06T00:00:00"/>
    <x v="1"/>
    <s v="250/500"/>
    <n v="500"/>
    <x v="442"/>
    <n v="6000000"/>
    <x v="442"/>
    <x v="1"/>
    <x v="6"/>
    <x v="7"/>
    <x v="8"/>
    <s v="own-child"/>
    <x v="1"/>
    <x v="191"/>
    <x v="29"/>
    <x v="0"/>
    <x v="2"/>
    <x v="2"/>
    <x v="2"/>
    <x v="2"/>
    <x v="3"/>
    <x v="445"/>
    <x v="3"/>
    <x v="0"/>
    <x v="0"/>
    <x v="2"/>
    <x v="2"/>
    <x v="0"/>
    <x v="396"/>
    <x v="354"/>
    <n v="9880"/>
    <x v="376"/>
    <s v="Jeep"/>
    <s v="Wrangler"/>
    <n v="2005"/>
    <x v="1"/>
    <n v="0"/>
  </r>
  <r>
    <n v="352"/>
    <x v="38"/>
    <x v="446"/>
    <d v="2013-07-12T00:00:00"/>
    <x v="2"/>
    <s v="250/500"/>
    <n v="500"/>
    <x v="443"/>
    <n v="0"/>
    <x v="443"/>
    <x v="0"/>
    <x v="2"/>
    <x v="4"/>
    <x v="20"/>
    <s v="wife"/>
    <x v="1"/>
    <x v="0"/>
    <x v="14"/>
    <x v="0"/>
    <x v="3"/>
    <x v="1"/>
    <x v="2"/>
    <x v="5"/>
    <x v="1"/>
    <x v="446"/>
    <x v="6"/>
    <x v="0"/>
    <x v="0"/>
    <x v="2"/>
    <x v="0"/>
    <x v="2"/>
    <x v="397"/>
    <x v="355"/>
    <n v="6250"/>
    <x v="377"/>
    <s v="Chevrolet"/>
    <s v="Malibu"/>
    <n v="2009"/>
    <x v="1"/>
    <n v="0"/>
  </r>
  <r>
    <n v="27"/>
    <x v="30"/>
    <x v="447"/>
    <d v="2014-08-27T00:00:00"/>
    <x v="0"/>
    <s v="100/300"/>
    <n v="500"/>
    <x v="444"/>
    <n v="0"/>
    <x v="444"/>
    <x v="1"/>
    <x v="1"/>
    <x v="12"/>
    <x v="12"/>
    <s v="other-relative"/>
    <x v="180"/>
    <x v="0"/>
    <x v="52"/>
    <x v="0"/>
    <x v="3"/>
    <x v="2"/>
    <x v="4"/>
    <x v="0"/>
    <x v="2"/>
    <x v="447"/>
    <x v="20"/>
    <x v="0"/>
    <x v="2"/>
    <x v="0"/>
    <x v="1"/>
    <x v="1"/>
    <x v="125"/>
    <x v="286"/>
    <n v="6150"/>
    <x v="124"/>
    <s v="Dodge"/>
    <s v="Neon"/>
    <n v="2013"/>
    <x v="1"/>
    <n v="0"/>
  </r>
  <r>
    <n v="239"/>
    <x v="5"/>
    <x v="448"/>
    <d v="1990-06-22T00:00:00"/>
    <x v="2"/>
    <s v="100/300"/>
    <n v="500"/>
    <x v="445"/>
    <n v="0"/>
    <x v="445"/>
    <x v="1"/>
    <x v="4"/>
    <x v="6"/>
    <x v="1"/>
    <s v="husband"/>
    <x v="1"/>
    <x v="0"/>
    <x v="10"/>
    <x v="2"/>
    <x v="2"/>
    <x v="0"/>
    <x v="4"/>
    <x v="4"/>
    <x v="5"/>
    <x v="448"/>
    <x v="5"/>
    <x v="2"/>
    <x v="1"/>
    <x v="1"/>
    <x v="2"/>
    <x v="2"/>
    <x v="398"/>
    <x v="356"/>
    <n v="13980"/>
    <x v="378"/>
    <s v="BMW"/>
    <s v="X6"/>
    <n v="2007"/>
    <x v="1"/>
    <n v="0"/>
  </r>
  <r>
    <n v="33"/>
    <x v="30"/>
    <x v="449"/>
    <d v="2008-03-07T00:00:00"/>
    <x v="0"/>
    <s v="100/300"/>
    <n v="500"/>
    <x v="446"/>
    <n v="5000000"/>
    <x v="446"/>
    <x v="1"/>
    <x v="1"/>
    <x v="6"/>
    <x v="5"/>
    <s v="husband"/>
    <x v="181"/>
    <x v="35"/>
    <x v="40"/>
    <x v="0"/>
    <x v="2"/>
    <x v="1"/>
    <x v="4"/>
    <x v="2"/>
    <x v="6"/>
    <x v="449"/>
    <x v="23"/>
    <x v="0"/>
    <x v="0"/>
    <x v="1"/>
    <x v="3"/>
    <x v="1"/>
    <x v="399"/>
    <x v="357"/>
    <n v="12460"/>
    <x v="379"/>
    <s v="Toyota"/>
    <s v="Camry"/>
    <n v="2012"/>
    <x v="1"/>
    <n v="0"/>
  </r>
  <r>
    <n v="88"/>
    <x v="22"/>
    <x v="450"/>
    <d v="1992-08-05T00:00:00"/>
    <x v="1"/>
    <s v="100/300"/>
    <n v="1000"/>
    <x v="447"/>
    <n v="0"/>
    <x v="447"/>
    <x v="1"/>
    <x v="3"/>
    <x v="10"/>
    <x v="1"/>
    <s v="husband"/>
    <x v="182"/>
    <x v="192"/>
    <x v="54"/>
    <x v="0"/>
    <x v="0"/>
    <x v="2"/>
    <x v="2"/>
    <x v="0"/>
    <x v="6"/>
    <x v="450"/>
    <x v="19"/>
    <x v="0"/>
    <x v="2"/>
    <x v="2"/>
    <x v="1"/>
    <x v="0"/>
    <x v="400"/>
    <x v="99"/>
    <n v="0"/>
    <x v="310"/>
    <s v="Chevrolet"/>
    <s v="Malibu"/>
    <n v="2003"/>
    <x v="1"/>
    <n v="0"/>
  </r>
  <r>
    <n v="101"/>
    <x v="8"/>
    <x v="451"/>
    <d v="1991-09-03T00:00:00"/>
    <x v="2"/>
    <s v="500/1000"/>
    <n v="1000"/>
    <x v="448"/>
    <n v="0"/>
    <x v="448"/>
    <x v="1"/>
    <x v="3"/>
    <x v="7"/>
    <x v="2"/>
    <s v="unmarried"/>
    <x v="183"/>
    <x v="0"/>
    <x v="18"/>
    <x v="3"/>
    <x v="1"/>
    <x v="3"/>
    <x v="1"/>
    <x v="2"/>
    <x v="4"/>
    <x v="451"/>
    <x v="19"/>
    <x v="0"/>
    <x v="0"/>
    <x v="0"/>
    <x v="1"/>
    <x v="2"/>
    <x v="401"/>
    <x v="1"/>
    <n v="390"/>
    <x v="380"/>
    <s v="Audi"/>
    <s v="A3"/>
    <n v="1997"/>
    <x v="1"/>
    <n v="0"/>
  </r>
  <r>
    <n v="20"/>
    <x v="7"/>
    <x v="452"/>
    <d v="2011-09-02T00:00:00"/>
    <x v="2"/>
    <s v="250/500"/>
    <n v="500"/>
    <x v="449"/>
    <n v="0"/>
    <x v="449"/>
    <x v="1"/>
    <x v="2"/>
    <x v="10"/>
    <x v="1"/>
    <s v="husband"/>
    <x v="184"/>
    <x v="193"/>
    <x v="2"/>
    <x v="2"/>
    <x v="2"/>
    <x v="2"/>
    <x v="3"/>
    <x v="2"/>
    <x v="2"/>
    <x v="452"/>
    <x v="12"/>
    <x v="1"/>
    <x v="1"/>
    <x v="2"/>
    <x v="3"/>
    <x v="2"/>
    <x v="402"/>
    <x v="358"/>
    <n v="6750"/>
    <x v="381"/>
    <s v="Suburu"/>
    <s v="Forrestor"/>
    <n v="2003"/>
    <x v="1"/>
    <n v="0"/>
  </r>
  <r>
    <n v="126"/>
    <x v="22"/>
    <x v="453"/>
    <d v="2012-10-06T00:00:00"/>
    <x v="2"/>
    <s v="250/500"/>
    <n v="2000"/>
    <x v="450"/>
    <n v="0"/>
    <x v="450"/>
    <x v="1"/>
    <x v="2"/>
    <x v="1"/>
    <x v="2"/>
    <s v="not-in-family"/>
    <x v="185"/>
    <x v="172"/>
    <x v="50"/>
    <x v="0"/>
    <x v="0"/>
    <x v="1"/>
    <x v="3"/>
    <x v="2"/>
    <x v="5"/>
    <x v="453"/>
    <x v="6"/>
    <x v="0"/>
    <x v="1"/>
    <x v="2"/>
    <x v="2"/>
    <x v="2"/>
    <x v="403"/>
    <x v="359"/>
    <n v="4430"/>
    <x v="382"/>
    <s v="Chevrolet"/>
    <s v="Malibu"/>
    <n v="2011"/>
    <x v="1"/>
    <n v="0"/>
  </r>
  <r>
    <n v="264"/>
    <x v="18"/>
    <x v="454"/>
    <d v="2014-01-18T00:00:00"/>
    <x v="2"/>
    <s v="500/1000"/>
    <n v="2000"/>
    <x v="451"/>
    <n v="0"/>
    <x v="451"/>
    <x v="0"/>
    <x v="2"/>
    <x v="12"/>
    <x v="17"/>
    <s v="not-in-family"/>
    <x v="1"/>
    <x v="194"/>
    <x v="26"/>
    <x v="2"/>
    <x v="3"/>
    <x v="1"/>
    <x v="0"/>
    <x v="4"/>
    <x v="3"/>
    <x v="454"/>
    <x v="10"/>
    <x v="1"/>
    <x v="0"/>
    <x v="2"/>
    <x v="1"/>
    <x v="2"/>
    <x v="404"/>
    <x v="360"/>
    <n v="17300"/>
    <x v="383"/>
    <s v="Ford"/>
    <s v="Escape"/>
    <n v="2007"/>
    <x v="1"/>
    <n v="0"/>
  </r>
  <r>
    <n v="78"/>
    <x v="39"/>
    <x v="455"/>
    <d v="1992-03-22T00:00:00"/>
    <x v="1"/>
    <s v="100/300"/>
    <n v="500"/>
    <x v="452"/>
    <n v="0"/>
    <x v="452"/>
    <x v="0"/>
    <x v="4"/>
    <x v="0"/>
    <x v="12"/>
    <s v="husband"/>
    <x v="1"/>
    <x v="0"/>
    <x v="10"/>
    <x v="1"/>
    <x v="1"/>
    <x v="1"/>
    <x v="0"/>
    <x v="2"/>
    <x v="0"/>
    <x v="455"/>
    <x v="3"/>
    <x v="0"/>
    <x v="1"/>
    <x v="1"/>
    <x v="3"/>
    <x v="0"/>
    <x v="232"/>
    <x v="218"/>
    <n v="680"/>
    <x v="227"/>
    <s v="Dodge"/>
    <s v="Neon"/>
    <n v="2003"/>
    <x v="1"/>
    <n v="0"/>
  </r>
  <r>
    <n v="123"/>
    <x v="23"/>
    <x v="456"/>
    <d v="2012-12-03T00:00:00"/>
    <x v="2"/>
    <s v="100/300"/>
    <n v="2000"/>
    <x v="453"/>
    <n v="0"/>
    <x v="453"/>
    <x v="0"/>
    <x v="4"/>
    <x v="10"/>
    <x v="10"/>
    <s v="own-child"/>
    <x v="186"/>
    <x v="195"/>
    <x v="17"/>
    <x v="0"/>
    <x v="0"/>
    <x v="0"/>
    <x v="4"/>
    <x v="5"/>
    <x v="1"/>
    <x v="456"/>
    <x v="0"/>
    <x v="0"/>
    <x v="1"/>
    <x v="2"/>
    <x v="3"/>
    <x v="0"/>
    <x v="101"/>
    <x v="361"/>
    <n v="6650"/>
    <x v="384"/>
    <s v="Volkswagen"/>
    <s v="Passat"/>
    <n v="2011"/>
    <x v="0"/>
    <n v="0"/>
  </r>
  <r>
    <n v="347"/>
    <x v="34"/>
    <x v="457"/>
    <d v="1996-10-18T00:00:00"/>
    <x v="0"/>
    <s v="500/1000"/>
    <n v="500"/>
    <x v="454"/>
    <n v="9000000"/>
    <x v="454"/>
    <x v="1"/>
    <x v="0"/>
    <x v="7"/>
    <x v="2"/>
    <s v="unmarried"/>
    <x v="1"/>
    <x v="196"/>
    <x v="22"/>
    <x v="0"/>
    <x v="0"/>
    <x v="2"/>
    <x v="3"/>
    <x v="5"/>
    <x v="4"/>
    <x v="457"/>
    <x v="12"/>
    <x v="0"/>
    <x v="0"/>
    <x v="1"/>
    <x v="0"/>
    <x v="1"/>
    <x v="405"/>
    <x v="362"/>
    <n v="17260"/>
    <x v="385"/>
    <s v="Jeep"/>
    <s v="Wrangler"/>
    <n v="1997"/>
    <x v="1"/>
    <n v="0"/>
  </r>
  <r>
    <n v="163"/>
    <x v="11"/>
    <x v="458"/>
    <d v="1997-10-02T00:00:00"/>
    <x v="1"/>
    <s v="500/1000"/>
    <n v="2000"/>
    <x v="455"/>
    <n v="0"/>
    <x v="455"/>
    <x v="1"/>
    <x v="1"/>
    <x v="6"/>
    <x v="12"/>
    <s v="other-relative"/>
    <x v="187"/>
    <x v="0"/>
    <x v="31"/>
    <x v="0"/>
    <x v="0"/>
    <x v="1"/>
    <x v="4"/>
    <x v="2"/>
    <x v="4"/>
    <x v="458"/>
    <x v="21"/>
    <x v="0"/>
    <x v="0"/>
    <x v="2"/>
    <x v="2"/>
    <x v="1"/>
    <x v="406"/>
    <x v="363"/>
    <n v="7950"/>
    <x v="386"/>
    <s v="Accura"/>
    <s v="MDX"/>
    <n v="1995"/>
    <x v="1"/>
    <n v="0"/>
  </r>
  <r>
    <n v="271"/>
    <x v="4"/>
    <x v="459"/>
    <d v="2008-03-18T00:00:00"/>
    <x v="0"/>
    <s v="250/500"/>
    <n v="500"/>
    <x v="456"/>
    <n v="0"/>
    <x v="456"/>
    <x v="1"/>
    <x v="5"/>
    <x v="4"/>
    <x v="5"/>
    <s v="other-relative"/>
    <x v="1"/>
    <x v="0"/>
    <x v="30"/>
    <x v="0"/>
    <x v="2"/>
    <x v="1"/>
    <x v="3"/>
    <x v="0"/>
    <x v="1"/>
    <x v="459"/>
    <x v="16"/>
    <x v="0"/>
    <x v="2"/>
    <x v="2"/>
    <x v="0"/>
    <x v="2"/>
    <x v="407"/>
    <x v="339"/>
    <n v="13860"/>
    <x v="387"/>
    <s v="Volkswagen"/>
    <s v="Passat"/>
    <n v="1997"/>
    <x v="0"/>
    <n v="0"/>
  </r>
  <r>
    <n v="410"/>
    <x v="25"/>
    <x v="460"/>
    <d v="2010-08-29T00:00:00"/>
    <x v="2"/>
    <s v="100/300"/>
    <n v="2000"/>
    <x v="457"/>
    <n v="0"/>
    <x v="457"/>
    <x v="0"/>
    <x v="0"/>
    <x v="9"/>
    <x v="2"/>
    <s v="own-child"/>
    <x v="1"/>
    <x v="197"/>
    <x v="55"/>
    <x v="0"/>
    <x v="0"/>
    <x v="1"/>
    <x v="4"/>
    <x v="4"/>
    <x v="5"/>
    <x v="460"/>
    <x v="5"/>
    <x v="0"/>
    <x v="0"/>
    <x v="1"/>
    <x v="0"/>
    <x v="2"/>
    <x v="408"/>
    <x v="276"/>
    <n v="9920"/>
    <x v="388"/>
    <s v="Honda"/>
    <s v="Accord"/>
    <n v="2001"/>
    <x v="1"/>
    <n v="0"/>
  </r>
  <r>
    <n v="448"/>
    <x v="37"/>
    <x v="461"/>
    <d v="2005-03-31T00:00:00"/>
    <x v="2"/>
    <s v="100/300"/>
    <n v="2000"/>
    <x v="458"/>
    <n v="0"/>
    <x v="458"/>
    <x v="1"/>
    <x v="1"/>
    <x v="4"/>
    <x v="11"/>
    <s v="own-child"/>
    <x v="188"/>
    <x v="35"/>
    <x v="57"/>
    <x v="2"/>
    <x v="3"/>
    <x v="0"/>
    <x v="0"/>
    <x v="0"/>
    <x v="2"/>
    <x v="461"/>
    <x v="15"/>
    <x v="1"/>
    <x v="2"/>
    <x v="2"/>
    <x v="3"/>
    <x v="1"/>
    <x v="409"/>
    <x v="364"/>
    <n v="5970"/>
    <x v="242"/>
    <s v="Suburu"/>
    <s v="Impreza"/>
    <n v="2013"/>
    <x v="0"/>
    <n v="0"/>
  </r>
  <r>
    <n v="218"/>
    <x v="3"/>
    <x v="462"/>
    <d v="2013-12-25T00:00:00"/>
    <x v="2"/>
    <s v="100/300"/>
    <n v="500"/>
    <x v="459"/>
    <n v="0"/>
    <x v="459"/>
    <x v="0"/>
    <x v="6"/>
    <x v="5"/>
    <x v="6"/>
    <s v="wife"/>
    <x v="180"/>
    <x v="198"/>
    <x v="12"/>
    <x v="2"/>
    <x v="0"/>
    <x v="2"/>
    <x v="0"/>
    <x v="2"/>
    <x v="3"/>
    <x v="462"/>
    <x v="8"/>
    <x v="1"/>
    <x v="2"/>
    <x v="2"/>
    <x v="1"/>
    <x v="2"/>
    <x v="410"/>
    <x v="365"/>
    <n v="7690"/>
    <x v="389"/>
    <s v="Saab"/>
    <n v="93"/>
    <n v="2013"/>
    <x v="1"/>
    <n v="0"/>
  </r>
  <r>
    <n v="43"/>
    <x v="11"/>
    <x v="463"/>
    <d v="2014-03-11T00:00:00"/>
    <x v="0"/>
    <s v="500/1000"/>
    <n v="1000"/>
    <x v="460"/>
    <n v="0"/>
    <x v="460"/>
    <x v="0"/>
    <x v="1"/>
    <x v="11"/>
    <x v="9"/>
    <s v="other-relative"/>
    <x v="189"/>
    <x v="0"/>
    <x v="11"/>
    <x v="2"/>
    <x v="3"/>
    <x v="2"/>
    <x v="3"/>
    <x v="0"/>
    <x v="0"/>
    <x v="463"/>
    <x v="17"/>
    <x v="1"/>
    <x v="0"/>
    <x v="2"/>
    <x v="0"/>
    <x v="1"/>
    <x v="411"/>
    <x v="366"/>
    <n v="6850"/>
    <x v="390"/>
    <s v="Nissan"/>
    <s v="Ultima"/>
    <n v="2006"/>
    <x v="1"/>
    <n v="0"/>
  </r>
  <r>
    <n v="33"/>
    <x v="8"/>
    <x v="464"/>
    <d v="1997-08-04T00:00:00"/>
    <x v="2"/>
    <s v="500/1000"/>
    <n v="1000"/>
    <x v="461"/>
    <n v="6000000"/>
    <x v="461"/>
    <x v="1"/>
    <x v="2"/>
    <x v="11"/>
    <x v="8"/>
    <s v="unmarried"/>
    <x v="11"/>
    <x v="199"/>
    <x v="22"/>
    <x v="0"/>
    <x v="2"/>
    <x v="0"/>
    <x v="0"/>
    <x v="1"/>
    <x v="3"/>
    <x v="464"/>
    <x v="16"/>
    <x v="0"/>
    <x v="1"/>
    <x v="2"/>
    <x v="3"/>
    <x v="1"/>
    <x v="412"/>
    <x v="367"/>
    <n v="8140"/>
    <x v="391"/>
    <s v="BMW"/>
    <s v="M5"/>
    <n v="1998"/>
    <x v="1"/>
    <n v="0"/>
  </r>
  <r>
    <n v="126"/>
    <x v="6"/>
    <x v="465"/>
    <d v="2007-11-14T00:00:00"/>
    <x v="1"/>
    <s v="100/300"/>
    <n v="2000"/>
    <x v="462"/>
    <n v="0"/>
    <x v="462"/>
    <x v="1"/>
    <x v="4"/>
    <x v="10"/>
    <x v="7"/>
    <s v="wife"/>
    <x v="190"/>
    <x v="0"/>
    <x v="43"/>
    <x v="2"/>
    <x v="0"/>
    <x v="0"/>
    <x v="2"/>
    <x v="0"/>
    <x v="5"/>
    <x v="465"/>
    <x v="23"/>
    <x v="1"/>
    <x v="2"/>
    <x v="1"/>
    <x v="3"/>
    <x v="0"/>
    <x v="413"/>
    <x v="33"/>
    <n v="5310"/>
    <x v="392"/>
    <s v="Chevrolet"/>
    <s v="Tahoe"/>
    <n v="2007"/>
    <x v="1"/>
    <n v="0"/>
  </r>
  <r>
    <n v="411"/>
    <x v="29"/>
    <x v="466"/>
    <d v="1992-07-30T00:00:00"/>
    <x v="2"/>
    <s v="250/500"/>
    <n v="1000"/>
    <x v="463"/>
    <n v="0"/>
    <x v="463"/>
    <x v="1"/>
    <x v="3"/>
    <x v="9"/>
    <x v="20"/>
    <s v="other-relative"/>
    <x v="1"/>
    <x v="0"/>
    <x v="10"/>
    <x v="2"/>
    <x v="0"/>
    <x v="0"/>
    <x v="4"/>
    <x v="1"/>
    <x v="3"/>
    <x v="466"/>
    <x v="6"/>
    <x v="1"/>
    <x v="1"/>
    <x v="1"/>
    <x v="1"/>
    <x v="1"/>
    <x v="414"/>
    <x v="368"/>
    <n v="3510"/>
    <x v="393"/>
    <s v="Volkswagen"/>
    <s v="Passat"/>
    <n v="2007"/>
    <x v="1"/>
    <n v="0"/>
  </r>
  <r>
    <n v="225"/>
    <x v="7"/>
    <x v="467"/>
    <d v="2000-12-01T00:00:00"/>
    <x v="0"/>
    <s v="100/300"/>
    <n v="1000"/>
    <x v="464"/>
    <n v="5000000"/>
    <x v="464"/>
    <x v="1"/>
    <x v="5"/>
    <x v="13"/>
    <x v="12"/>
    <s v="not-in-family"/>
    <x v="191"/>
    <x v="0"/>
    <x v="58"/>
    <x v="2"/>
    <x v="3"/>
    <x v="1"/>
    <x v="2"/>
    <x v="4"/>
    <x v="6"/>
    <x v="467"/>
    <x v="4"/>
    <x v="1"/>
    <x v="1"/>
    <x v="2"/>
    <x v="0"/>
    <x v="2"/>
    <x v="415"/>
    <x v="369"/>
    <n v="9600"/>
    <x v="268"/>
    <s v="Volkswagen"/>
    <s v="Passat"/>
    <n v="2015"/>
    <x v="1"/>
    <n v="0"/>
  </r>
  <r>
    <n v="35"/>
    <x v="21"/>
    <x v="468"/>
    <d v="2002-09-10T00:00:00"/>
    <x v="2"/>
    <s v="100/300"/>
    <n v="2000"/>
    <x v="465"/>
    <n v="0"/>
    <x v="465"/>
    <x v="1"/>
    <x v="1"/>
    <x v="9"/>
    <x v="15"/>
    <s v="not-in-family"/>
    <x v="1"/>
    <x v="200"/>
    <x v="30"/>
    <x v="2"/>
    <x v="0"/>
    <x v="1"/>
    <x v="2"/>
    <x v="5"/>
    <x v="4"/>
    <x v="468"/>
    <x v="6"/>
    <x v="1"/>
    <x v="2"/>
    <x v="2"/>
    <x v="0"/>
    <x v="2"/>
    <x v="416"/>
    <x v="370"/>
    <n v="11820"/>
    <x v="394"/>
    <s v="Volkswagen"/>
    <s v="Jetta"/>
    <n v="1996"/>
    <x v="1"/>
    <n v="1"/>
  </r>
  <r>
    <n v="460"/>
    <x v="37"/>
    <x v="469"/>
    <d v="1997-11-07T00:00:00"/>
    <x v="0"/>
    <s v="100/300"/>
    <n v="2000"/>
    <x v="466"/>
    <n v="0"/>
    <x v="466"/>
    <x v="1"/>
    <x v="6"/>
    <x v="0"/>
    <x v="9"/>
    <s v="husband"/>
    <x v="80"/>
    <x v="0"/>
    <x v="11"/>
    <x v="0"/>
    <x v="3"/>
    <x v="0"/>
    <x v="3"/>
    <x v="2"/>
    <x v="1"/>
    <x v="469"/>
    <x v="15"/>
    <x v="0"/>
    <x v="1"/>
    <x v="2"/>
    <x v="2"/>
    <x v="2"/>
    <x v="81"/>
    <x v="79"/>
    <n v="11660"/>
    <x v="83"/>
    <s v="Nissan"/>
    <s v="Maxima"/>
    <n v="2014"/>
    <x v="0"/>
    <n v="0"/>
  </r>
  <r>
    <n v="195"/>
    <x v="11"/>
    <x v="470"/>
    <d v="1993-05-18T00:00:00"/>
    <x v="2"/>
    <s v="500/1000"/>
    <n v="2000"/>
    <x v="467"/>
    <n v="6000000"/>
    <x v="467"/>
    <x v="0"/>
    <x v="0"/>
    <x v="4"/>
    <x v="17"/>
    <s v="unmarried"/>
    <x v="186"/>
    <x v="35"/>
    <x v="30"/>
    <x v="2"/>
    <x v="3"/>
    <x v="1"/>
    <x v="4"/>
    <x v="4"/>
    <x v="3"/>
    <x v="470"/>
    <x v="11"/>
    <x v="1"/>
    <x v="0"/>
    <x v="0"/>
    <x v="0"/>
    <x v="2"/>
    <x v="417"/>
    <x v="288"/>
    <n v="0"/>
    <x v="395"/>
    <s v="Dodge"/>
    <s v="Neon"/>
    <n v="2003"/>
    <x v="1"/>
    <n v="0"/>
  </r>
  <r>
    <n v="360"/>
    <x v="34"/>
    <x v="471"/>
    <d v="1996-07-11T00:00:00"/>
    <x v="2"/>
    <s v="250/500"/>
    <n v="1000"/>
    <x v="468"/>
    <n v="0"/>
    <x v="468"/>
    <x v="0"/>
    <x v="1"/>
    <x v="3"/>
    <x v="11"/>
    <s v="not-in-family"/>
    <x v="1"/>
    <x v="1"/>
    <x v="53"/>
    <x v="2"/>
    <x v="0"/>
    <x v="2"/>
    <x v="4"/>
    <x v="4"/>
    <x v="1"/>
    <x v="471"/>
    <x v="12"/>
    <x v="1"/>
    <x v="2"/>
    <x v="2"/>
    <x v="1"/>
    <x v="0"/>
    <x v="418"/>
    <x v="371"/>
    <n v="15080"/>
    <x v="396"/>
    <s v="BMW"/>
    <s v="X6"/>
    <n v="2000"/>
    <x v="1"/>
    <n v="0"/>
  </r>
  <r>
    <n v="300"/>
    <x v="24"/>
    <x v="472"/>
    <d v="1995-12-17T00:00:00"/>
    <x v="2"/>
    <s v="100/300"/>
    <n v="1000"/>
    <x v="469"/>
    <n v="0"/>
    <x v="469"/>
    <x v="1"/>
    <x v="1"/>
    <x v="13"/>
    <x v="15"/>
    <s v="wife"/>
    <x v="1"/>
    <x v="0"/>
    <x v="59"/>
    <x v="1"/>
    <x v="1"/>
    <x v="3"/>
    <x v="1"/>
    <x v="0"/>
    <x v="0"/>
    <x v="472"/>
    <x v="19"/>
    <x v="0"/>
    <x v="2"/>
    <x v="0"/>
    <x v="1"/>
    <x v="2"/>
    <x v="108"/>
    <x v="77"/>
    <n v="1180"/>
    <x v="90"/>
    <s v="Nissan"/>
    <s v="Maxima"/>
    <n v="2001"/>
    <x v="1"/>
    <n v="0"/>
  </r>
  <r>
    <n v="245"/>
    <x v="1"/>
    <x v="473"/>
    <d v="2002-07-16T00:00:00"/>
    <x v="2"/>
    <s v="500/1000"/>
    <n v="1000"/>
    <x v="470"/>
    <n v="7000000"/>
    <x v="470"/>
    <x v="0"/>
    <x v="6"/>
    <x v="8"/>
    <x v="14"/>
    <s v="other-relative"/>
    <x v="1"/>
    <x v="201"/>
    <x v="41"/>
    <x v="3"/>
    <x v="1"/>
    <x v="1"/>
    <x v="0"/>
    <x v="7"/>
    <x v="3"/>
    <x v="473"/>
    <x v="4"/>
    <x v="0"/>
    <x v="1"/>
    <x v="2"/>
    <x v="0"/>
    <x v="1"/>
    <x v="79"/>
    <x v="85"/>
    <n v="1180"/>
    <x v="90"/>
    <s v="Toyota"/>
    <s v="Camry"/>
    <n v="2011"/>
    <x v="0"/>
    <n v="0"/>
  </r>
  <r>
    <n v="146"/>
    <x v="31"/>
    <x v="474"/>
    <d v="2013-04-12T00:00:00"/>
    <x v="0"/>
    <s v="500/1000"/>
    <n v="2000"/>
    <x v="471"/>
    <n v="0"/>
    <x v="471"/>
    <x v="1"/>
    <x v="4"/>
    <x v="6"/>
    <x v="6"/>
    <s v="other-relative"/>
    <x v="192"/>
    <x v="199"/>
    <x v="53"/>
    <x v="2"/>
    <x v="0"/>
    <x v="2"/>
    <x v="0"/>
    <x v="5"/>
    <x v="4"/>
    <x v="474"/>
    <x v="16"/>
    <x v="1"/>
    <x v="2"/>
    <x v="0"/>
    <x v="3"/>
    <x v="2"/>
    <x v="419"/>
    <x v="227"/>
    <n v="5590"/>
    <x v="236"/>
    <s v="Nissan"/>
    <s v="Ultima"/>
    <n v="2015"/>
    <x v="1"/>
    <n v="0"/>
  </r>
  <r>
    <n v="67"/>
    <x v="2"/>
    <x v="475"/>
    <d v="1995-11-13T00:00:00"/>
    <x v="2"/>
    <s v="250/500"/>
    <n v="1000"/>
    <x v="472"/>
    <n v="0"/>
    <x v="472"/>
    <x v="0"/>
    <x v="5"/>
    <x v="12"/>
    <x v="18"/>
    <s v="husband"/>
    <x v="193"/>
    <x v="104"/>
    <x v="14"/>
    <x v="0"/>
    <x v="2"/>
    <x v="0"/>
    <x v="3"/>
    <x v="0"/>
    <x v="0"/>
    <x v="475"/>
    <x v="16"/>
    <x v="0"/>
    <x v="2"/>
    <x v="1"/>
    <x v="2"/>
    <x v="0"/>
    <x v="420"/>
    <x v="372"/>
    <n v="6380"/>
    <x v="116"/>
    <s v="Saab"/>
    <s v="92x"/>
    <n v="1998"/>
    <x v="0"/>
    <n v="0"/>
  </r>
  <r>
    <n v="380"/>
    <x v="29"/>
    <x v="476"/>
    <d v="2004-11-04T00:00:00"/>
    <x v="0"/>
    <s v="100/300"/>
    <n v="1000"/>
    <x v="473"/>
    <n v="0"/>
    <x v="473"/>
    <x v="0"/>
    <x v="0"/>
    <x v="13"/>
    <x v="19"/>
    <s v="other-relative"/>
    <x v="4"/>
    <x v="0"/>
    <x v="9"/>
    <x v="0"/>
    <x v="0"/>
    <x v="2"/>
    <x v="0"/>
    <x v="1"/>
    <x v="5"/>
    <x v="476"/>
    <x v="15"/>
    <x v="0"/>
    <x v="1"/>
    <x v="1"/>
    <x v="3"/>
    <x v="0"/>
    <x v="421"/>
    <x v="373"/>
    <n v="7270"/>
    <x v="397"/>
    <s v="Saab"/>
    <n v="95"/>
    <n v="1996"/>
    <x v="0"/>
    <n v="0"/>
  </r>
  <r>
    <n v="389"/>
    <x v="38"/>
    <x v="477"/>
    <d v="1998-03-21T00:00:00"/>
    <x v="2"/>
    <s v="500/1000"/>
    <n v="2000"/>
    <x v="474"/>
    <n v="0"/>
    <x v="474"/>
    <x v="0"/>
    <x v="4"/>
    <x v="3"/>
    <x v="14"/>
    <s v="unmarried"/>
    <x v="1"/>
    <x v="0"/>
    <x v="17"/>
    <x v="1"/>
    <x v="1"/>
    <x v="1"/>
    <x v="0"/>
    <x v="5"/>
    <x v="1"/>
    <x v="477"/>
    <x v="13"/>
    <x v="0"/>
    <x v="2"/>
    <x v="0"/>
    <x v="0"/>
    <x v="2"/>
    <x v="225"/>
    <x v="212"/>
    <n v="1260"/>
    <x v="398"/>
    <s v="Mercedes"/>
    <s v="C300"/>
    <n v="2001"/>
    <x v="0"/>
    <n v="0"/>
  </r>
  <r>
    <n v="317"/>
    <x v="35"/>
    <x v="478"/>
    <d v="1999-07-22T00:00:00"/>
    <x v="1"/>
    <s v="250/500"/>
    <n v="1000"/>
    <x v="475"/>
    <n v="0"/>
    <x v="475"/>
    <x v="0"/>
    <x v="0"/>
    <x v="2"/>
    <x v="12"/>
    <s v="other-relative"/>
    <x v="194"/>
    <x v="0"/>
    <x v="48"/>
    <x v="0"/>
    <x v="3"/>
    <x v="0"/>
    <x v="2"/>
    <x v="4"/>
    <x v="2"/>
    <x v="478"/>
    <x v="22"/>
    <x v="0"/>
    <x v="2"/>
    <x v="2"/>
    <x v="3"/>
    <x v="2"/>
    <x v="422"/>
    <x v="374"/>
    <n v="19020"/>
    <x v="399"/>
    <s v="Mercedes"/>
    <s v="ML350"/>
    <n v="1999"/>
    <x v="0"/>
    <n v="0"/>
  </r>
  <r>
    <n v="264"/>
    <x v="4"/>
    <x v="479"/>
    <d v="2010-02-28T00:00:00"/>
    <x v="2"/>
    <s v="100/300"/>
    <n v="500"/>
    <x v="476"/>
    <n v="6000000"/>
    <x v="476"/>
    <x v="0"/>
    <x v="3"/>
    <x v="8"/>
    <x v="0"/>
    <s v="wife"/>
    <x v="1"/>
    <x v="0"/>
    <x v="56"/>
    <x v="2"/>
    <x v="2"/>
    <x v="0"/>
    <x v="2"/>
    <x v="0"/>
    <x v="3"/>
    <x v="479"/>
    <x v="3"/>
    <x v="1"/>
    <x v="2"/>
    <x v="1"/>
    <x v="0"/>
    <x v="2"/>
    <x v="423"/>
    <x v="375"/>
    <n v="6350"/>
    <x v="400"/>
    <s v="Ford"/>
    <s v="Fusion"/>
    <n v="1999"/>
    <x v="1"/>
    <n v="0"/>
  </r>
  <r>
    <n v="20"/>
    <x v="42"/>
    <x v="480"/>
    <d v="2005-01-30T00:00:00"/>
    <x v="0"/>
    <s v="250/500"/>
    <n v="1000"/>
    <x v="477"/>
    <n v="0"/>
    <x v="477"/>
    <x v="1"/>
    <x v="4"/>
    <x v="7"/>
    <x v="18"/>
    <s v="other-relative"/>
    <x v="1"/>
    <x v="195"/>
    <x v="45"/>
    <x v="0"/>
    <x v="2"/>
    <x v="1"/>
    <x v="2"/>
    <x v="7"/>
    <x v="6"/>
    <x v="480"/>
    <x v="8"/>
    <x v="0"/>
    <x v="2"/>
    <x v="1"/>
    <x v="1"/>
    <x v="1"/>
    <x v="424"/>
    <x v="376"/>
    <n v="6290"/>
    <x v="401"/>
    <s v="Accura"/>
    <s v="MDX"/>
    <n v="2006"/>
    <x v="1"/>
    <n v="0"/>
  </r>
  <r>
    <n v="116"/>
    <x v="22"/>
    <x v="481"/>
    <d v="2001-11-29T00:00:00"/>
    <x v="1"/>
    <s v="500/1000"/>
    <n v="500"/>
    <x v="478"/>
    <n v="0"/>
    <x v="478"/>
    <x v="0"/>
    <x v="6"/>
    <x v="11"/>
    <x v="6"/>
    <s v="not-in-family"/>
    <x v="1"/>
    <x v="202"/>
    <x v="50"/>
    <x v="2"/>
    <x v="3"/>
    <x v="0"/>
    <x v="3"/>
    <x v="4"/>
    <x v="1"/>
    <x v="481"/>
    <x v="1"/>
    <x v="1"/>
    <x v="2"/>
    <x v="1"/>
    <x v="2"/>
    <x v="1"/>
    <x v="361"/>
    <x v="18"/>
    <n v="6630"/>
    <x v="402"/>
    <s v="Volkswagen"/>
    <s v="Passat"/>
    <n v="2004"/>
    <x v="0"/>
    <n v="0"/>
  </r>
  <r>
    <n v="222"/>
    <x v="17"/>
    <x v="482"/>
    <d v="2012-12-24T00:00:00"/>
    <x v="2"/>
    <s v="100/300"/>
    <n v="1000"/>
    <x v="479"/>
    <n v="0"/>
    <x v="479"/>
    <x v="0"/>
    <x v="6"/>
    <x v="3"/>
    <x v="7"/>
    <s v="unmarried"/>
    <x v="191"/>
    <x v="17"/>
    <x v="12"/>
    <x v="2"/>
    <x v="2"/>
    <x v="1"/>
    <x v="3"/>
    <x v="2"/>
    <x v="3"/>
    <x v="482"/>
    <x v="18"/>
    <x v="3"/>
    <x v="0"/>
    <x v="2"/>
    <x v="1"/>
    <x v="1"/>
    <x v="425"/>
    <x v="377"/>
    <n v="8150"/>
    <x v="403"/>
    <s v="BMW"/>
    <s v="3 Series"/>
    <n v="2013"/>
    <x v="1"/>
    <n v="0"/>
  </r>
  <r>
    <n v="439"/>
    <x v="29"/>
    <x v="483"/>
    <d v="1997-05-11T00:00:00"/>
    <x v="0"/>
    <s v="100/300"/>
    <n v="500"/>
    <x v="480"/>
    <n v="0"/>
    <x v="480"/>
    <x v="0"/>
    <x v="5"/>
    <x v="3"/>
    <x v="17"/>
    <s v="own-child"/>
    <x v="3"/>
    <x v="129"/>
    <x v="8"/>
    <x v="0"/>
    <x v="2"/>
    <x v="1"/>
    <x v="4"/>
    <x v="5"/>
    <x v="3"/>
    <x v="483"/>
    <x v="10"/>
    <x v="0"/>
    <x v="2"/>
    <x v="2"/>
    <x v="1"/>
    <x v="1"/>
    <x v="426"/>
    <x v="378"/>
    <n v="5000"/>
    <x v="404"/>
    <s v="Jeep"/>
    <s v="Wrangler"/>
    <n v="2009"/>
    <x v="1"/>
    <n v="0"/>
  </r>
  <r>
    <n v="66"/>
    <x v="23"/>
    <x v="484"/>
    <d v="1994-01-26T00:00:00"/>
    <x v="1"/>
    <s v="100/300"/>
    <n v="2000"/>
    <x v="481"/>
    <n v="0"/>
    <x v="481"/>
    <x v="0"/>
    <x v="2"/>
    <x v="12"/>
    <x v="20"/>
    <s v="husband"/>
    <x v="1"/>
    <x v="48"/>
    <x v="4"/>
    <x v="0"/>
    <x v="3"/>
    <x v="2"/>
    <x v="3"/>
    <x v="2"/>
    <x v="3"/>
    <x v="484"/>
    <x v="5"/>
    <x v="0"/>
    <x v="1"/>
    <x v="2"/>
    <x v="3"/>
    <x v="1"/>
    <x v="427"/>
    <x v="379"/>
    <n v="8780"/>
    <x v="405"/>
    <s v="Nissan"/>
    <s v="Maxima"/>
    <n v="1995"/>
    <x v="1"/>
    <n v="0"/>
  </r>
  <r>
    <n v="128"/>
    <x v="2"/>
    <x v="485"/>
    <d v="2010-11-04T00:00:00"/>
    <x v="0"/>
    <s v="500/1000"/>
    <n v="1000"/>
    <x v="482"/>
    <n v="0"/>
    <x v="482"/>
    <x v="0"/>
    <x v="5"/>
    <x v="6"/>
    <x v="6"/>
    <s v="husband"/>
    <x v="1"/>
    <x v="203"/>
    <x v="41"/>
    <x v="0"/>
    <x v="2"/>
    <x v="2"/>
    <x v="2"/>
    <x v="1"/>
    <x v="1"/>
    <x v="485"/>
    <x v="23"/>
    <x v="0"/>
    <x v="2"/>
    <x v="1"/>
    <x v="1"/>
    <x v="1"/>
    <x v="428"/>
    <x v="380"/>
    <n v="5370"/>
    <x v="406"/>
    <s v="Chevrolet"/>
    <s v="Malibu"/>
    <n v="2003"/>
    <x v="1"/>
    <n v="0"/>
  </r>
  <r>
    <n v="69"/>
    <x v="39"/>
    <x v="486"/>
    <d v="1992-06-19T00:00:00"/>
    <x v="1"/>
    <s v="500/1000"/>
    <n v="500"/>
    <x v="483"/>
    <n v="0"/>
    <x v="483"/>
    <x v="1"/>
    <x v="5"/>
    <x v="3"/>
    <x v="12"/>
    <s v="other-relative"/>
    <x v="1"/>
    <x v="0"/>
    <x v="57"/>
    <x v="2"/>
    <x v="2"/>
    <x v="1"/>
    <x v="0"/>
    <x v="2"/>
    <x v="3"/>
    <x v="486"/>
    <x v="6"/>
    <x v="1"/>
    <x v="1"/>
    <x v="1"/>
    <x v="1"/>
    <x v="2"/>
    <x v="429"/>
    <x v="381"/>
    <n v="6330"/>
    <x v="407"/>
    <s v="Dodge"/>
    <s v="RAM"/>
    <n v="2012"/>
    <x v="1"/>
    <n v="0"/>
  </r>
  <r>
    <n v="294"/>
    <x v="35"/>
    <x v="487"/>
    <d v="2010-06-02T00:00:00"/>
    <x v="2"/>
    <s v="100/300"/>
    <n v="500"/>
    <x v="484"/>
    <n v="0"/>
    <x v="484"/>
    <x v="0"/>
    <x v="3"/>
    <x v="5"/>
    <x v="20"/>
    <s v="own-child"/>
    <x v="1"/>
    <x v="0"/>
    <x v="43"/>
    <x v="0"/>
    <x v="0"/>
    <x v="2"/>
    <x v="3"/>
    <x v="0"/>
    <x v="5"/>
    <x v="487"/>
    <x v="1"/>
    <x v="0"/>
    <x v="2"/>
    <x v="1"/>
    <x v="2"/>
    <x v="0"/>
    <x v="301"/>
    <x v="382"/>
    <n v="11960"/>
    <x v="408"/>
    <s v="Mercedes"/>
    <s v="ML350"/>
    <n v="2013"/>
    <x v="1"/>
    <n v="0"/>
  </r>
  <r>
    <n v="19"/>
    <x v="2"/>
    <x v="488"/>
    <d v="2002-10-12T00:00:00"/>
    <x v="0"/>
    <s v="250/500"/>
    <n v="500"/>
    <x v="485"/>
    <n v="0"/>
    <x v="485"/>
    <x v="0"/>
    <x v="6"/>
    <x v="10"/>
    <x v="19"/>
    <s v="not-in-family"/>
    <x v="1"/>
    <x v="0"/>
    <x v="42"/>
    <x v="2"/>
    <x v="3"/>
    <x v="2"/>
    <x v="4"/>
    <x v="2"/>
    <x v="0"/>
    <x v="488"/>
    <x v="13"/>
    <x v="1"/>
    <x v="2"/>
    <x v="1"/>
    <x v="0"/>
    <x v="1"/>
    <x v="228"/>
    <x v="383"/>
    <n v="11600"/>
    <x v="409"/>
    <s v="Dodge"/>
    <s v="Neon"/>
    <n v="2005"/>
    <x v="0"/>
    <n v="0"/>
  </r>
  <r>
    <n v="191"/>
    <x v="8"/>
    <x v="489"/>
    <d v="2008-02-25T00:00:00"/>
    <x v="0"/>
    <s v="500/1000"/>
    <n v="2000"/>
    <x v="486"/>
    <n v="0"/>
    <x v="486"/>
    <x v="0"/>
    <x v="5"/>
    <x v="3"/>
    <x v="10"/>
    <s v="unmarried"/>
    <x v="195"/>
    <x v="204"/>
    <x v="31"/>
    <x v="1"/>
    <x v="1"/>
    <x v="1"/>
    <x v="1"/>
    <x v="4"/>
    <x v="2"/>
    <x v="489"/>
    <x v="19"/>
    <x v="0"/>
    <x v="0"/>
    <x v="0"/>
    <x v="3"/>
    <x v="2"/>
    <x v="430"/>
    <x v="384"/>
    <n v="250"/>
    <x v="410"/>
    <s v="Toyota"/>
    <s v="Corolla"/>
    <n v="2005"/>
    <x v="1"/>
    <n v="0"/>
  </r>
  <r>
    <n v="4"/>
    <x v="5"/>
    <x v="490"/>
    <d v="1996-09-05T00:00:00"/>
    <x v="2"/>
    <s v="100/300"/>
    <n v="1000"/>
    <x v="487"/>
    <n v="6000000"/>
    <x v="487"/>
    <x v="1"/>
    <x v="5"/>
    <x v="1"/>
    <x v="1"/>
    <s v="unmarried"/>
    <x v="132"/>
    <x v="0"/>
    <x v="6"/>
    <x v="2"/>
    <x v="3"/>
    <x v="1"/>
    <x v="4"/>
    <x v="1"/>
    <x v="5"/>
    <x v="490"/>
    <x v="8"/>
    <x v="1"/>
    <x v="0"/>
    <x v="0"/>
    <x v="2"/>
    <x v="1"/>
    <x v="431"/>
    <x v="385"/>
    <n v="9020"/>
    <x v="411"/>
    <s v="Jeep"/>
    <s v="Grand Cherokee"/>
    <n v="2007"/>
    <x v="1"/>
    <n v="0"/>
  </r>
  <r>
    <n v="298"/>
    <x v="24"/>
    <x v="491"/>
    <d v="1998-03-16T00:00:00"/>
    <x v="0"/>
    <s v="250/500"/>
    <n v="500"/>
    <x v="488"/>
    <n v="0"/>
    <x v="488"/>
    <x v="0"/>
    <x v="0"/>
    <x v="1"/>
    <x v="7"/>
    <s v="wife"/>
    <x v="1"/>
    <x v="46"/>
    <x v="34"/>
    <x v="2"/>
    <x v="0"/>
    <x v="0"/>
    <x v="3"/>
    <x v="2"/>
    <x v="6"/>
    <x v="491"/>
    <x v="16"/>
    <x v="1"/>
    <x v="2"/>
    <x v="1"/>
    <x v="0"/>
    <x v="2"/>
    <x v="57"/>
    <x v="333"/>
    <n v="11580"/>
    <x v="349"/>
    <s v="Saab"/>
    <n v="95"/>
    <n v="2007"/>
    <x v="1"/>
    <n v="0"/>
  </r>
  <r>
    <n v="231"/>
    <x v="18"/>
    <x v="492"/>
    <d v="2010-04-22T00:00:00"/>
    <x v="1"/>
    <s v="100/300"/>
    <n v="2000"/>
    <x v="489"/>
    <n v="0"/>
    <x v="489"/>
    <x v="1"/>
    <x v="4"/>
    <x v="12"/>
    <x v="1"/>
    <s v="not-in-family"/>
    <x v="1"/>
    <x v="0"/>
    <x v="32"/>
    <x v="0"/>
    <x v="2"/>
    <x v="1"/>
    <x v="0"/>
    <x v="2"/>
    <x v="5"/>
    <x v="492"/>
    <x v="11"/>
    <x v="0"/>
    <x v="1"/>
    <x v="0"/>
    <x v="0"/>
    <x v="2"/>
    <x v="86"/>
    <x v="83"/>
    <n v="10300"/>
    <x v="88"/>
    <s v="Chevrolet"/>
    <s v="Malibu"/>
    <n v="2015"/>
    <x v="1"/>
    <n v="0"/>
  </r>
  <r>
    <n v="338"/>
    <x v="26"/>
    <x v="493"/>
    <d v="2008-01-25T00:00:00"/>
    <x v="0"/>
    <s v="250/500"/>
    <n v="2000"/>
    <x v="490"/>
    <n v="0"/>
    <x v="490"/>
    <x v="1"/>
    <x v="2"/>
    <x v="3"/>
    <x v="2"/>
    <s v="own-child"/>
    <x v="1"/>
    <x v="69"/>
    <x v="45"/>
    <x v="2"/>
    <x v="2"/>
    <x v="0"/>
    <x v="3"/>
    <x v="3"/>
    <x v="6"/>
    <x v="493"/>
    <x v="17"/>
    <x v="1"/>
    <x v="2"/>
    <x v="2"/>
    <x v="2"/>
    <x v="1"/>
    <x v="5"/>
    <x v="50"/>
    <n v="6410"/>
    <x v="51"/>
    <s v="Dodge"/>
    <s v="RAM"/>
    <n v="2014"/>
    <x v="0"/>
    <n v="0"/>
  </r>
  <r>
    <n v="261"/>
    <x v="35"/>
    <x v="494"/>
    <d v="2000-09-10T00:00:00"/>
    <x v="1"/>
    <s v="100/300"/>
    <n v="1000"/>
    <x v="491"/>
    <n v="0"/>
    <x v="491"/>
    <x v="0"/>
    <x v="1"/>
    <x v="5"/>
    <x v="7"/>
    <s v="unmarried"/>
    <x v="1"/>
    <x v="128"/>
    <x v="35"/>
    <x v="0"/>
    <x v="2"/>
    <x v="1"/>
    <x v="3"/>
    <x v="0"/>
    <x v="3"/>
    <x v="494"/>
    <x v="4"/>
    <x v="0"/>
    <x v="1"/>
    <x v="1"/>
    <x v="2"/>
    <x v="1"/>
    <x v="432"/>
    <x v="386"/>
    <n v="13380"/>
    <x v="412"/>
    <s v="Chevrolet"/>
    <s v="Tahoe"/>
    <n v="2013"/>
    <x v="1"/>
    <n v="0"/>
  </r>
  <r>
    <n v="321"/>
    <x v="4"/>
    <x v="495"/>
    <d v="2008-04-23T00:00:00"/>
    <x v="2"/>
    <s v="500/1000"/>
    <n v="2000"/>
    <x v="492"/>
    <n v="6000000"/>
    <x v="492"/>
    <x v="0"/>
    <x v="2"/>
    <x v="1"/>
    <x v="11"/>
    <s v="husband"/>
    <x v="1"/>
    <x v="205"/>
    <x v="26"/>
    <x v="1"/>
    <x v="1"/>
    <x v="3"/>
    <x v="0"/>
    <x v="2"/>
    <x v="5"/>
    <x v="495"/>
    <x v="2"/>
    <x v="0"/>
    <x v="1"/>
    <x v="0"/>
    <x v="0"/>
    <x v="2"/>
    <x v="433"/>
    <x v="387"/>
    <n v="0"/>
    <x v="25"/>
    <s v="Accura"/>
    <s v="MDX"/>
    <n v="1999"/>
    <x v="1"/>
    <n v="0"/>
  </r>
  <r>
    <n v="0"/>
    <x v="30"/>
    <x v="496"/>
    <d v="2011-02-18T00:00:00"/>
    <x v="0"/>
    <s v="500/1000"/>
    <n v="1000"/>
    <x v="493"/>
    <n v="0"/>
    <x v="493"/>
    <x v="0"/>
    <x v="3"/>
    <x v="4"/>
    <x v="5"/>
    <s v="wife"/>
    <x v="166"/>
    <x v="206"/>
    <x v="34"/>
    <x v="2"/>
    <x v="2"/>
    <x v="1"/>
    <x v="4"/>
    <x v="2"/>
    <x v="3"/>
    <x v="496"/>
    <x v="13"/>
    <x v="2"/>
    <x v="1"/>
    <x v="0"/>
    <x v="3"/>
    <x v="2"/>
    <x v="434"/>
    <x v="308"/>
    <n v="6620"/>
    <x v="413"/>
    <s v="Accura"/>
    <s v="MDX"/>
    <n v="2002"/>
    <x v="1"/>
    <n v="0"/>
  </r>
  <r>
    <n v="405"/>
    <x v="12"/>
    <x v="497"/>
    <d v="2012-04-24T00:00:00"/>
    <x v="2"/>
    <s v="250/500"/>
    <n v="500"/>
    <x v="494"/>
    <n v="0"/>
    <x v="494"/>
    <x v="0"/>
    <x v="0"/>
    <x v="8"/>
    <x v="20"/>
    <s v="not-in-family"/>
    <x v="1"/>
    <x v="119"/>
    <x v="6"/>
    <x v="0"/>
    <x v="3"/>
    <x v="0"/>
    <x v="0"/>
    <x v="2"/>
    <x v="2"/>
    <x v="497"/>
    <x v="20"/>
    <x v="0"/>
    <x v="1"/>
    <x v="1"/>
    <x v="1"/>
    <x v="1"/>
    <x v="435"/>
    <x v="388"/>
    <n v="5780"/>
    <x v="414"/>
    <s v="Mercedes"/>
    <s v="ML350"/>
    <n v="1997"/>
    <x v="0"/>
    <n v="0"/>
  </r>
  <r>
    <n v="304"/>
    <x v="24"/>
    <x v="498"/>
    <d v="2001-09-25T00:00:00"/>
    <x v="1"/>
    <s v="100/300"/>
    <n v="1000"/>
    <x v="495"/>
    <n v="0"/>
    <x v="495"/>
    <x v="1"/>
    <x v="1"/>
    <x v="0"/>
    <x v="7"/>
    <s v="own-child"/>
    <x v="1"/>
    <x v="0"/>
    <x v="1"/>
    <x v="0"/>
    <x v="0"/>
    <x v="1"/>
    <x v="3"/>
    <x v="5"/>
    <x v="5"/>
    <x v="498"/>
    <x v="23"/>
    <x v="0"/>
    <x v="0"/>
    <x v="0"/>
    <x v="3"/>
    <x v="0"/>
    <x v="436"/>
    <x v="389"/>
    <n v="6670"/>
    <x v="415"/>
    <s v="Saab"/>
    <n v="95"/>
    <n v="2013"/>
    <x v="1"/>
    <n v="0"/>
  </r>
  <r>
    <n v="1"/>
    <x v="2"/>
    <x v="499"/>
    <d v="2006-05-24T00:00:00"/>
    <x v="0"/>
    <s v="500/1000"/>
    <n v="500"/>
    <x v="496"/>
    <n v="0"/>
    <x v="496"/>
    <x v="1"/>
    <x v="6"/>
    <x v="0"/>
    <x v="13"/>
    <s v="other-relative"/>
    <x v="196"/>
    <x v="0"/>
    <x v="17"/>
    <x v="0"/>
    <x v="0"/>
    <x v="1"/>
    <x v="0"/>
    <x v="0"/>
    <x v="6"/>
    <x v="499"/>
    <x v="12"/>
    <x v="0"/>
    <x v="1"/>
    <x v="2"/>
    <x v="2"/>
    <x v="0"/>
    <x v="437"/>
    <x v="390"/>
    <n v="23670"/>
    <x v="53"/>
    <s v="Honda"/>
    <s v="CRV"/>
    <n v="2003"/>
    <x v="1"/>
    <n v="0"/>
  </r>
  <r>
    <n v="26"/>
    <x v="5"/>
    <x v="500"/>
    <d v="1992-01-30T00:00:00"/>
    <x v="1"/>
    <s v="250/500"/>
    <n v="1000"/>
    <x v="497"/>
    <n v="0"/>
    <x v="497"/>
    <x v="0"/>
    <x v="4"/>
    <x v="4"/>
    <x v="0"/>
    <s v="husband"/>
    <x v="1"/>
    <x v="59"/>
    <x v="32"/>
    <x v="0"/>
    <x v="0"/>
    <x v="0"/>
    <x v="0"/>
    <x v="4"/>
    <x v="0"/>
    <x v="500"/>
    <x v="5"/>
    <x v="0"/>
    <x v="2"/>
    <x v="1"/>
    <x v="0"/>
    <x v="1"/>
    <x v="438"/>
    <x v="391"/>
    <n v="4980"/>
    <x v="416"/>
    <s v="Mercedes"/>
    <s v="ML350"/>
    <n v="2015"/>
    <x v="1"/>
    <n v="0"/>
  </r>
  <r>
    <n v="202"/>
    <x v="11"/>
    <x v="501"/>
    <d v="2009-01-24T00:00:00"/>
    <x v="2"/>
    <s v="100/300"/>
    <n v="2000"/>
    <x v="498"/>
    <n v="0"/>
    <x v="498"/>
    <x v="1"/>
    <x v="2"/>
    <x v="3"/>
    <x v="20"/>
    <s v="husband"/>
    <x v="1"/>
    <x v="207"/>
    <x v="57"/>
    <x v="0"/>
    <x v="0"/>
    <x v="0"/>
    <x v="3"/>
    <x v="4"/>
    <x v="4"/>
    <x v="501"/>
    <x v="11"/>
    <x v="0"/>
    <x v="0"/>
    <x v="0"/>
    <x v="3"/>
    <x v="2"/>
    <x v="282"/>
    <x v="392"/>
    <n v="14080"/>
    <x v="270"/>
    <s v="Nissan"/>
    <s v="Ultima"/>
    <n v="2005"/>
    <x v="1"/>
    <n v="0"/>
  </r>
  <r>
    <n v="289"/>
    <x v="0"/>
    <x v="502"/>
    <d v="1995-08-29T00:00:00"/>
    <x v="2"/>
    <s v="500/1000"/>
    <n v="500"/>
    <x v="499"/>
    <n v="8000000"/>
    <x v="499"/>
    <x v="1"/>
    <x v="1"/>
    <x v="11"/>
    <x v="2"/>
    <s v="own-child"/>
    <x v="1"/>
    <x v="172"/>
    <x v="25"/>
    <x v="0"/>
    <x v="3"/>
    <x v="2"/>
    <x v="3"/>
    <x v="0"/>
    <x v="3"/>
    <x v="502"/>
    <x v="17"/>
    <x v="0"/>
    <x v="1"/>
    <x v="0"/>
    <x v="1"/>
    <x v="1"/>
    <x v="439"/>
    <x v="186"/>
    <n v="0"/>
    <x v="417"/>
    <s v="Accura"/>
    <s v="TL"/>
    <n v="1999"/>
    <x v="1"/>
    <n v="0"/>
  </r>
  <r>
    <n v="61"/>
    <x v="13"/>
    <x v="503"/>
    <d v="2011-07-31T00:00:00"/>
    <x v="0"/>
    <s v="100/300"/>
    <n v="2000"/>
    <x v="500"/>
    <n v="6000000"/>
    <x v="500"/>
    <x v="1"/>
    <x v="6"/>
    <x v="13"/>
    <x v="9"/>
    <s v="wife"/>
    <x v="1"/>
    <x v="110"/>
    <x v="30"/>
    <x v="2"/>
    <x v="2"/>
    <x v="0"/>
    <x v="2"/>
    <x v="1"/>
    <x v="4"/>
    <x v="503"/>
    <x v="16"/>
    <x v="3"/>
    <x v="0"/>
    <x v="0"/>
    <x v="1"/>
    <x v="2"/>
    <x v="440"/>
    <x v="382"/>
    <n v="5980"/>
    <x v="418"/>
    <s v="Ford"/>
    <s v="F150"/>
    <n v="2015"/>
    <x v="0"/>
    <n v="0"/>
  </r>
  <r>
    <n v="334"/>
    <x v="35"/>
    <x v="504"/>
    <d v="2013-01-05T00:00:00"/>
    <x v="2"/>
    <s v="100/300"/>
    <n v="1000"/>
    <x v="501"/>
    <n v="6000000"/>
    <x v="501"/>
    <x v="0"/>
    <x v="0"/>
    <x v="2"/>
    <x v="1"/>
    <s v="other-relative"/>
    <x v="1"/>
    <x v="0"/>
    <x v="28"/>
    <x v="0"/>
    <x v="2"/>
    <x v="1"/>
    <x v="0"/>
    <x v="4"/>
    <x v="4"/>
    <x v="504"/>
    <x v="23"/>
    <x v="0"/>
    <x v="2"/>
    <x v="2"/>
    <x v="3"/>
    <x v="2"/>
    <x v="391"/>
    <x v="393"/>
    <n v="6370"/>
    <x v="325"/>
    <s v="Jeep"/>
    <s v="Grand Cherokee"/>
    <n v="1998"/>
    <x v="1"/>
    <n v="0"/>
  </r>
  <r>
    <n v="12"/>
    <x v="39"/>
    <x v="505"/>
    <d v="1994-11-18T00:00:00"/>
    <x v="2"/>
    <s v="500/1000"/>
    <n v="1000"/>
    <x v="502"/>
    <n v="0"/>
    <x v="502"/>
    <x v="1"/>
    <x v="1"/>
    <x v="4"/>
    <x v="13"/>
    <s v="other-relative"/>
    <x v="20"/>
    <x v="0"/>
    <x v="57"/>
    <x v="2"/>
    <x v="2"/>
    <x v="1"/>
    <x v="0"/>
    <x v="2"/>
    <x v="1"/>
    <x v="505"/>
    <x v="21"/>
    <x v="1"/>
    <x v="2"/>
    <x v="2"/>
    <x v="3"/>
    <x v="1"/>
    <x v="441"/>
    <x v="394"/>
    <n v="5930"/>
    <x v="419"/>
    <s v="Nissan"/>
    <s v="Ultima"/>
    <n v="2011"/>
    <x v="1"/>
    <n v="0"/>
  </r>
  <r>
    <n v="86"/>
    <x v="2"/>
    <x v="506"/>
    <d v="2014-08-30T00:00:00"/>
    <x v="2"/>
    <s v="100/300"/>
    <n v="2000"/>
    <x v="503"/>
    <n v="0"/>
    <x v="503"/>
    <x v="0"/>
    <x v="5"/>
    <x v="5"/>
    <x v="12"/>
    <s v="husband"/>
    <x v="197"/>
    <x v="208"/>
    <x v="8"/>
    <x v="0"/>
    <x v="3"/>
    <x v="1"/>
    <x v="0"/>
    <x v="2"/>
    <x v="6"/>
    <x v="506"/>
    <x v="5"/>
    <x v="0"/>
    <x v="2"/>
    <x v="2"/>
    <x v="0"/>
    <x v="0"/>
    <x v="56"/>
    <x v="317"/>
    <n v="14520"/>
    <x v="420"/>
    <s v="Accura"/>
    <s v="MDX"/>
    <n v="2005"/>
    <x v="1"/>
    <n v="0"/>
  </r>
  <r>
    <n v="83"/>
    <x v="39"/>
    <x v="507"/>
    <d v="2006-01-01T00:00:00"/>
    <x v="1"/>
    <s v="500/1000"/>
    <n v="1000"/>
    <x v="504"/>
    <n v="0"/>
    <x v="504"/>
    <x v="1"/>
    <x v="5"/>
    <x v="1"/>
    <x v="2"/>
    <s v="unmarried"/>
    <x v="1"/>
    <x v="0"/>
    <x v="41"/>
    <x v="2"/>
    <x v="3"/>
    <x v="2"/>
    <x v="2"/>
    <x v="2"/>
    <x v="2"/>
    <x v="507"/>
    <x v="5"/>
    <x v="1"/>
    <x v="1"/>
    <x v="1"/>
    <x v="3"/>
    <x v="2"/>
    <x v="442"/>
    <x v="395"/>
    <n v="12320"/>
    <x v="421"/>
    <s v="Honda"/>
    <s v="CRV"/>
    <n v="2003"/>
    <x v="1"/>
    <n v="0"/>
  </r>
  <r>
    <n v="126"/>
    <x v="22"/>
    <x v="508"/>
    <d v="1998-09-10T00:00:00"/>
    <x v="2"/>
    <s v="500/1000"/>
    <n v="2000"/>
    <x v="505"/>
    <n v="0"/>
    <x v="505"/>
    <x v="0"/>
    <x v="3"/>
    <x v="2"/>
    <x v="6"/>
    <s v="unmarried"/>
    <x v="198"/>
    <x v="45"/>
    <x v="22"/>
    <x v="2"/>
    <x v="2"/>
    <x v="2"/>
    <x v="0"/>
    <x v="2"/>
    <x v="5"/>
    <x v="508"/>
    <x v="16"/>
    <x v="1"/>
    <x v="0"/>
    <x v="2"/>
    <x v="1"/>
    <x v="2"/>
    <x v="443"/>
    <x v="396"/>
    <n v="12360"/>
    <x v="422"/>
    <s v="Mercedes"/>
    <s v="E400"/>
    <n v="2002"/>
    <x v="1"/>
    <n v="0"/>
  </r>
  <r>
    <n v="209"/>
    <x v="11"/>
    <x v="509"/>
    <d v="2010-01-28T00:00:00"/>
    <x v="0"/>
    <s v="250/500"/>
    <n v="500"/>
    <x v="506"/>
    <n v="0"/>
    <x v="506"/>
    <x v="0"/>
    <x v="5"/>
    <x v="7"/>
    <x v="1"/>
    <s v="husband"/>
    <x v="188"/>
    <x v="209"/>
    <x v="50"/>
    <x v="0"/>
    <x v="2"/>
    <x v="2"/>
    <x v="0"/>
    <x v="4"/>
    <x v="2"/>
    <x v="509"/>
    <x v="1"/>
    <x v="0"/>
    <x v="2"/>
    <x v="2"/>
    <x v="1"/>
    <x v="1"/>
    <x v="444"/>
    <x v="397"/>
    <n v="8900"/>
    <x v="423"/>
    <s v="Audi"/>
    <s v="A3"/>
    <n v="2015"/>
    <x v="1"/>
    <n v="0"/>
  </r>
  <r>
    <n v="283"/>
    <x v="0"/>
    <x v="510"/>
    <d v="2003-01-04T00:00:00"/>
    <x v="0"/>
    <s v="500/1000"/>
    <n v="1000"/>
    <x v="507"/>
    <n v="0"/>
    <x v="507"/>
    <x v="1"/>
    <x v="6"/>
    <x v="2"/>
    <x v="13"/>
    <s v="husband"/>
    <x v="1"/>
    <x v="210"/>
    <x v="4"/>
    <x v="3"/>
    <x v="1"/>
    <x v="3"/>
    <x v="0"/>
    <x v="2"/>
    <x v="4"/>
    <x v="510"/>
    <x v="10"/>
    <x v="0"/>
    <x v="1"/>
    <x v="2"/>
    <x v="2"/>
    <x v="2"/>
    <x v="445"/>
    <x v="398"/>
    <n v="820"/>
    <x v="424"/>
    <s v="Volkswagen"/>
    <s v="Jetta"/>
    <n v="2003"/>
    <x v="1"/>
    <n v="0"/>
  </r>
  <r>
    <n v="194"/>
    <x v="6"/>
    <x v="511"/>
    <d v="2004-05-24T00:00:00"/>
    <x v="2"/>
    <s v="250/500"/>
    <n v="1000"/>
    <x v="508"/>
    <n v="0"/>
    <x v="508"/>
    <x v="0"/>
    <x v="6"/>
    <x v="6"/>
    <x v="11"/>
    <s v="not-in-family"/>
    <x v="1"/>
    <x v="0"/>
    <x v="27"/>
    <x v="0"/>
    <x v="2"/>
    <x v="2"/>
    <x v="4"/>
    <x v="4"/>
    <x v="5"/>
    <x v="511"/>
    <x v="20"/>
    <x v="0"/>
    <x v="1"/>
    <x v="2"/>
    <x v="3"/>
    <x v="0"/>
    <x v="446"/>
    <x v="399"/>
    <n v="5880"/>
    <x v="425"/>
    <s v="Nissan"/>
    <s v="Pathfinder"/>
    <n v="1997"/>
    <x v="1"/>
    <n v="0"/>
  </r>
  <r>
    <n v="184"/>
    <x v="11"/>
    <x v="512"/>
    <d v="1994-09-12T00:00:00"/>
    <x v="2"/>
    <s v="250/500"/>
    <n v="1000"/>
    <x v="509"/>
    <n v="0"/>
    <x v="509"/>
    <x v="1"/>
    <x v="3"/>
    <x v="10"/>
    <x v="14"/>
    <s v="not-in-family"/>
    <x v="1"/>
    <x v="0"/>
    <x v="40"/>
    <x v="2"/>
    <x v="0"/>
    <x v="1"/>
    <x v="4"/>
    <x v="7"/>
    <x v="6"/>
    <x v="512"/>
    <x v="13"/>
    <x v="1"/>
    <x v="1"/>
    <x v="1"/>
    <x v="0"/>
    <x v="2"/>
    <x v="447"/>
    <x v="146"/>
    <n v="5970"/>
    <x v="242"/>
    <s v="Dodge"/>
    <s v="RAM"/>
    <n v="2013"/>
    <x v="0"/>
    <n v="0"/>
  </r>
  <r>
    <n v="479"/>
    <x v="33"/>
    <x v="513"/>
    <d v="1997-07-07T00:00:00"/>
    <x v="2"/>
    <s v="100/300"/>
    <n v="2000"/>
    <x v="510"/>
    <n v="0"/>
    <x v="510"/>
    <x v="1"/>
    <x v="3"/>
    <x v="6"/>
    <x v="19"/>
    <s v="husband"/>
    <x v="1"/>
    <x v="0"/>
    <x v="25"/>
    <x v="0"/>
    <x v="2"/>
    <x v="2"/>
    <x v="4"/>
    <x v="2"/>
    <x v="2"/>
    <x v="513"/>
    <x v="22"/>
    <x v="0"/>
    <x v="2"/>
    <x v="1"/>
    <x v="1"/>
    <x v="2"/>
    <x v="378"/>
    <x v="400"/>
    <n v="10100"/>
    <x v="426"/>
    <s v="Honda"/>
    <s v="Civic"/>
    <n v="2001"/>
    <x v="1"/>
    <n v="0"/>
  </r>
  <r>
    <n v="284"/>
    <x v="0"/>
    <x v="514"/>
    <d v="1991-03-01T00:00:00"/>
    <x v="0"/>
    <s v="250/500"/>
    <n v="1000"/>
    <x v="511"/>
    <n v="0"/>
    <x v="511"/>
    <x v="1"/>
    <x v="6"/>
    <x v="4"/>
    <x v="10"/>
    <s v="other-relative"/>
    <x v="1"/>
    <x v="211"/>
    <x v="24"/>
    <x v="0"/>
    <x v="0"/>
    <x v="2"/>
    <x v="3"/>
    <x v="2"/>
    <x v="6"/>
    <x v="514"/>
    <x v="20"/>
    <x v="0"/>
    <x v="1"/>
    <x v="1"/>
    <x v="2"/>
    <x v="0"/>
    <x v="448"/>
    <x v="290"/>
    <n v="3250"/>
    <x v="427"/>
    <s v="Mercedes"/>
    <s v="E400"/>
    <n v="2001"/>
    <x v="1"/>
    <n v="0"/>
  </r>
  <r>
    <n v="65"/>
    <x v="28"/>
    <x v="515"/>
    <d v="2001-09-29T00:00:00"/>
    <x v="1"/>
    <s v="100/300"/>
    <n v="1000"/>
    <x v="512"/>
    <n v="0"/>
    <x v="382"/>
    <x v="1"/>
    <x v="3"/>
    <x v="12"/>
    <x v="20"/>
    <s v="wife"/>
    <x v="199"/>
    <x v="212"/>
    <x v="34"/>
    <x v="0"/>
    <x v="3"/>
    <x v="2"/>
    <x v="4"/>
    <x v="4"/>
    <x v="2"/>
    <x v="515"/>
    <x v="18"/>
    <x v="0"/>
    <x v="1"/>
    <x v="0"/>
    <x v="0"/>
    <x v="0"/>
    <x v="449"/>
    <x v="401"/>
    <n v="7140"/>
    <x v="428"/>
    <s v="Chevrolet"/>
    <s v="Silverado"/>
    <n v="2004"/>
    <x v="1"/>
    <n v="0"/>
  </r>
  <r>
    <n v="222"/>
    <x v="5"/>
    <x v="516"/>
    <d v="2012-01-10T00:00:00"/>
    <x v="2"/>
    <s v="250/500"/>
    <n v="1000"/>
    <x v="513"/>
    <n v="0"/>
    <x v="512"/>
    <x v="0"/>
    <x v="5"/>
    <x v="3"/>
    <x v="11"/>
    <s v="own-child"/>
    <x v="200"/>
    <x v="192"/>
    <x v="47"/>
    <x v="2"/>
    <x v="3"/>
    <x v="0"/>
    <x v="2"/>
    <x v="0"/>
    <x v="3"/>
    <x v="516"/>
    <x v="7"/>
    <x v="1"/>
    <x v="1"/>
    <x v="0"/>
    <x v="1"/>
    <x v="2"/>
    <x v="450"/>
    <x v="402"/>
    <n v="14660"/>
    <x v="429"/>
    <s v="Jeep"/>
    <s v="Wrangler"/>
    <n v="1999"/>
    <x v="0"/>
    <n v="0"/>
  </r>
  <r>
    <n v="196"/>
    <x v="3"/>
    <x v="517"/>
    <d v="2001-07-05T00:00:00"/>
    <x v="2"/>
    <s v="250/500"/>
    <n v="2000"/>
    <x v="514"/>
    <n v="0"/>
    <x v="513"/>
    <x v="0"/>
    <x v="6"/>
    <x v="9"/>
    <x v="7"/>
    <s v="other-relative"/>
    <x v="1"/>
    <x v="42"/>
    <x v="45"/>
    <x v="2"/>
    <x v="2"/>
    <x v="1"/>
    <x v="4"/>
    <x v="0"/>
    <x v="4"/>
    <x v="517"/>
    <x v="5"/>
    <x v="1"/>
    <x v="2"/>
    <x v="0"/>
    <x v="1"/>
    <x v="2"/>
    <x v="451"/>
    <x v="403"/>
    <n v="4780"/>
    <x v="430"/>
    <s v="Jeep"/>
    <s v="Grand Cherokee"/>
    <n v="2009"/>
    <x v="1"/>
    <n v="0"/>
  </r>
  <r>
    <n v="253"/>
    <x v="18"/>
    <x v="518"/>
    <d v="1991-08-07T00:00:00"/>
    <x v="2"/>
    <s v="500/1000"/>
    <n v="500"/>
    <x v="515"/>
    <n v="7000000"/>
    <x v="514"/>
    <x v="1"/>
    <x v="2"/>
    <x v="4"/>
    <x v="20"/>
    <s v="unmarried"/>
    <x v="70"/>
    <x v="213"/>
    <x v="40"/>
    <x v="1"/>
    <x v="1"/>
    <x v="3"/>
    <x v="0"/>
    <x v="2"/>
    <x v="6"/>
    <x v="518"/>
    <x v="10"/>
    <x v="0"/>
    <x v="2"/>
    <x v="1"/>
    <x v="3"/>
    <x v="1"/>
    <x v="452"/>
    <x v="214"/>
    <n v="640"/>
    <x v="431"/>
    <s v="Chevrolet"/>
    <s v="Tahoe"/>
    <n v="2014"/>
    <x v="1"/>
    <n v="0"/>
  </r>
  <r>
    <n v="280"/>
    <x v="18"/>
    <x v="519"/>
    <d v="2012-07-24T00:00:00"/>
    <x v="1"/>
    <s v="100/300"/>
    <n v="1000"/>
    <x v="516"/>
    <n v="0"/>
    <x v="515"/>
    <x v="0"/>
    <x v="6"/>
    <x v="10"/>
    <x v="11"/>
    <s v="own-child"/>
    <x v="1"/>
    <x v="214"/>
    <x v="4"/>
    <x v="0"/>
    <x v="3"/>
    <x v="2"/>
    <x v="2"/>
    <x v="2"/>
    <x v="1"/>
    <x v="519"/>
    <x v="17"/>
    <x v="0"/>
    <x v="2"/>
    <x v="1"/>
    <x v="0"/>
    <x v="1"/>
    <x v="453"/>
    <x v="99"/>
    <n v="7000"/>
    <x v="432"/>
    <s v="Accura"/>
    <s v="RSX"/>
    <n v="2004"/>
    <x v="1"/>
    <n v="0"/>
  </r>
  <r>
    <n v="5"/>
    <x v="13"/>
    <x v="520"/>
    <d v="2014-07-27T00:00:00"/>
    <x v="2"/>
    <s v="250/500"/>
    <n v="2000"/>
    <x v="517"/>
    <n v="0"/>
    <x v="516"/>
    <x v="1"/>
    <x v="1"/>
    <x v="13"/>
    <x v="9"/>
    <s v="not-in-family"/>
    <x v="201"/>
    <x v="0"/>
    <x v="0"/>
    <x v="0"/>
    <x v="2"/>
    <x v="2"/>
    <x v="4"/>
    <x v="4"/>
    <x v="3"/>
    <x v="520"/>
    <x v="9"/>
    <x v="0"/>
    <x v="0"/>
    <x v="0"/>
    <x v="2"/>
    <x v="1"/>
    <x v="454"/>
    <x v="404"/>
    <n v="16020"/>
    <x v="433"/>
    <s v="Audi"/>
    <s v="A5"/>
    <n v="2003"/>
    <x v="1"/>
    <n v="0"/>
  </r>
  <r>
    <n v="220"/>
    <x v="1"/>
    <x v="521"/>
    <d v="1994-08-08T00:00:00"/>
    <x v="1"/>
    <s v="100/300"/>
    <n v="1000"/>
    <x v="518"/>
    <n v="0"/>
    <x v="517"/>
    <x v="0"/>
    <x v="3"/>
    <x v="13"/>
    <x v="11"/>
    <s v="other-relative"/>
    <x v="202"/>
    <x v="29"/>
    <x v="56"/>
    <x v="2"/>
    <x v="2"/>
    <x v="1"/>
    <x v="2"/>
    <x v="0"/>
    <x v="5"/>
    <x v="521"/>
    <x v="3"/>
    <x v="2"/>
    <x v="2"/>
    <x v="1"/>
    <x v="0"/>
    <x v="0"/>
    <x v="455"/>
    <x v="405"/>
    <n v="4340"/>
    <x v="434"/>
    <s v="Honda"/>
    <s v="Civic"/>
    <n v="2005"/>
    <x v="1"/>
    <n v="0"/>
  </r>
  <r>
    <n v="85"/>
    <x v="22"/>
    <x v="522"/>
    <d v="2001-12-09T00:00:00"/>
    <x v="0"/>
    <s v="100/300"/>
    <n v="1000"/>
    <x v="519"/>
    <n v="0"/>
    <x v="518"/>
    <x v="1"/>
    <x v="0"/>
    <x v="0"/>
    <x v="17"/>
    <s v="own-child"/>
    <x v="203"/>
    <x v="3"/>
    <x v="41"/>
    <x v="2"/>
    <x v="2"/>
    <x v="2"/>
    <x v="2"/>
    <x v="0"/>
    <x v="5"/>
    <x v="522"/>
    <x v="10"/>
    <x v="1"/>
    <x v="0"/>
    <x v="2"/>
    <x v="3"/>
    <x v="0"/>
    <x v="456"/>
    <x v="206"/>
    <n v="10720"/>
    <x v="435"/>
    <s v="Ford"/>
    <s v="F150"/>
    <n v="2004"/>
    <x v="1"/>
    <n v="0"/>
  </r>
  <r>
    <n v="266"/>
    <x v="35"/>
    <x v="523"/>
    <d v="1990-03-14T00:00:00"/>
    <x v="0"/>
    <s v="250/500"/>
    <n v="500"/>
    <x v="520"/>
    <n v="0"/>
    <x v="519"/>
    <x v="1"/>
    <x v="2"/>
    <x v="4"/>
    <x v="9"/>
    <s v="own-child"/>
    <x v="1"/>
    <x v="27"/>
    <x v="13"/>
    <x v="3"/>
    <x v="1"/>
    <x v="1"/>
    <x v="0"/>
    <x v="5"/>
    <x v="6"/>
    <x v="523"/>
    <x v="0"/>
    <x v="0"/>
    <x v="2"/>
    <x v="0"/>
    <x v="0"/>
    <x v="1"/>
    <x v="457"/>
    <x v="51"/>
    <n v="240"/>
    <x v="436"/>
    <s v="Toyota"/>
    <s v="Corolla"/>
    <n v="2004"/>
    <x v="1"/>
    <n v="0"/>
  </r>
  <r>
    <n v="41"/>
    <x v="13"/>
    <x v="524"/>
    <d v="2006-03-28T00:00:00"/>
    <x v="2"/>
    <s v="100/300"/>
    <n v="1000"/>
    <x v="521"/>
    <n v="0"/>
    <x v="520"/>
    <x v="1"/>
    <x v="6"/>
    <x v="5"/>
    <x v="20"/>
    <s v="own-child"/>
    <x v="13"/>
    <x v="0"/>
    <x v="24"/>
    <x v="1"/>
    <x v="1"/>
    <x v="3"/>
    <x v="0"/>
    <x v="0"/>
    <x v="1"/>
    <x v="524"/>
    <x v="11"/>
    <x v="0"/>
    <x v="0"/>
    <x v="0"/>
    <x v="3"/>
    <x v="1"/>
    <x v="243"/>
    <x v="171"/>
    <n v="1060"/>
    <x v="437"/>
    <s v="Jeep"/>
    <s v="Grand Cherokee"/>
    <n v="1997"/>
    <x v="1"/>
    <n v="0"/>
  </r>
  <r>
    <n v="316"/>
    <x v="19"/>
    <x v="525"/>
    <d v="2013-12-23T00:00:00"/>
    <x v="2"/>
    <s v="100/300"/>
    <n v="2000"/>
    <x v="522"/>
    <n v="5000000"/>
    <x v="521"/>
    <x v="1"/>
    <x v="5"/>
    <x v="5"/>
    <x v="15"/>
    <s v="husband"/>
    <x v="204"/>
    <x v="0"/>
    <x v="26"/>
    <x v="2"/>
    <x v="0"/>
    <x v="0"/>
    <x v="4"/>
    <x v="1"/>
    <x v="3"/>
    <x v="525"/>
    <x v="13"/>
    <x v="1"/>
    <x v="2"/>
    <x v="2"/>
    <x v="1"/>
    <x v="0"/>
    <x v="458"/>
    <x v="406"/>
    <n v="14340"/>
    <x v="438"/>
    <s v="Suburu"/>
    <s v="Legacy"/>
    <n v="2013"/>
    <x v="1"/>
    <n v="0"/>
  </r>
  <r>
    <n v="285"/>
    <x v="26"/>
    <x v="526"/>
    <d v="1991-09-30T00:00:00"/>
    <x v="1"/>
    <s v="100/300"/>
    <n v="1000"/>
    <x v="523"/>
    <n v="0"/>
    <x v="522"/>
    <x v="1"/>
    <x v="4"/>
    <x v="2"/>
    <x v="16"/>
    <s v="other-relative"/>
    <x v="205"/>
    <x v="0"/>
    <x v="10"/>
    <x v="1"/>
    <x v="1"/>
    <x v="3"/>
    <x v="0"/>
    <x v="0"/>
    <x v="0"/>
    <x v="526"/>
    <x v="1"/>
    <x v="0"/>
    <x v="2"/>
    <x v="0"/>
    <x v="3"/>
    <x v="2"/>
    <x v="459"/>
    <x v="53"/>
    <n v="300"/>
    <x v="439"/>
    <s v="Ford"/>
    <s v="F150"/>
    <n v="2013"/>
    <x v="1"/>
    <n v="0"/>
  </r>
  <r>
    <n v="379"/>
    <x v="25"/>
    <x v="527"/>
    <d v="2001-12-27T00:00:00"/>
    <x v="2"/>
    <s v="100/300"/>
    <n v="500"/>
    <x v="524"/>
    <n v="0"/>
    <x v="523"/>
    <x v="1"/>
    <x v="2"/>
    <x v="1"/>
    <x v="15"/>
    <s v="not-in-family"/>
    <x v="206"/>
    <x v="0"/>
    <x v="11"/>
    <x v="0"/>
    <x v="3"/>
    <x v="2"/>
    <x v="4"/>
    <x v="4"/>
    <x v="1"/>
    <x v="527"/>
    <x v="8"/>
    <x v="0"/>
    <x v="1"/>
    <x v="1"/>
    <x v="3"/>
    <x v="2"/>
    <x v="460"/>
    <x v="407"/>
    <n v="6330"/>
    <x v="440"/>
    <s v="Jeep"/>
    <s v="Grand Cherokee"/>
    <n v="2010"/>
    <x v="1"/>
    <n v="0"/>
  </r>
  <r>
    <n v="15"/>
    <x v="6"/>
    <x v="528"/>
    <d v="2005-04-07T00:00:00"/>
    <x v="1"/>
    <s v="250/500"/>
    <n v="2000"/>
    <x v="525"/>
    <n v="0"/>
    <x v="524"/>
    <x v="1"/>
    <x v="5"/>
    <x v="2"/>
    <x v="17"/>
    <s v="other-relative"/>
    <x v="202"/>
    <x v="87"/>
    <x v="39"/>
    <x v="0"/>
    <x v="3"/>
    <x v="0"/>
    <x v="0"/>
    <x v="4"/>
    <x v="6"/>
    <x v="528"/>
    <x v="15"/>
    <x v="0"/>
    <x v="0"/>
    <x v="0"/>
    <x v="2"/>
    <x v="1"/>
    <x v="461"/>
    <x v="408"/>
    <n v="13740"/>
    <x v="441"/>
    <s v="BMW"/>
    <s v="X5"/>
    <n v="2010"/>
    <x v="0"/>
    <n v="0"/>
  </r>
  <r>
    <n v="354"/>
    <x v="0"/>
    <x v="529"/>
    <d v="2003-04-08T00:00:00"/>
    <x v="2"/>
    <s v="500/1000"/>
    <n v="2000"/>
    <x v="526"/>
    <n v="5000000"/>
    <x v="525"/>
    <x v="1"/>
    <x v="4"/>
    <x v="2"/>
    <x v="20"/>
    <s v="unmarried"/>
    <x v="1"/>
    <x v="0"/>
    <x v="28"/>
    <x v="0"/>
    <x v="3"/>
    <x v="1"/>
    <x v="0"/>
    <x v="0"/>
    <x v="0"/>
    <x v="529"/>
    <x v="11"/>
    <x v="0"/>
    <x v="1"/>
    <x v="2"/>
    <x v="2"/>
    <x v="0"/>
    <x v="462"/>
    <x v="409"/>
    <n v="15040"/>
    <x v="140"/>
    <s v="Chevrolet"/>
    <s v="Malibu"/>
    <n v="1995"/>
    <x v="1"/>
    <n v="0"/>
  </r>
  <r>
    <n v="342"/>
    <x v="38"/>
    <x v="530"/>
    <d v="2005-11-14T00:00:00"/>
    <x v="1"/>
    <s v="100/300"/>
    <n v="1000"/>
    <x v="527"/>
    <n v="0"/>
    <x v="526"/>
    <x v="1"/>
    <x v="3"/>
    <x v="5"/>
    <x v="8"/>
    <s v="not-in-family"/>
    <x v="1"/>
    <x v="0"/>
    <x v="48"/>
    <x v="0"/>
    <x v="3"/>
    <x v="0"/>
    <x v="4"/>
    <x v="0"/>
    <x v="3"/>
    <x v="530"/>
    <x v="11"/>
    <x v="0"/>
    <x v="1"/>
    <x v="1"/>
    <x v="1"/>
    <x v="2"/>
    <x v="463"/>
    <x v="410"/>
    <n v="7360"/>
    <x v="442"/>
    <s v="Accura"/>
    <s v="MDX"/>
    <n v="2000"/>
    <x v="1"/>
    <n v="0"/>
  </r>
  <r>
    <n v="169"/>
    <x v="11"/>
    <x v="531"/>
    <d v="2005-01-07T00:00:00"/>
    <x v="2"/>
    <s v="100/300"/>
    <n v="1000"/>
    <x v="528"/>
    <n v="0"/>
    <x v="527"/>
    <x v="0"/>
    <x v="1"/>
    <x v="0"/>
    <x v="9"/>
    <s v="own-child"/>
    <x v="207"/>
    <x v="0"/>
    <x v="0"/>
    <x v="2"/>
    <x v="3"/>
    <x v="2"/>
    <x v="3"/>
    <x v="1"/>
    <x v="1"/>
    <x v="531"/>
    <x v="11"/>
    <x v="1"/>
    <x v="2"/>
    <x v="0"/>
    <x v="2"/>
    <x v="0"/>
    <x v="464"/>
    <x v="411"/>
    <n v="13180"/>
    <x v="443"/>
    <s v="Mercedes"/>
    <s v="C300"/>
    <n v="2012"/>
    <x v="1"/>
    <n v="0"/>
  </r>
  <r>
    <n v="339"/>
    <x v="24"/>
    <x v="532"/>
    <d v="1994-02-14T00:00:00"/>
    <x v="1"/>
    <s v="500/1000"/>
    <n v="2000"/>
    <x v="529"/>
    <n v="0"/>
    <x v="528"/>
    <x v="0"/>
    <x v="6"/>
    <x v="12"/>
    <x v="13"/>
    <s v="not-in-family"/>
    <x v="208"/>
    <x v="215"/>
    <x v="23"/>
    <x v="1"/>
    <x v="1"/>
    <x v="1"/>
    <x v="1"/>
    <x v="0"/>
    <x v="0"/>
    <x v="532"/>
    <x v="21"/>
    <x v="0"/>
    <x v="2"/>
    <x v="1"/>
    <x v="2"/>
    <x v="2"/>
    <x v="260"/>
    <x v="72"/>
    <n v="620"/>
    <x v="348"/>
    <s v="Mercedes"/>
    <s v="ML350"/>
    <n v="2009"/>
    <x v="1"/>
    <n v="0"/>
  </r>
  <r>
    <n v="259"/>
    <x v="1"/>
    <x v="533"/>
    <d v="1996-01-23T00:00:00"/>
    <x v="0"/>
    <s v="100/300"/>
    <n v="2000"/>
    <x v="530"/>
    <n v="0"/>
    <x v="529"/>
    <x v="1"/>
    <x v="1"/>
    <x v="3"/>
    <x v="0"/>
    <s v="wife"/>
    <x v="209"/>
    <x v="17"/>
    <x v="37"/>
    <x v="2"/>
    <x v="2"/>
    <x v="2"/>
    <x v="2"/>
    <x v="4"/>
    <x v="5"/>
    <x v="533"/>
    <x v="18"/>
    <x v="1"/>
    <x v="2"/>
    <x v="0"/>
    <x v="0"/>
    <x v="0"/>
    <x v="169"/>
    <x v="412"/>
    <n v="11380"/>
    <x v="444"/>
    <s v="Nissan"/>
    <s v="Pathfinder"/>
    <n v="2006"/>
    <x v="1"/>
    <n v="0"/>
  </r>
  <r>
    <n v="65"/>
    <x v="10"/>
    <x v="534"/>
    <d v="1999-12-12T00:00:00"/>
    <x v="0"/>
    <s v="250/500"/>
    <n v="1000"/>
    <x v="531"/>
    <n v="0"/>
    <x v="530"/>
    <x v="1"/>
    <x v="3"/>
    <x v="2"/>
    <x v="8"/>
    <s v="wife"/>
    <x v="1"/>
    <x v="216"/>
    <x v="14"/>
    <x v="0"/>
    <x v="0"/>
    <x v="0"/>
    <x v="3"/>
    <x v="2"/>
    <x v="2"/>
    <x v="534"/>
    <x v="8"/>
    <x v="0"/>
    <x v="2"/>
    <x v="0"/>
    <x v="1"/>
    <x v="0"/>
    <x v="465"/>
    <x v="122"/>
    <n v="6550"/>
    <x v="445"/>
    <s v="Accura"/>
    <s v="MDX"/>
    <n v="2005"/>
    <x v="0"/>
    <n v="0"/>
  </r>
  <r>
    <n v="254"/>
    <x v="35"/>
    <x v="535"/>
    <d v="2004-07-15T00:00:00"/>
    <x v="2"/>
    <s v="250/500"/>
    <n v="2000"/>
    <x v="532"/>
    <n v="0"/>
    <x v="531"/>
    <x v="0"/>
    <x v="0"/>
    <x v="4"/>
    <x v="16"/>
    <s v="husband"/>
    <x v="1"/>
    <x v="217"/>
    <x v="3"/>
    <x v="2"/>
    <x v="3"/>
    <x v="0"/>
    <x v="4"/>
    <x v="4"/>
    <x v="2"/>
    <x v="535"/>
    <x v="19"/>
    <x v="1"/>
    <x v="1"/>
    <x v="0"/>
    <x v="2"/>
    <x v="0"/>
    <x v="435"/>
    <x v="388"/>
    <n v="11560"/>
    <x v="446"/>
    <s v="Volkswagen"/>
    <s v="Jetta"/>
    <n v="2004"/>
    <x v="1"/>
    <n v="0"/>
  </r>
  <r>
    <n v="440"/>
    <x v="16"/>
    <x v="536"/>
    <d v="2012-11-07T00:00:00"/>
    <x v="2"/>
    <s v="250/500"/>
    <n v="500"/>
    <x v="533"/>
    <n v="0"/>
    <x v="532"/>
    <x v="1"/>
    <x v="2"/>
    <x v="7"/>
    <x v="1"/>
    <s v="other-relative"/>
    <x v="1"/>
    <x v="69"/>
    <x v="49"/>
    <x v="2"/>
    <x v="0"/>
    <x v="1"/>
    <x v="0"/>
    <x v="2"/>
    <x v="1"/>
    <x v="536"/>
    <x v="22"/>
    <x v="1"/>
    <x v="0"/>
    <x v="2"/>
    <x v="3"/>
    <x v="2"/>
    <x v="466"/>
    <x v="413"/>
    <n v="6140"/>
    <x v="447"/>
    <s v="Nissan"/>
    <s v="Ultima"/>
    <n v="1995"/>
    <x v="1"/>
    <n v="0"/>
  </r>
  <r>
    <n v="478"/>
    <x v="43"/>
    <x v="537"/>
    <d v="2009-06-29T00:00:00"/>
    <x v="2"/>
    <s v="250/500"/>
    <n v="1000"/>
    <x v="534"/>
    <n v="0"/>
    <x v="533"/>
    <x v="0"/>
    <x v="5"/>
    <x v="12"/>
    <x v="13"/>
    <s v="own-child"/>
    <x v="27"/>
    <x v="0"/>
    <x v="31"/>
    <x v="3"/>
    <x v="1"/>
    <x v="1"/>
    <x v="1"/>
    <x v="1"/>
    <x v="5"/>
    <x v="537"/>
    <x v="0"/>
    <x v="0"/>
    <x v="0"/>
    <x v="0"/>
    <x v="2"/>
    <x v="2"/>
    <x v="84"/>
    <x v="82"/>
    <n v="470"/>
    <x v="86"/>
    <s v="Dodge"/>
    <s v="Neon"/>
    <n v="2007"/>
    <x v="0"/>
    <n v="0"/>
  </r>
  <r>
    <n v="230"/>
    <x v="4"/>
    <x v="538"/>
    <d v="2000-06-26T00:00:00"/>
    <x v="1"/>
    <s v="250/500"/>
    <n v="2000"/>
    <x v="535"/>
    <n v="0"/>
    <x v="534"/>
    <x v="1"/>
    <x v="3"/>
    <x v="5"/>
    <x v="11"/>
    <s v="other-relative"/>
    <x v="210"/>
    <x v="218"/>
    <x v="4"/>
    <x v="0"/>
    <x v="3"/>
    <x v="2"/>
    <x v="2"/>
    <x v="0"/>
    <x v="1"/>
    <x v="538"/>
    <x v="4"/>
    <x v="0"/>
    <x v="2"/>
    <x v="1"/>
    <x v="0"/>
    <x v="0"/>
    <x v="467"/>
    <x v="414"/>
    <n v="13480"/>
    <x v="448"/>
    <s v="BMW"/>
    <s v="X5"/>
    <n v="2015"/>
    <x v="1"/>
    <n v="0"/>
  </r>
  <r>
    <n v="138"/>
    <x v="22"/>
    <x v="539"/>
    <d v="2002-01-09T00:00:00"/>
    <x v="0"/>
    <s v="500/1000"/>
    <n v="500"/>
    <x v="536"/>
    <n v="4000000"/>
    <x v="535"/>
    <x v="1"/>
    <x v="1"/>
    <x v="6"/>
    <x v="1"/>
    <s v="wife"/>
    <x v="211"/>
    <x v="219"/>
    <x v="10"/>
    <x v="0"/>
    <x v="3"/>
    <x v="0"/>
    <x v="3"/>
    <x v="1"/>
    <x v="4"/>
    <x v="539"/>
    <x v="5"/>
    <x v="0"/>
    <x v="1"/>
    <x v="2"/>
    <x v="0"/>
    <x v="2"/>
    <x v="468"/>
    <x v="339"/>
    <n v="13860"/>
    <x v="449"/>
    <s v="Volkswagen"/>
    <s v="Jetta"/>
    <n v="2011"/>
    <x v="1"/>
    <n v="0"/>
  </r>
  <r>
    <n v="239"/>
    <x v="3"/>
    <x v="540"/>
    <d v="2013-11-11T00:00:00"/>
    <x v="0"/>
    <s v="250/500"/>
    <n v="1000"/>
    <x v="537"/>
    <n v="7000000"/>
    <x v="536"/>
    <x v="1"/>
    <x v="6"/>
    <x v="13"/>
    <x v="13"/>
    <s v="other-relative"/>
    <x v="20"/>
    <x v="220"/>
    <x v="32"/>
    <x v="3"/>
    <x v="1"/>
    <x v="3"/>
    <x v="0"/>
    <x v="5"/>
    <x v="2"/>
    <x v="540"/>
    <x v="9"/>
    <x v="0"/>
    <x v="1"/>
    <x v="1"/>
    <x v="0"/>
    <x v="0"/>
    <x v="469"/>
    <x v="415"/>
    <n v="830"/>
    <x v="450"/>
    <s v="Mercedes"/>
    <s v="E400"/>
    <n v="2013"/>
    <x v="1"/>
    <n v="0"/>
  </r>
  <r>
    <n v="93"/>
    <x v="14"/>
    <x v="541"/>
    <d v="2008-01-14T00:00:00"/>
    <x v="2"/>
    <s v="100/300"/>
    <n v="2000"/>
    <x v="538"/>
    <n v="0"/>
    <x v="537"/>
    <x v="1"/>
    <x v="0"/>
    <x v="5"/>
    <x v="13"/>
    <s v="husband"/>
    <x v="1"/>
    <x v="0"/>
    <x v="4"/>
    <x v="2"/>
    <x v="2"/>
    <x v="0"/>
    <x v="0"/>
    <x v="5"/>
    <x v="2"/>
    <x v="541"/>
    <x v="7"/>
    <x v="1"/>
    <x v="0"/>
    <x v="0"/>
    <x v="2"/>
    <x v="2"/>
    <x v="470"/>
    <x v="416"/>
    <n v="8740"/>
    <x v="451"/>
    <s v="Saab"/>
    <s v="92x"/>
    <n v="2014"/>
    <x v="1"/>
    <n v="0"/>
  </r>
  <r>
    <n v="37"/>
    <x v="20"/>
    <x v="542"/>
    <d v="2003-03-04T00:00:00"/>
    <x v="0"/>
    <s v="100/300"/>
    <n v="1000"/>
    <x v="539"/>
    <n v="0"/>
    <x v="538"/>
    <x v="1"/>
    <x v="4"/>
    <x v="9"/>
    <x v="6"/>
    <s v="not-in-family"/>
    <x v="212"/>
    <x v="0"/>
    <x v="27"/>
    <x v="2"/>
    <x v="2"/>
    <x v="1"/>
    <x v="4"/>
    <x v="0"/>
    <x v="6"/>
    <x v="542"/>
    <x v="14"/>
    <x v="1"/>
    <x v="0"/>
    <x v="1"/>
    <x v="1"/>
    <x v="0"/>
    <x v="471"/>
    <x v="346"/>
    <n v="11340"/>
    <x v="195"/>
    <s v="Suburu"/>
    <s v="Impreza"/>
    <n v="1996"/>
    <x v="1"/>
    <n v="0"/>
  </r>
  <r>
    <n v="254"/>
    <x v="17"/>
    <x v="543"/>
    <d v="1994-06-07T00:00:00"/>
    <x v="1"/>
    <s v="100/300"/>
    <n v="500"/>
    <x v="540"/>
    <n v="0"/>
    <x v="539"/>
    <x v="0"/>
    <x v="0"/>
    <x v="5"/>
    <x v="12"/>
    <s v="husband"/>
    <x v="1"/>
    <x v="0"/>
    <x v="1"/>
    <x v="0"/>
    <x v="3"/>
    <x v="1"/>
    <x v="2"/>
    <x v="1"/>
    <x v="2"/>
    <x v="543"/>
    <x v="15"/>
    <x v="0"/>
    <x v="0"/>
    <x v="1"/>
    <x v="3"/>
    <x v="1"/>
    <x v="472"/>
    <x v="20"/>
    <n v="5410"/>
    <x v="452"/>
    <s v="Honda"/>
    <s v="Civic"/>
    <n v="1996"/>
    <x v="0"/>
    <n v="0"/>
  </r>
  <r>
    <n v="131"/>
    <x v="2"/>
    <x v="544"/>
    <d v="2013-07-04T00:00:00"/>
    <x v="1"/>
    <s v="250/500"/>
    <n v="1000"/>
    <x v="541"/>
    <n v="0"/>
    <x v="540"/>
    <x v="1"/>
    <x v="2"/>
    <x v="2"/>
    <x v="13"/>
    <s v="own-child"/>
    <x v="21"/>
    <x v="0"/>
    <x v="51"/>
    <x v="0"/>
    <x v="3"/>
    <x v="0"/>
    <x v="2"/>
    <x v="0"/>
    <x v="4"/>
    <x v="544"/>
    <x v="0"/>
    <x v="0"/>
    <x v="1"/>
    <x v="0"/>
    <x v="2"/>
    <x v="2"/>
    <x v="473"/>
    <x v="417"/>
    <n v="7640"/>
    <x v="453"/>
    <s v="Suburu"/>
    <s v="Forrestor"/>
    <n v="2003"/>
    <x v="1"/>
    <n v="0"/>
  </r>
  <r>
    <n v="230"/>
    <x v="18"/>
    <x v="545"/>
    <d v="2002-06-30T00:00:00"/>
    <x v="1"/>
    <s v="100/300"/>
    <n v="2000"/>
    <x v="542"/>
    <n v="0"/>
    <x v="541"/>
    <x v="0"/>
    <x v="0"/>
    <x v="5"/>
    <x v="2"/>
    <s v="wife"/>
    <x v="213"/>
    <x v="0"/>
    <x v="22"/>
    <x v="0"/>
    <x v="0"/>
    <x v="2"/>
    <x v="4"/>
    <x v="1"/>
    <x v="4"/>
    <x v="545"/>
    <x v="21"/>
    <x v="0"/>
    <x v="1"/>
    <x v="1"/>
    <x v="0"/>
    <x v="1"/>
    <x v="474"/>
    <x v="61"/>
    <n v="13720"/>
    <x v="454"/>
    <s v="Audi"/>
    <s v="A5"/>
    <n v="2002"/>
    <x v="1"/>
    <n v="0"/>
  </r>
  <r>
    <n v="313"/>
    <x v="36"/>
    <x v="546"/>
    <d v="2004-06-30T00:00:00"/>
    <x v="0"/>
    <s v="100/300"/>
    <n v="2000"/>
    <x v="543"/>
    <n v="0"/>
    <x v="542"/>
    <x v="0"/>
    <x v="0"/>
    <x v="3"/>
    <x v="18"/>
    <s v="unmarried"/>
    <x v="1"/>
    <x v="0"/>
    <x v="40"/>
    <x v="2"/>
    <x v="0"/>
    <x v="0"/>
    <x v="3"/>
    <x v="3"/>
    <x v="6"/>
    <x v="546"/>
    <x v="22"/>
    <x v="1"/>
    <x v="0"/>
    <x v="2"/>
    <x v="3"/>
    <x v="0"/>
    <x v="475"/>
    <x v="62"/>
    <n v="6900"/>
    <x v="306"/>
    <s v="Ford"/>
    <s v="F150"/>
    <n v="1995"/>
    <x v="0"/>
    <n v="0"/>
  </r>
  <r>
    <n v="210"/>
    <x v="11"/>
    <x v="547"/>
    <d v="1998-12-19T00:00:00"/>
    <x v="1"/>
    <s v="250/500"/>
    <n v="500"/>
    <x v="544"/>
    <n v="0"/>
    <x v="543"/>
    <x v="0"/>
    <x v="6"/>
    <x v="4"/>
    <x v="6"/>
    <s v="other-relative"/>
    <x v="1"/>
    <x v="0"/>
    <x v="6"/>
    <x v="1"/>
    <x v="1"/>
    <x v="1"/>
    <x v="0"/>
    <x v="1"/>
    <x v="3"/>
    <x v="547"/>
    <x v="13"/>
    <x v="0"/>
    <x v="1"/>
    <x v="0"/>
    <x v="0"/>
    <x v="2"/>
    <x v="476"/>
    <x v="191"/>
    <n v="720"/>
    <x v="455"/>
    <s v="Accura"/>
    <s v="TL"/>
    <n v="2008"/>
    <x v="1"/>
    <n v="0"/>
  </r>
  <r>
    <n v="101"/>
    <x v="2"/>
    <x v="548"/>
    <d v="2014-08-31T00:00:00"/>
    <x v="0"/>
    <s v="250/500"/>
    <n v="500"/>
    <x v="545"/>
    <n v="0"/>
    <x v="544"/>
    <x v="0"/>
    <x v="1"/>
    <x v="3"/>
    <x v="8"/>
    <s v="own-child"/>
    <x v="214"/>
    <x v="221"/>
    <x v="24"/>
    <x v="2"/>
    <x v="2"/>
    <x v="1"/>
    <x v="4"/>
    <x v="0"/>
    <x v="2"/>
    <x v="548"/>
    <x v="5"/>
    <x v="1"/>
    <x v="1"/>
    <x v="2"/>
    <x v="3"/>
    <x v="1"/>
    <x v="477"/>
    <x v="418"/>
    <n v="12220"/>
    <x v="456"/>
    <s v="BMW"/>
    <s v="X6"/>
    <n v="1996"/>
    <x v="1"/>
    <n v="0"/>
  </r>
  <r>
    <n v="153"/>
    <x v="7"/>
    <x v="549"/>
    <d v="2005-11-10T00:00:00"/>
    <x v="1"/>
    <s v="500/1000"/>
    <n v="500"/>
    <x v="546"/>
    <n v="0"/>
    <x v="545"/>
    <x v="0"/>
    <x v="5"/>
    <x v="10"/>
    <x v="16"/>
    <s v="unmarried"/>
    <x v="215"/>
    <x v="15"/>
    <x v="29"/>
    <x v="2"/>
    <x v="0"/>
    <x v="2"/>
    <x v="4"/>
    <x v="5"/>
    <x v="2"/>
    <x v="549"/>
    <x v="0"/>
    <x v="1"/>
    <x v="1"/>
    <x v="1"/>
    <x v="2"/>
    <x v="2"/>
    <x v="478"/>
    <x v="419"/>
    <n v="4250"/>
    <x v="125"/>
    <s v="Volkswagen"/>
    <s v="Jetta"/>
    <n v="1999"/>
    <x v="1"/>
    <n v="0"/>
  </r>
  <r>
    <n v="337"/>
    <x v="38"/>
    <x v="550"/>
    <d v="2000-05-04T00:00:00"/>
    <x v="0"/>
    <s v="100/300"/>
    <n v="500"/>
    <x v="547"/>
    <n v="0"/>
    <x v="546"/>
    <x v="0"/>
    <x v="2"/>
    <x v="3"/>
    <x v="16"/>
    <s v="wife"/>
    <x v="1"/>
    <x v="222"/>
    <x v="52"/>
    <x v="0"/>
    <x v="2"/>
    <x v="1"/>
    <x v="2"/>
    <x v="0"/>
    <x v="2"/>
    <x v="550"/>
    <x v="1"/>
    <x v="0"/>
    <x v="0"/>
    <x v="1"/>
    <x v="3"/>
    <x v="2"/>
    <x v="479"/>
    <x v="420"/>
    <n v="7200"/>
    <x v="457"/>
    <s v="Accura"/>
    <s v="RSX"/>
    <n v="2001"/>
    <x v="1"/>
    <n v="0"/>
  </r>
  <r>
    <n v="360"/>
    <x v="34"/>
    <x v="551"/>
    <d v="2001-11-26T00:00:00"/>
    <x v="2"/>
    <s v="500/1000"/>
    <n v="1000"/>
    <x v="548"/>
    <n v="0"/>
    <x v="547"/>
    <x v="0"/>
    <x v="4"/>
    <x v="11"/>
    <x v="14"/>
    <s v="not-in-family"/>
    <x v="1"/>
    <x v="223"/>
    <x v="8"/>
    <x v="1"/>
    <x v="1"/>
    <x v="1"/>
    <x v="0"/>
    <x v="0"/>
    <x v="4"/>
    <x v="551"/>
    <x v="0"/>
    <x v="0"/>
    <x v="0"/>
    <x v="2"/>
    <x v="0"/>
    <x v="1"/>
    <x v="480"/>
    <x v="421"/>
    <n v="840"/>
    <x v="458"/>
    <s v="Dodge"/>
    <s v="RAM"/>
    <n v="2009"/>
    <x v="0"/>
    <n v="0"/>
  </r>
  <r>
    <n v="428"/>
    <x v="38"/>
    <x v="552"/>
    <d v="2014-05-06T00:00:00"/>
    <x v="2"/>
    <s v="100/300"/>
    <n v="1000"/>
    <x v="549"/>
    <n v="0"/>
    <x v="548"/>
    <x v="1"/>
    <x v="5"/>
    <x v="4"/>
    <x v="7"/>
    <s v="unmarried"/>
    <x v="1"/>
    <x v="0"/>
    <x v="55"/>
    <x v="3"/>
    <x v="1"/>
    <x v="3"/>
    <x v="0"/>
    <x v="5"/>
    <x v="3"/>
    <x v="552"/>
    <x v="10"/>
    <x v="0"/>
    <x v="0"/>
    <x v="2"/>
    <x v="0"/>
    <x v="2"/>
    <x v="91"/>
    <x v="212"/>
    <n v="1260"/>
    <x v="13"/>
    <s v="Honda"/>
    <s v="CRV"/>
    <n v="2013"/>
    <x v="1"/>
    <n v="0"/>
  </r>
  <r>
    <n v="204"/>
    <x v="17"/>
    <x v="553"/>
    <d v="1991-01-27T00:00:00"/>
    <x v="2"/>
    <s v="100/300"/>
    <n v="500"/>
    <x v="550"/>
    <n v="0"/>
    <x v="549"/>
    <x v="1"/>
    <x v="6"/>
    <x v="2"/>
    <x v="11"/>
    <s v="not-in-family"/>
    <x v="1"/>
    <x v="0"/>
    <x v="22"/>
    <x v="2"/>
    <x v="0"/>
    <x v="1"/>
    <x v="3"/>
    <x v="0"/>
    <x v="5"/>
    <x v="553"/>
    <x v="15"/>
    <x v="1"/>
    <x v="0"/>
    <x v="0"/>
    <x v="0"/>
    <x v="0"/>
    <x v="481"/>
    <x v="422"/>
    <m/>
    <x v="459"/>
    <s v="Saab"/>
    <n v="95"/>
    <n v="2013"/>
    <x v="1"/>
    <n v="1"/>
  </r>
  <r>
    <n v="364"/>
    <x v="34"/>
    <x v="554"/>
    <d v="1992-04-28T00:00:00"/>
    <x v="2"/>
    <s v="100/300"/>
    <n v="500"/>
    <x v="551"/>
    <n v="0"/>
    <x v="550"/>
    <x v="0"/>
    <x v="4"/>
    <x v="10"/>
    <x v="2"/>
    <s v="wife"/>
    <x v="1"/>
    <x v="0"/>
    <x v="3"/>
    <x v="0"/>
    <x v="2"/>
    <x v="0"/>
    <x v="3"/>
    <x v="2"/>
    <x v="6"/>
    <x v="554"/>
    <x v="16"/>
    <x v="0"/>
    <x v="0"/>
    <x v="2"/>
    <x v="3"/>
    <x v="2"/>
    <x v="482"/>
    <x v="423"/>
    <n v="14060"/>
    <x v="460"/>
    <s v="Volkswagen"/>
    <s v="Jetta"/>
    <n v="2014"/>
    <x v="0"/>
    <n v="0"/>
  </r>
  <r>
    <n v="185"/>
    <x v="21"/>
    <x v="555"/>
    <d v="2000-03-04T00:00:00"/>
    <x v="1"/>
    <s v="500/1000"/>
    <n v="2000"/>
    <x v="552"/>
    <n v="0"/>
    <x v="551"/>
    <x v="0"/>
    <x v="3"/>
    <x v="6"/>
    <x v="0"/>
    <s v="own-child"/>
    <x v="1"/>
    <x v="0"/>
    <x v="50"/>
    <x v="1"/>
    <x v="1"/>
    <x v="3"/>
    <x v="0"/>
    <x v="4"/>
    <x v="2"/>
    <x v="555"/>
    <x v="1"/>
    <x v="0"/>
    <x v="1"/>
    <x v="2"/>
    <x v="2"/>
    <x v="0"/>
    <x v="171"/>
    <x v="90"/>
    <n v="450"/>
    <x v="95"/>
    <s v="Ford"/>
    <s v="F150"/>
    <n v="2011"/>
    <x v="1"/>
    <n v="0"/>
  </r>
  <r>
    <n v="63"/>
    <x v="13"/>
    <x v="556"/>
    <d v="1995-10-12T00:00:00"/>
    <x v="2"/>
    <s v="500/1000"/>
    <n v="500"/>
    <x v="553"/>
    <n v="6000000"/>
    <x v="552"/>
    <x v="0"/>
    <x v="1"/>
    <x v="0"/>
    <x v="18"/>
    <s v="own-child"/>
    <x v="1"/>
    <x v="224"/>
    <x v="56"/>
    <x v="1"/>
    <x v="1"/>
    <x v="1"/>
    <x v="0"/>
    <x v="5"/>
    <x v="6"/>
    <x v="556"/>
    <x v="0"/>
    <x v="0"/>
    <x v="2"/>
    <x v="1"/>
    <x v="0"/>
    <x v="0"/>
    <x v="483"/>
    <x v="63"/>
    <n v="860"/>
    <x v="50"/>
    <s v="Accura"/>
    <s v="TL"/>
    <n v="2004"/>
    <x v="1"/>
    <n v="0"/>
  </r>
  <r>
    <n v="210"/>
    <x v="21"/>
    <x v="557"/>
    <d v="2014-04-25T00:00:00"/>
    <x v="2"/>
    <s v="100/300"/>
    <n v="500"/>
    <x v="554"/>
    <n v="0"/>
    <x v="553"/>
    <x v="1"/>
    <x v="3"/>
    <x v="8"/>
    <x v="12"/>
    <s v="not-in-family"/>
    <x v="1"/>
    <x v="225"/>
    <x v="2"/>
    <x v="2"/>
    <x v="0"/>
    <x v="2"/>
    <x v="2"/>
    <x v="4"/>
    <x v="1"/>
    <x v="557"/>
    <x v="20"/>
    <x v="1"/>
    <x v="2"/>
    <x v="2"/>
    <x v="3"/>
    <x v="1"/>
    <x v="484"/>
    <x v="424"/>
    <n v="2730"/>
    <x v="461"/>
    <s v="Saab"/>
    <n v="95"/>
    <n v="2006"/>
    <x v="0"/>
    <n v="0"/>
  </r>
  <r>
    <n v="194"/>
    <x v="11"/>
    <x v="558"/>
    <d v="2011-01-26T00:00:00"/>
    <x v="1"/>
    <s v="100/300"/>
    <n v="2000"/>
    <x v="555"/>
    <n v="0"/>
    <x v="554"/>
    <x v="1"/>
    <x v="1"/>
    <x v="0"/>
    <x v="10"/>
    <s v="not-in-family"/>
    <x v="185"/>
    <x v="0"/>
    <x v="13"/>
    <x v="2"/>
    <x v="2"/>
    <x v="1"/>
    <x v="4"/>
    <x v="4"/>
    <x v="2"/>
    <x v="558"/>
    <x v="12"/>
    <x v="1"/>
    <x v="1"/>
    <x v="0"/>
    <x v="1"/>
    <x v="1"/>
    <x v="216"/>
    <x v="202"/>
    <n v="9760"/>
    <x v="462"/>
    <s v="Toyota"/>
    <s v="Camry"/>
    <n v="2011"/>
    <x v="1"/>
    <n v="0"/>
  </r>
  <r>
    <n v="294"/>
    <x v="24"/>
    <x v="559"/>
    <d v="1996-01-26T00:00:00"/>
    <x v="1"/>
    <s v="500/1000"/>
    <n v="500"/>
    <x v="556"/>
    <n v="0"/>
    <x v="555"/>
    <x v="0"/>
    <x v="4"/>
    <x v="13"/>
    <x v="4"/>
    <s v="own-child"/>
    <x v="216"/>
    <x v="0"/>
    <x v="57"/>
    <x v="2"/>
    <x v="0"/>
    <x v="2"/>
    <x v="0"/>
    <x v="4"/>
    <x v="0"/>
    <x v="559"/>
    <x v="6"/>
    <x v="1"/>
    <x v="0"/>
    <x v="0"/>
    <x v="3"/>
    <x v="0"/>
    <x v="439"/>
    <x v="425"/>
    <n v="3900"/>
    <x v="463"/>
    <s v="Chevrolet"/>
    <s v="Malibu"/>
    <n v="2010"/>
    <x v="1"/>
    <n v="0"/>
  </r>
  <r>
    <n v="272"/>
    <x v="3"/>
    <x v="560"/>
    <d v="1991-04-08T00:00:00"/>
    <x v="0"/>
    <s v="250/500"/>
    <n v="2000"/>
    <x v="557"/>
    <n v="5000000"/>
    <x v="556"/>
    <x v="0"/>
    <x v="0"/>
    <x v="9"/>
    <x v="14"/>
    <s v="wife"/>
    <x v="188"/>
    <x v="226"/>
    <x v="57"/>
    <x v="0"/>
    <x v="3"/>
    <x v="1"/>
    <x v="2"/>
    <x v="2"/>
    <x v="2"/>
    <x v="560"/>
    <x v="6"/>
    <x v="0"/>
    <x v="2"/>
    <x v="1"/>
    <x v="1"/>
    <x v="2"/>
    <x v="485"/>
    <x v="426"/>
    <n v="8410"/>
    <x v="464"/>
    <s v="Ford"/>
    <s v="Escape"/>
    <n v="2009"/>
    <x v="0"/>
    <n v="0"/>
  </r>
  <r>
    <n v="27"/>
    <x v="28"/>
    <x v="561"/>
    <d v="2002-06-29T00:00:00"/>
    <x v="1"/>
    <s v="100/300"/>
    <n v="2000"/>
    <x v="558"/>
    <n v="0"/>
    <x v="557"/>
    <x v="1"/>
    <x v="3"/>
    <x v="12"/>
    <x v="8"/>
    <s v="own-child"/>
    <x v="1"/>
    <x v="227"/>
    <x v="33"/>
    <x v="0"/>
    <x v="3"/>
    <x v="2"/>
    <x v="2"/>
    <x v="2"/>
    <x v="6"/>
    <x v="561"/>
    <x v="6"/>
    <x v="0"/>
    <x v="1"/>
    <x v="0"/>
    <x v="2"/>
    <x v="1"/>
    <x v="486"/>
    <x v="198"/>
    <n v="6840"/>
    <x v="465"/>
    <s v="Ford"/>
    <s v="Fusion"/>
    <n v="2008"/>
    <x v="1"/>
    <n v="0"/>
  </r>
  <r>
    <n v="251"/>
    <x v="5"/>
    <x v="562"/>
    <d v="1999-04-09T00:00:00"/>
    <x v="1"/>
    <s v="500/1000"/>
    <n v="2000"/>
    <x v="559"/>
    <n v="0"/>
    <x v="558"/>
    <x v="1"/>
    <x v="2"/>
    <x v="6"/>
    <x v="11"/>
    <s v="not-in-family"/>
    <x v="1"/>
    <x v="48"/>
    <x v="13"/>
    <x v="0"/>
    <x v="2"/>
    <x v="1"/>
    <x v="0"/>
    <x v="2"/>
    <x v="4"/>
    <x v="562"/>
    <x v="15"/>
    <x v="0"/>
    <x v="0"/>
    <x v="1"/>
    <x v="1"/>
    <x v="1"/>
    <x v="487"/>
    <x v="427"/>
    <n v="5530"/>
    <x v="466"/>
    <s v="Dodge"/>
    <s v="RAM"/>
    <n v="1997"/>
    <x v="1"/>
    <n v="0"/>
  </r>
  <r>
    <n v="180"/>
    <x v="8"/>
    <x v="563"/>
    <d v="2009-04-19T00:00:00"/>
    <x v="1"/>
    <s v="500/1000"/>
    <n v="2000"/>
    <x v="560"/>
    <n v="0"/>
    <x v="559"/>
    <x v="1"/>
    <x v="6"/>
    <x v="9"/>
    <x v="11"/>
    <s v="own-child"/>
    <x v="74"/>
    <x v="30"/>
    <x v="11"/>
    <x v="2"/>
    <x v="2"/>
    <x v="1"/>
    <x v="4"/>
    <x v="1"/>
    <x v="0"/>
    <x v="563"/>
    <x v="11"/>
    <x v="2"/>
    <x v="1"/>
    <x v="2"/>
    <x v="2"/>
    <x v="0"/>
    <x v="488"/>
    <x v="428"/>
    <n v="5770"/>
    <x v="467"/>
    <s v="Jeep"/>
    <s v="Grand Cherokee"/>
    <n v="2002"/>
    <x v="1"/>
    <n v="0"/>
  </r>
  <r>
    <n v="392"/>
    <x v="36"/>
    <x v="564"/>
    <d v="1991-08-22T00:00:00"/>
    <x v="0"/>
    <s v="100/300"/>
    <n v="2000"/>
    <x v="561"/>
    <n v="0"/>
    <x v="560"/>
    <x v="1"/>
    <x v="1"/>
    <x v="8"/>
    <x v="20"/>
    <s v="not-in-family"/>
    <x v="217"/>
    <x v="228"/>
    <x v="45"/>
    <x v="0"/>
    <x v="0"/>
    <x v="1"/>
    <x v="3"/>
    <x v="4"/>
    <x v="3"/>
    <x v="564"/>
    <x v="14"/>
    <x v="0"/>
    <x v="2"/>
    <x v="2"/>
    <x v="0"/>
    <x v="0"/>
    <x v="489"/>
    <x v="429"/>
    <n v="16620"/>
    <x v="468"/>
    <s v="Saab"/>
    <s v="92x"/>
    <n v="2002"/>
    <x v="1"/>
    <n v="0"/>
  </r>
  <r>
    <n v="143"/>
    <x v="22"/>
    <x v="565"/>
    <d v="1991-11-28T00:00:00"/>
    <x v="1"/>
    <s v="100/300"/>
    <n v="500"/>
    <x v="562"/>
    <n v="5000000"/>
    <x v="561"/>
    <x v="1"/>
    <x v="5"/>
    <x v="8"/>
    <x v="8"/>
    <s v="unmarried"/>
    <x v="1"/>
    <x v="229"/>
    <x v="37"/>
    <x v="0"/>
    <x v="2"/>
    <x v="1"/>
    <x v="2"/>
    <x v="0"/>
    <x v="1"/>
    <x v="565"/>
    <x v="16"/>
    <x v="0"/>
    <x v="2"/>
    <x v="2"/>
    <x v="1"/>
    <x v="0"/>
    <x v="490"/>
    <x v="71"/>
    <n v="5430"/>
    <x v="75"/>
    <s v="Toyota"/>
    <s v="Highlander"/>
    <n v="2010"/>
    <x v="1"/>
    <n v="0"/>
  </r>
  <r>
    <n v="371"/>
    <x v="25"/>
    <x v="566"/>
    <d v="2012-04-27T00:00:00"/>
    <x v="1"/>
    <s v="100/300"/>
    <n v="2000"/>
    <x v="563"/>
    <n v="0"/>
    <x v="562"/>
    <x v="0"/>
    <x v="5"/>
    <x v="0"/>
    <x v="10"/>
    <s v="wife"/>
    <x v="218"/>
    <x v="230"/>
    <x v="23"/>
    <x v="2"/>
    <x v="3"/>
    <x v="0"/>
    <x v="4"/>
    <x v="0"/>
    <x v="0"/>
    <x v="566"/>
    <x v="22"/>
    <x v="1"/>
    <x v="1"/>
    <x v="0"/>
    <x v="0"/>
    <x v="1"/>
    <x v="491"/>
    <x v="430"/>
    <n v="5380"/>
    <x v="469"/>
    <s v="Ford"/>
    <s v="Fusion"/>
    <n v="2010"/>
    <x v="0"/>
    <n v="0"/>
  </r>
  <r>
    <n v="292"/>
    <x v="1"/>
    <x v="567"/>
    <d v="2007-03-04T00:00:00"/>
    <x v="1"/>
    <s v="250/500"/>
    <n v="1000"/>
    <x v="564"/>
    <n v="0"/>
    <x v="563"/>
    <x v="0"/>
    <x v="6"/>
    <x v="1"/>
    <x v="7"/>
    <s v="other-relative"/>
    <x v="1"/>
    <x v="110"/>
    <x v="14"/>
    <x v="2"/>
    <x v="2"/>
    <x v="2"/>
    <x v="3"/>
    <x v="4"/>
    <x v="1"/>
    <x v="567"/>
    <x v="12"/>
    <x v="1"/>
    <x v="0"/>
    <x v="0"/>
    <x v="3"/>
    <x v="2"/>
    <x v="492"/>
    <x v="431"/>
    <n v="8460"/>
    <x v="470"/>
    <s v="Chevrolet"/>
    <s v="Malibu"/>
    <n v="2007"/>
    <x v="1"/>
    <n v="0"/>
  </r>
  <r>
    <n v="165"/>
    <x v="21"/>
    <x v="568"/>
    <d v="2012-12-31T00:00:00"/>
    <x v="2"/>
    <s v="250/500"/>
    <n v="500"/>
    <x v="565"/>
    <n v="6000000"/>
    <x v="564"/>
    <x v="0"/>
    <x v="3"/>
    <x v="0"/>
    <x v="7"/>
    <s v="own-child"/>
    <x v="1"/>
    <x v="231"/>
    <x v="20"/>
    <x v="0"/>
    <x v="3"/>
    <x v="2"/>
    <x v="3"/>
    <x v="0"/>
    <x v="3"/>
    <x v="568"/>
    <x v="1"/>
    <x v="0"/>
    <x v="2"/>
    <x v="0"/>
    <x v="2"/>
    <x v="0"/>
    <x v="493"/>
    <x v="432"/>
    <n v="6970"/>
    <x v="471"/>
    <s v="BMW"/>
    <s v="3 Series"/>
    <n v="2008"/>
    <x v="1"/>
    <n v="0"/>
  </r>
  <r>
    <n v="158"/>
    <x v="8"/>
    <x v="569"/>
    <d v="2013-12-21T00:00:00"/>
    <x v="0"/>
    <s v="100/300"/>
    <n v="1000"/>
    <x v="566"/>
    <n v="3000000"/>
    <x v="565"/>
    <x v="0"/>
    <x v="6"/>
    <x v="5"/>
    <x v="10"/>
    <s v="unmarried"/>
    <x v="1"/>
    <x v="0"/>
    <x v="58"/>
    <x v="2"/>
    <x v="2"/>
    <x v="2"/>
    <x v="4"/>
    <x v="4"/>
    <x v="3"/>
    <x v="569"/>
    <x v="14"/>
    <x v="1"/>
    <x v="2"/>
    <x v="1"/>
    <x v="3"/>
    <x v="2"/>
    <x v="494"/>
    <x v="433"/>
    <n v="7280"/>
    <x v="472"/>
    <s v="Volkswagen"/>
    <s v="Jetta"/>
    <n v="1998"/>
    <x v="1"/>
    <n v="0"/>
  </r>
  <r>
    <n v="241"/>
    <x v="5"/>
    <x v="570"/>
    <d v="2005-04-28T00:00:00"/>
    <x v="0"/>
    <s v="250/500"/>
    <n v="1000"/>
    <x v="567"/>
    <n v="0"/>
    <x v="566"/>
    <x v="1"/>
    <x v="6"/>
    <x v="12"/>
    <x v="13"/>
    <s v="own-child"/>
    <x v="1"/>
    <x v="232"/>
    <x v="2"/>
    <x v="2"/>
    <x v="0"/>
    <x v="1"/>
    <x v="0"/>
    <x v="0"/>
    <x v="6"/>
    <x v="570"/>
    <x v="3"/>
    <x v="1"/>
    <x v="2"/>
    <x v="1"/>
    <x v="0"/>
    <x v="0"/>
    <x v="495"/>
    <x v="434"/>
    <n v="4690"/>
    <x v="473"/>
    <s v="Jeep"/>
    <s v="Wrangler"/>
    <n v="2010"/>
    <x v="1"/>
    <n v="0"/>
  </r>
  <r>
    <n v="103"/>
    <x v="8"/>
    <x v="571"/>
    <d v="1994-09-17T00:00:00"/>
    <x v="0"/>
    <s v="500/1000"/>
    <n v="2000"/>
    <x v="568"/>
    <n v="0"/>
    <x v="567"/>
    <x v="1"/>
    <x v="4"/>
    <x v="6"/>
    <x v="13"/>
    <s v="wife"/>
    <x v="219"/>
    <x v="233"/>
    <x v="16"/>
    <x v="2"/>
    <x v="0"/>
    <x v="0"/>
    <x v="4"/>
    <x v="2"/>
    <x v="5"/>
    <x v="571"/>
    <x v="17"/>
    <x v="1"/>
    <x v="2"/>
    <x v="2"/>
    <x v="2"/>
    <x v="1"/>
    <x v="496"/>
    <x v="435"/>
    <n v="14380"/>
    <x v="474"/>
    <s v="Dodge"/>
    <s v="RAM"/>
    <n v="2014"/>
    <x v="1"/>
    <n v="0"/>
  </r>
  <r>
    <n v="402"/>
    <x v="25"/>
    <x v="572"/>
    <d v="2003-08-16T00:00:00"/>
    <x v="0"/>
    <s v="250/500"/>
    <n v="2000"/>
    <x v="569"/>
    <n v="0"/>
    <x v="568"/>
    <x v="0"/>
    <x v="6"/>
    <x v="13"/>
    <x v="2"/>
    <s v="not-in-family"/>
    <x v="220"/>
    <x v="234"/>
    <x v="24"/>
    <x v="0"/>
    <x v="2"/>
    <x v="0"/>
    <x v="3"/>
    <x v="2"/>
    <x v="3"/>
    <x v="572"/>
    <x v="4"/>
    <x v="0"/>
    <x v="2"/>
    <x v="1"/>
    <x v="0"/>
    <x v="0"/>
    <x v="497"/>
    <x v="326"/>
    <n v="15060"/>
    <x v="475"/>
    <s v="Mercedes"/>
    <s v="ML350"/>
    <n v="2013"/>
    <x v="0"/>
    <n v="0"/>
  </r>
  <r>
    <n v="102"/>
    <x v="30"/>
    <x v="573"/>
    <d v="2014-09-02T00:00:00"/>
    <x v="0"/>
    <s v="100/300"/>
    <n v="500"/>
    <x v="570"/>
    <n v="3000000"/>
    <x v="569"/>
    <x v="0"/>
    <x v="6"/>
    <x v="4"/>
    <x v="14"/>
    <s v="wife"/>
    <x v="1"/>
    <x v="0"/>
    <x v="57"/>
    <x v="0"/>
    <x v="0"/>
    <x v="2"/>
    <x v="3"/>
    <x v="3"/>
    <x v="5"/>
    <x v="573"/>
    <x v="20"/>
    <x v="0"/>
    <x v="2"/>
    <x v="0"/>
    <x v="1"/>
    <x v="2"/>
    <x v="498"/>
    <x v="436"/>
    <n v="4740"/>
    <x v="466"/>
    <s v="Chevrolet"/>
    <s v="Silverado"/>
    <n v="2004"/>
    <x v="0"/>
    <n v="0"/>
  </r>
  <r>
    <n v="182"/>
    <x v="17"/>
    <x v="574"/>
    <d v="2011-12-12T00:00:00"/>
    <x v="1"/>
    <s v="100/300"/>
    <n v="1000"/>
    <x v="571"/>
    <n v="0"/>
    <x v="570"/>
    <x v="0"/>
    <x v="1"/>
    <x v="6"/>
    <x v="9"/>
    <s v="husband"/>
    <x v="221"/>
    <x v="183"/>
    <x v="4"/>
    <x v="0"/>
    <x v="3"/>
    <x v="2"/>
    <x v="3"/>
    <x v="0"/>
    <x v="5"/>
    <x v="574"/>
    <x v="21"/>
    <x v="0"/>
    <x v="0"/>
    <x v="1"/>
    <x v="0"/>
    <x v="1"/>
    <x v="499"/>
    <x v="437"/>
    <n v="14220"/>
    <x v="476"/>
    <s v="Audi"/>
    <s v="A3"/>
    <n v="2008"/>
    <x v="1"/>
    <n v="0"/>
  </r>
  <r>
    <n v="282"/>
    <x v="35"/>
    <x v="575"/>
    <d v="1991-08-17T00:00:00"/>
    <x v="0"/>
    <s v="100/300"/>
    <n v="2000"/>
    <x v="572"/>
    <n v="0"/>
    <x v="571"/>
    <x v="0"/>
    <x v="0"/>
    <x v="6"/>
    <x v="8"/>
    <s v="wife"/>
    <x v="59"/>
    <x v="235"/>
    <x v="4"/>
    <x v="0"/>
    <x v="3"/>
    <x v="1"/>
    <x v="0"/>
    <x v="2"/>
    <x v="3"/>
    <x v="575"/>
    <x v="23"/>
    <x v="0"/>
    <x v="1"/>
    <x v="2"/>
    <x v="0"/>
    <x v="2"/>
    <x v="500"/>
    <x v="438"/>
    <n v="6940"/>
    <x v="327"/>
    <s v="BMW"/>
    <s v="M5"/>
    <n v="2012"/>
    <x v="1"/>
    <n v="0"/>
  </r>
  <r>
    <n v="222"/>
    <x v="5"/>
    <x v="576"/>
    <d v="2004-02-29T00:00:00"/>
    <x v="0"/>
    <s v="500/1000"/>
    <n v="500"/>
    <x v="573"/>
    <n v="0"/>
    <x v="572"/>
    <x v="0"/>
    <x v="5"/>
    <x v="10"/>
    <x v="2"/>
    <s v="not-in-family"/>
    <x v="84"/>
    <x v="0"/>
    <x v="34"/>
    <x v="2"/>
    <x v="2"/>
    <x v="0"/>
    <x v="3"/>
    <x v="0"/>
    <x v="6"/>
    <x v="576"/>
    <x v="10"/>
    <x v="1"/>
    <x v="0"/>
    <x v="2"/>
    <x v="3"/>
    <x v="1"/>
    <x v="501"/>
    <x v="439"/>
    <n v="10000"/>
    <x v="477"/>
    <s v="Saab"/>
    <n v="93"/>
    <n v="1996"/>
    <x v="0"/>
    <n v="0"/>
  </r>
  <r>
    <n v="415"/>
    <x v="40"/>
    <x v="577"/>
    <d v="2015-02-22T00:00:00"/>
    <x v="1"/>
    <s v="250/500"/>
    <n v="1000"/>
    <x v="574"/>
    <n v="0"/>
    <x v="573"/>
    <x v="0"/>
    <x v="1"/>
    <x v="1"/>
    <x v="18"/>
    <s v="not-in-family"/>
    <x v="222"/>
    <x v="0"/>
    <x v="40"/>
    <x v="2"/>
    <x v="2"/>
    <x v="2"/>
    <x v="0"/>
    <x v="4"/>
    <x v="2"/>
    <x v="577"/>
    <x v="12"/>
    <x v="3"/>
    <x v="0"/>
    <x v="0"/>
    <x v="2"/>
    <x v="0"/>
    <x v="502"/>
    <x v="331"/>
    <n v="7860"/>
    <x v="478"/>
    <s v="Toyota"/>
    <s v="Highlander"/>
    <n v="2003"/>
    <x v="1"/>
    <n v="0"/>
  </r>
  <r>
    <n v="51"/>
    <x v="6"/>
    <x v="578"/>
    <d v="2013-12-25T00:00:00"/>
    <x v="0"/>
    <s v="500/1000"/>
    <n v="500"/>
    <x v="575"/>
    <n v="0"/>
    <x v="574"/>
    <x v="0"/>
    <x v="1"/>
    <x v="1"/>
    <x v="7"/>
    <s v="unmarried"/>
    <x v="1"/>
    <x v="0"/>
    <x v="26"/>
    <x v="0"/>
    <x v="0"/>
    <x v="0"/>
    <x v="2"/>
    <x v="2"/>
    <x v="3"/>
    <x v="578"/>
    <x v="6"/>
    <x v="0"/>
    <x v="1"/>
    <x v="2"/>
    <x v="2"/>
    <x v="2"/>
    <x v="503"/>
    <x v="440"/>
    <n v="19260"/>
    <x v="479"/>
    <s v="Honda"/>
    <s v="Civic"/>
    <n v="2007"/>
    <x v="0"/>
    <n v="0"/>
  </r>
  <r>
    <n v="255"/>
    <x v="19"/>
    <x v="579"/>
    <d v="1990-10-13T00:00:00"/>
    <x v="2"/>
    <s v="500/1000"/>
    <n v="500"/>
    <x v="576"/>
    <n v="0"/>
    <x v="575"/>
    <x v="0"/>
    <x v="5"/>
    <x v="2"/>
    <x v="5"/>
    <s v="own-child"/>
    <x v="1"/>
    <x v="236"/>
    <x v="59"/>
    <x v="0"/>
    <x v="3"/>
    <x v="2"/>
    <x v="3"/>
    <x v="5"/>
    <x v="1"/>
    <x v="579"/>
    <x v="16"/>
    <x v="0"/>
    <x v="2"/>
    <x v="2"/>
    <x v="1"/>
    <x v="0"/>
    <x v="504"/>
    <x v="441"/>
    <n v="12240"/>
    <x v="71"/>
    <s v="Ford"/>
    <s v="Fusion"/>
    <n v="2006"/>
    <x v="1"/>
    <n v="0"/>
  </r>
  <r>
    <n v="143"/>
    <x v="14"/>
    <x v="580"/>
    <d v="2014-07-05T00:00:00"/>
    <x v="2"/>
    <s v="250/500"/>
    <n v="500"/>
    <x v="577"/>
    <n v="0"/>
    <x v="576"/>
    <x v="0"/>
    <x v="2"/>
    <x v="9"/>
    <x v="10"/>
    <s v="husband"/>
    <x v="223"/>
    <x v="0"/>
    <x v="31"/>
    <x v="2"/>
    <x v="0"/>
    <x v="0"/>
    <x v="3"/>
    <x v="5"/>
    <x v="2"/>
    <x v="580"/>
    <x v="7"/>
    <x v="2"/>
    <x v="0"/>
    <x v="2"/>
    <x v="1"/>
    <x v="1"/>
    <x v="132"/>
    <x v="442"/>
    <n v="13840"/>
    <x v="130"/>
    <s v="Audi"/>
    <s v="A5"/>
    <n v="1999"/>
    <x v="1"/>
    <n v="0"/>
  </r>
  <r>
    <n v="130"/>
    <x v="23"/>
    <x v="581"/>
    <d v="1991-11-25T00:00:00"/>
    <x v="0"/>
    <s v="500/1000"/>
    <n v="1000"/>
    <x v="578"/>
    <n v="0"/>
    <x v="577"/>
    <x v="1"/>
    <x v="6"/>
    <x v="13"/>
    <x v="10"/>
    <s v="other-relative"/>
    <x v="1"/>
    <x v="237"/>
    <x v="49"/>
    <x v="2"/>
    <x v="3"/>
    <x v="1"/>
    <x v="4"/>
    <x v="0"/>
    <x v="4"/>
    <x v="581"/>
    <x v="7"/>
    <x v="3"/>
    <x v="0"/>
    <x v="2"/>
    <x v="3"/>
    <x v="2"/>
    <x v="505"/>
    <x v="443"/>
    <n v="13080"/>
    <x v="480"/>
    <s v="Ford"/>
    <s v="Fusion"/>
    <n v="2010"/>
    <x v="1"/>
    <n v="0"/>
  </r>
  <r>
    <n v="242"/>
    <x v="3"/>
    <x v="582"/>
    <d v="1990-10-02T00:00:00"/>
    <x v="0"/>
    <s v="250/500"/>
    <n v="2000"/>
    <x v="579"/>
    <n v="6000000"/>
    <x v="578"/>
    <x v="0"/>
    <x v="4"/>
    <x v="9"/>
    <x v="18"/>
    <s v="unmarried"/>
    <x v="1"/>
    <x v="52"/>
    <x v="26"/>
    <x v="2"/>
    <x v="2"/>
    <x v="1"/>
    <x v="2"/>
    <x v="2"/>
    <x v="6"/>
    <x v="582"/>
    <x v="19"/>
    <x v="1"/>
    <x v="2"/>
    <x v="1"/>
    <x v="3"/>
    <x v="1"/>
    <x v="506"/>
    <x v="267"/>
    <n v="12380"/>
    <x v="481"/>
    <s v="Toyota"/>
    <s v="Corolla"/>
    <n v="2009"/>
    <x v="1"/>
    <n v="0"/>
  </r>
  <r>
    <n v="96"/>
    <x v="28"/>
    <x v="583"/>
    <d v="2009-02-17T00:00:00"/>
    <x v="2"/>
    <s v="100/300"/>
    <n v="1000"/>
    <x v="580"/>
    <n v="0"/>
    <x v="579"/>
    <x v="1"/>
    <x v="5"/>
    <x v="7"/>
    <x v="20"/>
    <s v="wife"/>
    <x v="1"/>
    <x v="0"/>
    <x v="49"/>
    <x v="3"/>
    <x v="1"/>
    <x v="3"/>
    <x v="0"/>
    <x v="4"/>
    <x v="2"/>
    <x v="583"/>
    <x v="14"/>
    <x v="0"/>
    <x v="1"/>
    <x v="0"/>
    <x v="0"/>
    <x v="2"/>
    <x v="507"/>
    <x v="145"/>
    <n v="670"/>
    <x v="482"/>
    <s v="Nissan"/>
    <s v="Pathfinder"/>
    <n v="2007"/>
    <x v="1"/>
    <n v="0"/>
  </r>
  <r>
    <n v="180"/>
    <x v="21"/>
    <x v="584"/>
    <d v="2005-07-17T00:00:00"/>
    <x v="2"/>
    <s v="500/1000"/>
    <n v="1000"/>
    <x v="581"/>
    <n v="0"/>
    <x v="580"/>
    <x v="0"/>
    <x v="0"/>
    <x v="1"/>
    <x v="12"/>
    <s v="wife"/>
    <x v="1"/>
    <x v="227"/>
    <x v="18"/>
    <x v="1"/>
    <x v="1"/>
    <x v="1"/>
    <x v="1"/>
    <x v="3"/>
    <x v="3"/>
    <x v="584"/>
    <x v="18"/>
    <x v="0"/>
    <x v="1"/>
    <x v="0"/>
    <x v="2"/>
    <x v="2"/>
    <x v="508"/>
    <x v="185"/>
    <n v="510"/>
    <x v="483"/>
    <s v="Chevrolet"/>
    <s v="Malibu"/>
    <n v="2000"/>
    <x v="1"/>
    <n v="0"/>
  </r>
  <r>
    <n v="150"/>
    <x v="22"/>
    <x v="585"/>
    <d v="1994-03-12T00:00:00"/>
    <x v="1"/>
    <s v="100/300"/>
    <n v="1000"/>
    <x v="582"/>
    <n v="0"/>
    <x v="581"/>
    <x v="0"/>
    <x v="3"/>
    <x v="2"/>
    <x v="12"/>
    <s v="own-child"/>
    <x v="224"/>
    <x v="0"/>
    <x v="3"/>
    <x v="1"/>
    <x v="1"/>
    <x v="3"/>
    <x v="0"/>
    <x v="4"/>
    <x v="3"/>
    <x v="585"/>
    <x v="2"/>
    <x v="0"/>
    <x v="0"/>
    <x v="0"/>
    <x v="2"/>
    <x v="0"/>
    <x v="509"/>
    <x v="444"/>
    <n v="510"/>
    <x v="483"/>
    <s v="Volkswagen"/>
    <s v="Jetta"/>
    <n v="2013"/>
    <x v="1"/>
    <n v="0"/>
  </r>
  <r>
    <n v="463"/>
    <x v="27"/>
    <x v="586"/>
    <d v="1994-08-03T00:00:00"/>
    <x v="2"/>
    <s v="250/500"/>
    <n v="1000"/>
    <x v="583"/>
    <n v="0"/>
    <x v="582"/>
    <x v="1"/>
    <x v="6"/>
    <x v="8"/>
    <x v="12"/>
    <s v="not-in-family"/>
    <x v="187"/>
    <x v="0"/>
    <x v="26"/>
    <x v="2"/>
    <x v="3"/>
    <x v="0"/>
    <x v="3"/>
    <x v="0"/>
    <x v="0"/>
    <x v="586"/>
    <x v="8"/>
    <x v="3"/>
    <x v="1"/>
    <x v="0"/>
    <x v="0"/>
    <x v="2"/>
    <x v="510"/>
    <x v="445"/>
    <n v="14480"/>
    <x v="484"/>
    <s v="Chevrolet"/>
    <s v="Tahoe"/>
    <n v="1999"/>
    <x v="0"/>
    <n v="0"/>
  </r>
  <r>
    <n v="472"/>
    <x v="32"/>
    <x v="587"/>
    <d v="2012-08-25T00:00:00"/>
    <x v="1"/>
    <s v="250/500"/>
    <n v="500"/>
    <x v="584"/>
    <n v="0"/>
    <x v="583"/>
    <x v="0"/>
    <x v="4"/>
    <x v="6"/>
    <x v="9"/>
    <s v="not-in-family"/>
    <x v="1"/>
    <x v="0"/>
    <x v="31"/>
    <x v="0"/>
    <x v="3"/>
    <x v="0"/>
    <x v="2"/>
    <x v="2"/>
    <x v="6"/>
    <x v="587"/>
    <x v="21"/>
    <x v="0"/>
    <x v="2"/>
    <x v="2"/>
    <x v="2"/>
    <x v="2"/>
    <x v="257"/>
    <x v="241"/>
    <n v="7090"/>
    <x v="246"/>
    <s v="Mercedes"/>
    <s v="ML350"/>
    <n v="2002"/>
    <x v="1"/>
    <n v="0"/>
  </r>
  <r>
    <n v="75"/>
    <x v="20"/>
    <x v="588"/>
    <d v="2011-12-02T00:00:00"/>
    <x v="2"/>
    <s v="500/1000"/>
    <n v="1000"/>
    <x v="585"/>
    <n v="0"/>
    <x v="584"/>
    <x v="1"/>
    <x v="2"/>
    <x v="7"/>
    <x v="11"/>
    <s v="husband"/>
    <x v="1"/>
    <x v="0"/>
    <x v="23"/>
    <x v="2"/>
    <x v="0"/>
    <x v="2"/>
    <x v="3"/>
    <x v="4"/>
    <x v="3"/>
    <x v="588"/>
    <x v="6"/>
    <x v="3"/>
    <x v="1"/>
    <x v="2"/>
    <x v="2"/>
    <x v="0"/>
    <x v="511"/>
    <x v="0"/>
    <n v="6510"/>
    <x v="0"/>
    <s v="Saab"/>
    <n v="93"/>
    <n v="2011"/>
    <x v="1"/>
    <n v="0"/>
  </r>
  <r>
    <n v="193"/>
    <x v="17"/>
    <x v="589"/>
    <d v="2005-02-25T00:00:00"/>
    <x v="0"/>
    <s v="100/300"/>
    <n v="500"/>
    <x v="586"/>
    <n v="0"/>
    <x v="585"/>
    <x v="1"/>
    <x v="3"/>
    <x v="11"/>
    <x v="14"/>
    <s v="husband"/>
    <x v="1"/>
    <x v="0"/>
    <x v="24"/>
    <x v="2"/>
    <x v="0"/>
    <x v="2"/>
    <x v="4"/>
    <x v="7"/>
    <x v="4"/>
    <x v="589"/>
    <x v="6"/>
    <x v="1"/>
    <x v="1"/>
    <x v="2"/>
    <x v="3"/>
    <x v="0"/>
    <x v="512"/>
    <x v="20"/>
    <n v="14280"/>
    <x v="485"/>
    <s v="Ford"/>
    <s v="Escape"/>
    <n v="1999"/>
    <x v="1"/>
    <n v="0"/>
  </r>
  <r>
    <n v="43"/>
    <x v="18"/>
    <x v="590"/>
    <d v="1997-11-07T00:00:00"/>
    <x v="2"/>
    <s v="500/1000"/>
    <n v="500"/>
    <x v="587"/>
    <n v="0"/>
    <x v="586"/>
    <x v="1"/>
    <x v="2"/>
    <x v="3"/>
    <x v="12"/>
    <s v="not-in-family"/>
    <x v="1"/>
    <x v="0"/>
    <x v="16"/>
    <x v="0"/>
    <x v="2"/>
    <x v="0"/>
    <x v="4"/>
    <x v="4"/>
    <x v="2"/>
    <x v="590"/>
    <x v="16"/>
    <x v="0"/>
    <x v="1"/>
    <x v="2"/>
    <x v="3"/>
    <x v="1"/>
    <x v="513"/>
    <x v="373"/>
    <n v="21810"/>
    <x v="486"/>
    <s v="Honda"/>
    <s v="CRV"/>
    <n v="1996"/>
    <x v="0"/>
    <n v="0"/>
  </r>
  <r>
    <n v="253"/>
    <x v="3"/>
    <x v="591"/>
    <d v="2004-04-20T00:00:00"/>
    <x v="1"/>
    <s v="100/300"/>
    <n v="1000"/>
    <x v="588"/>
    <n v="0"/>
    <x v="587"/>
    <x v="1"/>
    <x v="3"/>
    <x v="1"/>
    <x v="4"/>
    <s v="not-in-family"/>
    <x v="225"/>
    <x v="0"/>
    <x v="19"/>
    <x v="0"/>
    <x v="2"/>
    <x v="2"/>
    <x v="0"/>
    <x v="0"/>
    <x v="6"/>
    <x v="591"/>
    <x v="18"/>
    <x v="0"/>
    <x v="2"/>
    <x v="2"/>
    <x v="1"/>
    <x v="1"/>
    <x v="514"/>
    <x v="446"/>
    <n v="6290"/>
    <x v="401"/>
    <s v="Chevrolet"/>
    <s v="Tahoe"/>
    <n v="1995"/>
    <x v="1"/>
    <n v="0"/>
  </r>
  <r>
    <n v="152"/>
    <x v="22"/>
    <x v="592"/>
    <d v="2009-11-17T00:00:00"/>
    <x v="1"/>
    <s v="500/1000"/>
    <n v="500"/>
    <x v="589"/>
    <n v="0"/>
    <x v="588"/>
    <x v="1"/>
    <x v="6"/>
    <x v="0"/>
    <x v="18"/>
    <s v="wife"/>
    <x v="72"/>
    <x v="0"/>
    <x v="36"/>
    <x v="0"/>
    <x v="0"/>
    <x v="0"/>
    <x v="2"/>
    <x v="1"/>
    <x v="6"/>
    <x v="592"/>
    <x v="10"/>
    <x v="0"/>
    <x v="0"/>
    <x v="0"/>
    <x v="3"/>
    <x v="1"/>
    <x v="410"/>
    <x v="447"/>
    <n v="7690"/>
    <x v="487"/>
    <s v="Toyota"/>
    <s v="Highlander"/>
    <n v="2000"/>
    <x v="0"/>
    <n v="0"/>
  </r>
  <r>
    <n v="160"/>
    <x v="11"/>
    <x v="593"/>
    <d v="2009-09-19T00:00:00"/>
    <x v="0"/>
    <s v="250/500"/>
    <n v="500"/>
    <x v="590"/>
    <n v="0"/>
    <x v="589"/>
    <x v="0"/>
    <x v="5"/>
    <x v="2"/>
    <x v="0"/>
    <s v="wife"/>
    <x v="1"/>
    <x v="153"/>
    <x v="25"/>
    <x v="2"/>
    <x v="0"/>
    <x v="0"/>
    <x v="2"/>
    <x v="0"/>
    <x v="4"/>
    <x v="593"/>
    <x v="21"/>
    <x v="1"/>
    <x v="2"/>
    <x v="2"/>
    <x v="3"/>
    <x v="0"/>
    <x v="265"/>
    <x v="97"/>
    <n v="14840"/>
    <x v="283"/>
    <s v="Mercedes"/>
    <s v="ML350"/>
    <n v="1996"/>
    <x v="1"/>
    <n v="0"/>
  </r>
  <r>
    <n v="56"/>
    <x v="31"/>
    <x v="594"/>
    <d v="2009-11-08T00:00:00"/>
    <x v="1"/>
    <s v="100/300"/>
    <n v="500"/>
    <x v="591"/>
    <n v="0"/>
    <x v="590"/>
    <x v="0"/>
    <x v="6"/>
    <x v="13"/>
    <x v="20"/>
    <s v="own-child"/>
    <x v="1"/>
    <x v="174"/>
    <x v="39"/>
    <x v="0"/>
    <x v="2"/>
    <x v="0"/>
    <x v="0"/>
    <x v="5"/>
    <x v="3"/>
    <x v="594"/>
    <x v="21"/>
    <x v="0"/>
    <x v="0"/>
    <x v="0"/>
    <x v="0"/>
    <x v="0"/>
    <x v="387"/>
    <x v="20"/>
    <n v="6500"/>
    <x v="488"/>
    <s v="Ford"/>
    <s v="Escape"/>
    <n v="2001"/>
    <x v="1"/>
    <n v="0"/>
  </r>
  <r>
    <n v="286"/>
    <x v="3"/>
    <x v="595"/>
    <d v="2001-09-12T00:00:00"/>
    <x v="2"/>
    <s v="100/300"/>
    <n v="500"/>
    <x v="592"/>
    <n v="0"/>
    <x v="591"/>
    <x v="1"/>
    <x v="3"/>
    <x v="5"/>
    <x v="6"/>
    <s v="other-relative"/>
    <x v="11"/>
    <x v="169"/>
    <x v="33"/>
    <x v="3"/>
    <x v="1"/>
    <x v="3"/>
    <x v="0"/>
    <x v="4"/>
    <x v="0"/>
    <x v="595"/>
    <x v="19"/>
    <x v="0"/>
    <x v="1"/>
    <x v="2"/>
    <x v="1"/>
    <x v="2"/>
    <x v="374"/>
    <x v="448"/>
    <n v="500"/>
    <x v="489"/>
    <s v="Dodge"/>
    <s v="RAM"/>
    <n v="2003"/>
    <x v="1"/>
    <n v="0"/>
  </r>
  <r>
    <n v="3"/>
    <x v="2"/>
    <x v="596"/>
    <d v="1992-11-27T00:00:00"/>
    <x v="2"/>
    <s v="100/300"/>
    <n v="500"/>
    <x v="593"/>
    <n v="5000000"/>
    <x v="592"/>
    <x v="1"/>
    <x v="6"/>
    <x v="7"/>
    <x v="14"/>
    <s v="unmarried"/>
    <x v="1"/>
    <x v="0"/>
    <x v="40"/>
    <x v="3"/>
    <x v="1"/>
    <x v="3"/>
    <x v="0"/>
    <x v="7"/>
    <x v="3"/>
    <x v="596"/>
    <x v="19"/>
    <x v="0"/>
    <x v="1"/>
    <x v="2"/>
    <x v="3"/>
    <x v="1"/>
    <x v="374"/>
    <x v="448"/>
    <n v="1000"/>
    <x v="354"/>
    <s v="Mercedes"/>
    <s v="E400"/>
    <n v="2008"/>
    <x v="0"/>
    <n v="0"/>
  </r>
  <r>
    <n v="286"/>
    <x v="3"/>
    <x v="597"/>
    <d v="1998-12-07T00:00:00"/>
    <x v="2"/>
    <s v="250/500"/>
    <n v="1000"/>
    <x v="594"/>
    <n v="6000000"/>
    <x v="593"/>
    <x v="1"/>
    <x v="5"/>
    <x v="2"/>
    <x v="7"/>
    <s v="other-relative"/>
    <x v="226"/>
    <x v="111"/>
    <x v="59"/>
    <x v="2"/>
    <x v="3"/>
    <x v="0"/>
    <x v="4"/>
    <x v="2"/>
    <x v="0"/>
    <x v="597"/>
    <x v="16"/>
    <x v="1"/>
    <x v="1"/>
    <x v="0"/>
    <x v="2"/>
    <x v="0"/>
    <x v="515"/>
    <x v="449"/>
    <n v="12100"/>
    <x v="490"/>
    <s v="Saab"/>
    <s v="92x"/>
    <n v="2007"/>
    <x v="1"/>
    <n v="0"/>
  </r>
  <r>
    <n v="239"/>
    <x v="11"/>
    <x v="598"/>
    <d v="1990-08-25T00:00:00"/>
    <x v="0"/>
    <s v="250/500"/>
    <n v="1000"/>
    <x v="595"/>
    <n v="5000000"/>
    <x v="594"/>
    <x v="1"/>
    <x v="4"/>
    <x v="11"/>
    <x v="4"/>
    <s v="other-relative"/>
    <x v="1"/>
    <x v="0"/>
    <x v="46"/>
    <x v="2"/>
    <x v="3"/>
    <x v="0"/>
    <x v="0"/>
    <x v="4"/>
    <x v="6"/>
    <x v="598"/>
    <x v="11"/>
    <x v="1"/>
    <x v="2"/>
    <x v="0"/>
    <x v="2"/>
    <x v="1"/>
    <x v="516"/>
    <x v="450"/>
    <n v="6880"/>
    <x v="34"/>
    <s v="Saab"/>
    <n v="93"/>
    <n v="2003"/>
    <x v="1"/>
    <n v="0"/>
  </r>
  <r>
    <n v="64"/>
    <x v="2"/>
    <x v="599"/>
    <d v="2011-10-22T00:00:00"/>
    <x v="0"/>
    <s v="250/500"/>
    <n v="2000"/>
    <x v="596"/>
    <n v="0"/>
    <x v="595"/>
    <x v="0"/>
    <x v="5"/>
    <x v="8"/>
    <x v="19"/>
    <s v="other-relative"/>
    <x v="1"/>
    <x v="238"/>
    <x v="37"/>
    <x v="0"/>
    <x v="0"/>
    <x v="1"/>
    <x v="4"/>
    <x v="1"/>
    <x v="4"/>
    <x v="599"/>
    <x v="14"/>
    <x v="0"/>
    <x v="1"/>
    <x v="0"/>
    <x v="0"/>
    <x v="2"/>
    <x v="517"/>
    <x v="451"/>
    <n v="4370"/>
    <x v="491"/>
    <s v="Nissan"/>
    <s v="Pathfinder"/>
    <n v="2007"/>
    <x v="0"/>
    <n v="0"/>
  </r>
  <r>
    <n v="98"/>
    <x v="14"/>
    <x v="600"/>
    <d v="1990-02-01T00:00:00"/>
    <x v="1"/>
    <s v="100/300"/>
    <n v="500"/>
    <x v="597"/>
    <n v="0"/>
    <x v="596"/>
    <x v="0"/>
    <x v="4"/>
    <x v="1"/>
    <x v="4"/>
    <s v="wife"/>
    <x v="1"/>
    <x v="239"/>
    <x v="27"/>
    <x v="0"/>
    <x v="3"/>
    <x v="1"/>
    <x v="3"/>
    <x v="5"/>
    <x v="1"/>
    <x v="600"/>
    <x v="19"/>
    <x v="0"/>
    <x v="1"/>
    <x v="2"/>
    <x v="1"/>
    <x v="1"/>
    <x v="254"/>
    <x v="238"/>
    <n v="7120"/>
    <x v="66"/>
    <s v="Ford"/>
    <s v="Escape"/>
    <n v="1997"/>
    <x v="1"/>
    <n v="0"/>
  </r>
  <r>
    <n v="16"/>
    <x v="21"/>
    <x v="601"/>
    <d v="1990-11-27T00:00:00"/>
    <x v="2"/>
    <s v="250/500"/>
    <n v="1000"/>
    <x v="598"/>
    <n v="0"/>
    <x v="597"/>
    <x v="0"/>
    <x v="6"/>
    <x v="2"/>
    <x v="14"/>
    <s v="own-child"/>
    <x v="227"/>
    <x v="80"/>
    <x v="4"/>
    <x v="0"/>
    <x v="2"/>
    <x v="2"/>
    <x v="3"/>
    <x v="0"/>
    <x v="4"/>
    <x v="601"/>
    <x v="5"/>
    <x v="0"/>
    <x v="2"/>
    <x v="2"/>
    <x v="3"/>
    <x v="1"/>
    <x v="501"/>
    <x v="452"/>
    <n v="10000"/>
    <x v="492"/>
    <s v="Volkswagen"/>
    <s v="Jetta"/>
    <n v="2008"/>
    <x v="0"/>
    <n v="0"/>
  </r>
  <r>
    <n v="70"/>
    <x v="28"/>
    <x v="602"/>
    <d v="2004-07-16T00:00:00"/>
    <x v="1"/>
    <s v="250/500"/>
    <n v="1000"/>
    <x v="599"/>
    <n v="4000000"/>
    <x v="598"/>
    <x v="1"/>
    <x v="4"/>
    <x v="12"/>
    <x v="17"/>
    <s v="own-child"/>
    <x v="228"/>
    <x v="0"/>
    <x v="6"/>
    <x v="1"/>
    <x v="1"/>
    <x v="3"/>
    <x v="0"/>
    <x v="4"/>
    <x v="0"/>
    <x v="602"/>
    <x v="4"/>
    <x v="0"/>
    <x v="2"/>
    <x v="2"/>
    <x v="2"/>
    <x v="1"/>
    <x v="518"/>
    <x v="20"/>
    <n v="550"/>
    <x v="172"/>
    <s v="Toyota"/>
    <s v="Camry"/>
    <n v="2000"/>
    <x v="1"/>
    <n v="0"/>
  </r>
  <r>
    <n v="75"/>
    <x v="28"/>
    <x v="603"/>
    <d v="1993-12-10T00:00:00"/>
    <x v="0"/>
    <s v="100/300"/>
    <n v="1000"/>
    <x v="600"/>
    <n v="0"/>
    <x v="599"/>
    <x v="0"/>
    <x v="6"/>
    <x v="3"/>
    <x v="10"/>
    <s v="other-relative"/>
    <x v="1"/>
    <x v="0"/>
    <x v="24"/>
    <x v="2"/>
    <x v="0"/>
    <x v="1"/>
    <x v="0"/>
    <x v="0"/>
    <x v="4"/>
    <x v="603"/>
    <x v="12"/>
    <x v="3"/>
    <x v="1"/>
    <x v="1"/>
    <x v="3"/>
    <x v="0"/>
    <x v="519"/>
    <x v="364"/>
    <n v="11940"/>
    <x v="493"/>
    <s v="Toyota"/>
    <s v="Highlander"/>
    <n v="2008"/>
    <x v="1"/>
    <n v="0"/>
  </r>
  <r>
    <n v="246"/>
    <x v="4"/>
    <x v="604"/>
    <d v="1995-03-08T00:00:00"/>
    <x v="0"/>
    <s v="100/300"/>
    <n v="1000"/>
    <x v="601"/>
    <n v="0"/>
    <x v="600"/>
    <x v="0"/>
    <x v="5"/>
    <x v="1"/>
    <x v="1"/>
    <s v="not-in-family"/>
    <x v="1"/>
    <x v="0"/>
    <x v="28"/>
    <x v="0"/>
    <x v="2"/>
    <x v="1"/>
    <x v="3"/>
    <x v="2"/>
    <x v="2"/>
    <x v="604"/>
    <x v="13"/>
    <x v="0"/>
    <x v="2"/>
    <x v="0"/>
    <x v="1"/>
    <x v="2"/>
    <x v="520"/>
    <x v="453"/>
    <n v="6860"/>
    <x v="454"/>
    <s v="Accura"/>
    <s v="MDX"/>
    <n v="1997"/>
    <x v="1"/>
    <n v="0"/>
  </r>
  <r>
    <n v="110"/>
    <x v="28"/>
    <x v="605"/>
    <d v="2009-08-03T00:00:00"/>
    <x v="0"/>
    <s v="500/1000"/>
    <n v="1000"/>
    <x v="602"/>
    <n v="0"/>
    <x v="601"/>
    <x v="1"/>
    <x v="2"/>
    <x v="7"/>
    <x v="6"/>
    <s v="own-child"/>
    <x v="1"/>
    <x v="32"/>
    <x v="53"/>
    <x v="0"/>
    <x v="0"/>
    <x v="2"/>
    <x v="4"/>
    <x v="0"/>
    <x v="3"/>
    <x v="605"/>
    <x v="19"/>
    <x v="0"/>
    <x v="1"/>
    <x v="1"/>
    <x v="2"/>
    <x v="1"/>
    <x v="521"/>
    <x v="220"/>
    <n v="5750"/>
    <x v="229"/>
    <s v="Audi"/>
    <s v="A3"/>
    <n v="2010"/>
    <x v="1"/>
    <n v="0"/>
  </r>
  <r>
    <n v="236"/>
    <x v="5"/>
    <x v="606"/>
    <d v="1996-11-03T00:00:00"/>
    <x v="1"/>
    <s v="250/500"/>
    <n v="1000"/>
    <x v="603"/>
    <n v="4000000"/>
    <x v="602"/>
    <x v="1"/>
    <x v="4"/>
    <x v="8"/>
    <x v="1"/>
    <s v="wife"/>
    <x v="1"/>
    <x v="142"/>
    <x v="17"/>
    <x v="3"/>
    <x v="1"/>
    <x v="1"/>
    <x v="0"/>
    <x v="2"/>
    <x v="3"/>
    <x v="606"/>
    <x v="18"/>
    <x v="0"/>
    <x v="0"/>
    <x v="1"/>
    <x v="1"/>
    <x v="1"/>
    <x v="522"/>
    <x v="454"/>
    <n v="1740"/>
    <x v="494"/>
    <s v="Accura"/>
    <s v="RSX"/>
    <n v="2003"/>
    <x v="1"/>
    <n v="0"/>
  </r>
  <r>
    <n v="267"/>
    <x v="35"/>
    <x v="607"/>
    <d v="2004-08-09T00:00:00"/>
    <x v="0"/>
    <s v="100/300"/>
    <n v="2000"/>
    <x v="604"/>
    <n v="0"/>
    <x v="603"/>
    <x v="1"/>
    <x v="0"/>
    <x v="12"/>
    <x v="18"/>
    <s v="wife"/>
    <x v="1"/>
    <x v="0"/>
    <x v="10"/>
    <x v="2"/>
    <x v="3"/>
    <x v="2"/>
    <x v="0"/>
    <x v="1"/>
    <x v="1"/>
    <x v="607"/>
    <x v="14"/>
    <x v="2"/>
    <x v="2"/>
    <x v="2"/>
    <x v="3"/>
    <x v="1"/>
    <x v="273"/>
    <x v="455"/>
    <n v="7710"/>
    <x v="258"/>
    <s v="Volkswagen"/>
    <s v="Jetta"/>
    <n v="1996"/>
    <x v="1"/>
    <n v="0"/>
  </r>
  <r>
    <n v="463"/>
    <x v="37"/>
    <x v="608"/>
    <d v="1991-07-20T00:00:00"/>
    <x v="2"/>
    <s v="250/500"/>
    <n v="500"/>
    <x v="605"/>
    <n v="0"/>
    <x v="604"/>
    <x v="0"/>
    <x v="4"/>
    <x v="7"/>
    <x v="8"/>
    <s v="wife"/>
    <x v="1"/>
    <x v="0"/>
    <x v="51"/>
    <x v="0"/>
    <x v="3"/>
    <x v="1"/>
    <x v="0"/>
    <x v="2"/>
    <x v="3"/>
    <x v="608"/>
    <x v="8"/>
    <x v="0"/>
    <x v="2"/>
    <x v="2"/>
    <x v="1"/>
    <x v="0"/>
    <x v="190"/>
    <x v="456"/>
    <n v="6600"/>
    <x v="495"/>
    <s v="Dodge"/>
    <s v="Neon"/>
    <n v="1995"/>
    <x v="1"/>
    <n v="0"/>
  </r>
  <r>
    <n v="303"/>
    <x v="35"/>
    <x v="609"/>
    <d v="2005-01-14T00:00:00"/>
    <x v="1"/>
    <s v="100/300"/>
    <n v="1000"/>
    <x v="606"/>
    <n v="0"/>
    <x v="605"/>
    <x v="0"/>
    <x v="4"/>
    <x v="1"/>
    <x v="15"/>
    <s v="husband"/>
    <x v="1"/>
    <x v="0"/>
    <x v="26"/>
    <x v="2"/>
    <x v="2"/>
    <x v="1"/>
    <x v="2"/>
    <x v="2"/>
    <x v="6"/>
    <x v="609"/>
    <x v="19"/>
    <x v="1"/>
    <x v="2"/>
    <x v="0"/>
    <x v="1"/>
    <x v="2"/>
    <x v="523"/>
    <x v="457"/>
    <n v="4990"/>
    <x v="496"/>
    <s v="Toyota"/>
    <s v="Corolla"/>
    <n v="2006"/>
    <x v="1"/>
    <n v="0"/>
  </r>
  <r>
    <n v="137"/>
    <x v="22"/>
    <x v="610"/>
    <d v="2011-12-16T00:00:00"/>
    <x v="2"/>
    <s v="250/500"/>
    <n v="500"/>
    <x v="607"/>
    <n v="0"/>
    <x v="606"/>
    <x v="0"/>
    <x v="0"/>
    <x v="8"/>
    <x v="15"/>
    <s v="unmarried"/>
    <x v="127"/>
    <x v="240"/>
    <x v="55"/>
    <x v="2"/>
    <x v="3"/>
    <x v="1"/>
    <x v="3"/>
    <x v="4"/>
    <x v="0"/>
    <x v="610"/>
    <x v="14"/>
    <x v="1"/>
    <x v="1"/>
    <x v="2"/>
    <x v="3"/>
    <x v="1"/>
    <x v="524"/>
    <x v="345"/>
    <n v="13460"/>
    <x v="497"/>
    <s v="Chevrolet"/>
    <s v="Tahoe"/>
    <n v="2005"/>
    <x v="1"/>
    <n v="0"/>
  </r>
  <r>
    <n v="56"/>
    <x v="1"/>
    <x v="611"/>
    <d v="1996-07-07T00:00:00"/>
    <x v="2"/>
    <s v="250/500"/>
    <n v="500"/>
    <x v="608"/>
    <n v="0"/>
    <x v="607"/>
    <x v="1"/>
    <x v="2"/>
    <x v="12"/>
    <x v="14"/>
    <s v="not-in-family"/>
    <x v="1"/>
    <x v="0"/>
    <x v="54"/>
    <x v="0"/>
    <x v="2"/>
    <x v="2"/>
    <x v="3"/>
    <x v="2"/>
    <x v="0"/>
    <x v="611"/>
    <x v="21"/>
    <x v="0"/>
    <x v="1"/>
    <x v="0"/>
    <x v="0"/>
    <x v="0"/>
    <x v="241"/>
    <x v="458"/>
    <n v="11180"/>
    <x v="498"/>
    <s v="BMW"/>
    <s v="X5"/>
    <n v="1998"/>
    <x v="1"/>
    <n v="0"/>
  </r>
  <r>
    <n v="75"/>
    <x v="28"/>
    <x v="612"/>
    <d v="1992-08-05T00:00:00"/>
    <x v="1"/>
    <s v="250/500"/>
    <n v="1000"/>
    <x v="609"/>
    <n v="0"/>
    <x v="608"/>
    <x v="0"/>
    <x v="5"/>
    <x v="11"/>
    <x v="2"/>
    <s v="not-in-family"/>
    <x v="64"/>
    <x v="241"/>
    <x v="1"/>
    <x v="2"/>
    <x v="3"/>
    <x v="1"/>
    <x v="0"/>
    <x v="0"/>
    <x v="6"/>
    <x v="612"/>
    <x v="6"/>
    <x v="1"/>
    <x v="2"/>
    <x v="1"/>
    <x v="0"/>
    <x v="0"/>
    <x v="262"/>
    <x v="18"/>
    <n v="13260"/>
    <x v="93"/>
    <s v="Volkswagen"/>
    <s v="Passat"/>
    <n v="2003"/>
    <x v="1"/>
    <n v="0"/>
  </r>
  <r>
    <n v="131"/>
    <x v="8"/>
    <x v="613"/>
    <d v="1990-10-09T00:00:00"/>
    <x v="2"/>
    <s v="100/300"/>
    <n v="2000"/>
    <x v="610"/>
    <n v="0"/>
    <x v="609"/>
    <x v="0"/>
    <x v="0"/>
    <x v="2"/>
    <x v="12"/>
    <s v="wife"/>
    <x v="1"/>
    <x v="242"/>
    <x v="21"/>
    <x v="3"/>
    <x v="1"/>
    <x v="1"/>
    <x v="0"/>
    <x v="2"/>
    <x v="5"/>
    <x v="613"/>
    <x v="19"/>
    <x v="0"/>
    <x v="1"/>
    <x v="1"/>
    <x v="3"/>
    <x v="2"/>
    <x v="525"/>
    <x v="459"/>
    <n v="490"/>
    <x v="148"/>
    <s v="Toyota"/>
    <s v="Camry"/>
    <n v="2010"/>
    <x v="1"/>
    <n v="0"/>
  </r>
  <r>
    <n v="153"/>
    <x v="6"/>
    <x v="614"/>
    <d v="1994-02-27T00:00:00"/>
    <x v="2"/>
    <s v="250/500"/>
    <n v="500"/>
    <x v="611"/>
    <n v="0"/>
    <x v="610"/>
    <x v="0"/>
    <x v="5"/>
    <x v="4"/>
    <x v="13"/>
    <s v="other-relative"/>
    <x v="229"/>
    <x v="238"/>
    <x v="7"/>
    <x v="2"/>
    <x v="0"/>
    <x v="2"/>
    <x v="3"/>
    <x v="4"/>
    <x v="3"/>
    <x v="614"/>
    <x v="5"/>
    <x v="1"/>
    <x v="1"/>
    <x v="0"/>
    <x v="1"/>
    <x v="2"/>
    <x v="526"/>
    <x v="460"/>
    <n v="14140"/>
    <x v="499"/>
    <s v="Nissan"/>
    <s v="Pathfinder"/>
    <n v="2000"/>
    <x v="1"/>
    <n v="0"/>
  </r>
  <r>
    <n v="255"/>
    <x v="18"/>
    <x v="615"/>
    <d v="2007-05-06T00:00:00"/>
    <x v="1"/>
    <s v="500/1000"/>
    <n v="500"/>
    <x v="612"/>
    <n v="0"/>
    <x v="611"/>
    <x v="1"/>
    <x v="6"/>
    <x v="10"/>
    <x v="2"/>
    <s v="unmarried"/>
    <x v="148"/>
    <x v="0"/>
    <x v="18"/>
    <x v="2"/>
    <x v="0"/>
    <x v="0"/>
    <x v="2"/>
    <x v="0"/>
    <x v="0"/>
    <x v="615"/>
    <x v="8"/>
    <x v="3"/>
    <x v="1"/>
    <x v="2"/>
    <x v="0"/>
    <x v="1"/>
    <x v="104"/>
    <x v="98"/>
    <n v="14940"/>
    <x v="106"/>
    <s v="Nissan"/>
    <s v="Maxima"/>
    <n v="2007"/>
    <x v="0"/>
    <n v="0"/>
  </r>
  <r>
    <n v="103"/>
    <x v="13"/>
    <x v="616"/>
    <d v="2014-04-21T00:00:00"/>
    <x v="2"/>
    <s v="100/300"/>
    <n v="500"/>
    <x v="613"/>
    <n v="0"/>
    <x v="612"/>
    <x v="0"/>
    <x v="0"/>
    <x v="4"/>
    <x v="0"/>
    <s v="husband"/>
    <x v="230"/>
    <x v="0"/>
    <x v="23"/>
    <x v="2"/>
    <x v="3"/>
    <x v="1"/>
    <x v="0"/>
    <x v="2"/>
    <x v="2"/>
    <x v="616"/>
    <x v="8"/>
    <x v="3"/>
    <x v="2"/>
    <x v="2"/>
    <x v="0"/>
    <x v="1"/>
    <x v="527"/>
    <x v="461"/>
    <n v="4060"/>
    <x v="500"/>
    <s v="Volkswagen"/>
    <s v="Passat"/>
    <n v="2010"/>
    <x v="1"/>
    <n v="0"/>
  </r>
  <r>
    <n v="97"/>
    <x v="23"/>
    <x v="617"/>
    <d v="2010-02-11T00:00:00"/>
    <x v="0"/>
    <s v="100/300"/>
    <n v="1000"/>
    <x v="614"/>
    <n v="0"/>
    <x v="613"/>
    <x v="0"/>
    <x v="6"/>
    <x v="13"/>
    <x v="17"/>
    <s v="husband"/>
    <x v="1"/>
    <x v="243"/>
    <x v="6"/>
    <x v="0"/>
    <x v="2"/>
    <x v="2"/>
    <x v="4"/>
    <x v="0"/>
    <x v="3"/>
    <x v="617"/>
    <x v="9"/>
    <x v="0"/>
    <x v="1"/>
    <x v="0"/>
    <x v="1"/>
    <x v="1"/>
    <x v="528"/>
    <x v="462"/>
    <n v="10060"/>
    <x v="501"/>
    <s v="Jeep"/>
    <s v="Wrangler"/>
    <n v="2006"/>
    <x v="1"/>
    <n v="0"/>
  </r>
  <r>
    <n v="214"/>
    <x v="31"/>
    <x v="618"/>
    <d v="2000-06-04T00:00:00"/>
    <x v="2"/>
    <s v="100/300"/>
    <n v="2000"/>
    <x v="615"/>
    <n v="7000000"/>
    <x v="614"/>
    <x v="1"/>
    <x v="2"/>
    <x v="1"/>
    <x v="15"/>
    <s v="own-child"/>
    <x v="1"/>
    <x v="0"/>
    <x v="50"/>
    <x v="2"/>
    <x v="3"/>
    <x v="1"/>
    <x v="4"/>
    <x v="2"/>
    <x v="3"/>
    <x v="618"/>
    <x v="18"/>
    <x v="1"/>
    <x v="2"/>
    <x v="1"/>
    <x v="2"/>
    <x v="1"/>
    <x v="529"/>
    <x v="463"/>
    <n v="8560"/>
    <x v="502"/>
    <s v="Saab"/>
    <n v="93"/>
    <n v="2006"/>
    <x v="1"/>
    <n v="0"/>
  </r>
  <r>
    <n v="438"/>
    <x v="37"/>
    <x v="619"/>
    <d v="1991-10-05T00:00:00"/>
    <x v="0"/>
    <s v="500/1000"/>
    <n v="500"/>
    <x v="616"/>
    <n v="0"/>
    <x v="615"/>
    <x v="1"/>
    <x v="0"/>
    <x v="1"/>
    <x v="14"/>
    <s v="husband"/>
    <x v="1"/>
    <x v="0"/>
    <x v="14"/>
    <x v="0"/>
    <x v="0"/>
    <x v="1"/>
    <x v="0"/>
    <x v="0"/>
    <x v="4"/>
    <x v="619"/>
    <x v="8"/>
    <x v="0"/>
    <x v="1"/>
    <x v="1"/>
    <x v="1"/>
    <x v="2"/>
    <x v="530"/>
    <x v="464"/>
    <n v="4070"/>
    <x v="503"/>
    <s v="Volkswagen"/>
    <s v="Passat"/>
    <n v="2000"/>
    <x v="0"/>
    <n v="0"/>
  </r>
  <r>
    <n v="87"/>
    <x v="28"/>
    <x v="620"/>
    <d v="2004-01-03T00:00:00"/>
    <x v="0"/>
    <s v="100/300"/>
    <n v="500"/>
    <x v="617"/>
    <n v="0"/>
    <x v="616"/>
    <x v="1"/>
    <x v="4"/>
    <x v="10"/>
    <x v="18"/>
    <s v="own-child"/>
    <x v="1"/>
    <x v="0"/>
    <x v="56"/>
    <x v="0"/>
    <x v="0"/>
    <x v="1"/>
    <x v="0"/>
    <x v="2"/>
    <x v="1"/>
    <x v="620"/>
    <x v="23"/>
    <x v="0"/>
    <x v="1"/>
    <x v="2"/>
    <x v="3"/>
    <x v="0"/>
    <x v="2"/>
    <x v="465"/>
    <n v="3150"/>
    <x v="99"/>
    <s v="Ford"/>
    <s v="F150"/>
    <n v="1996"/>
    <x v="1"/>
    <n v="0"/>
  </r>
  <r>
    <n v="27"/>
    <x v="23"/>
    <x v="621"/>
    <d v="1992-07-23T00:00:00"/>
    <x v="0"/>
    <s v="500/1000"/>
    <n v="1000"/>
    <x v="618"/>
    <n v="0"/>
    <x v="617"/>
    <x v="0"/>
    <x v="0"/>
    <x v="9"/>
    <x v="7"/>
    <s v="wife"/>
    <x v="1"/>
    <x v="0"/>
    <x v="56"/>
    <x v="3"/>
    <x v="1"/>
    <x v="3"/>
    <x v="0"/>
    <x v="4"/>
    <x v="1"/>
    <x v="621"/>
    <x v="14"/>
    <x v="0"/>
    <x v="1"/>
    <x v="2"/>
    <x v="1"/>
    <x v="1"/>
    <x v="227"/>
    <x v="466"/>
    <n v="400"/>
    <x v="504"/>
    <s v="Jeep"/>
    <s v="Grand Cherokee"/>
    <n v="2012"/>
    <x v="1"/>
    <n v="0"/>
  </r>
  <r>
    <n v="206"/>
    <x v="1"/>
    <x v="622"/>
    <d v="1993-10-10T00:00:00"/>
    <x v="2"/>
    <s v="500/1000"/>
    <n v="1000"/>
    <x v="619"/>
    <n v="0"/>
    <x v="618"/>
    <x v="0"/>
    <x v="5"/>
    <x v="1"/>
    <x v="12"/>
    <s v="unmarried"/>
    <x v="1"/>
    <x v="244"/>
    <x v="28"/>
    <x v="0"/>
    <x v="2"/>
    <x v="0"/>
    <x v="2"/>
    <x v="1"/>
    <x v="4"/>
    <x v="622"/>
    <x v="23"/>
    <x v="0"/>
    <x v="1"/>
    <x v="0"/>
    <x v="3"/>
    <x v="2"/>
    <x v="531"/>
    <x v="288"/>
    <n v="14360"/>
    <x v="395"/>
    <s v="Saab"/>
    <s v="92x"/>
    <n v="1997"/>
    <x v="0"/>
    <n v="0"/>
  </r>
  <r>
    <n v="127"/>
    <x v="14"/>
    <x v="623"/>
    <d v="2002-07-09T00:00:00"/>
    <x v="0"/>
    <s v="500/1000"/>
    <n v="500"/>
    <x v="620"/>
    <n v="0"/>
    <x v="619"/>
    <x v="0"/>
    <x v="2"/>
    <x v="2"/>
    <x v="1"/>
    <s v="not-in-family"/>
    <x v="231"/>
    <x v="0"/>
    <x v="6"/>
    <x v="3"/>
    <x v="1"/>
    <x v="1"/>
    <x v="1"/>
    <x v="0"/>
    <x v="1"/>
    <x v="623"/>
    <x v="15"/>
    <x v="0"/>
    <x v="0"/>
    <x v="0"/>
    <x v="1"/>
    <x v="2"/>
    <x v="153"/>
    <x v="139"/>
    <n v="1120"/>
    <x v="370"/>
    <s v="Nissan"/>
    <s v="Ultima"/>
    <n v="1996"/>
    <x v="1"/>
    <n v="0"/>
  </r>
  <r>
    <n v="422"/>
    <x v="33"/>
    <x v="624"/>
    <d v="2010-11-14T00:00:00"/>
    <x v="1"/>
    <s v="100/300"/>
    <n v="1000"/>
    <x v="621"/>
    <n v="0"/>
    <x v="620"/>
    <x v="1"/>
    <x v="0"/>
    <x v="1"/>
    <x v="11"/>
    <s v="own-child"/>
    <x v="232"/>
    <x v="104"/>
    <x v="30"/>
    <x v="0"/>
    <x v="3"/>
    <x v="0"/>
    <x v="4"/>
    <x v="5"/>
    <x v="6"/>
    <x v="624"/>
    <x v="20"/>
    <x v="0"/>
    <x v="0"/>
    <x v="0"/>
    <x v="3"/>
    <x v="2"/>
    <x v="532"/>
    <x v="467"/>
    <n v="7750"/>
    <x v="505"/>
    <s v="Mercedes"/>
    <s v="E400"/>
    <n v="1999"/>
    <x v="1"/>
    <n v="0"/>
  </r>
  <r>
    <n v="303"/>
    <x v="36"/>
    <x v="625"/>
    <d v="1997-03-03T00:00:00"/>
    <x v="2"/>
    <s v="100/300"/>
    <n v="2000"/>
    <x v="622"/>
    <n v="5000000"/>
    <x v="621"/>
    <x v="0"/>
    <x v="4"/>
    <x v="2"/>
    <x v="7"/>
    <s v="not-in-family"/>
    <x v="1"/>
    <x v="0"/>
    <x v="39"/>
    <x v="2"/>
    <x v="0"/>
    <x v="0"/>
    <x v="2"/>
    <x v="0"/>
    <x v="3"/>
    <x v="625"/>
    <x v="17"/>
    <x v="2"/>
    <x v="0"/>
    <x v="0"/>
    <x v="0"/>
    <x v="2"/>
    <x v="533"/>
    <x v="468"/>
    <n v="6070"/>
    <x v="506"/>
    <s v="Dodge"/>
    <s v="Neon"/>
    <n v="2010"/>
    <x v="1"/>
    <n v="0"/>
  </r>
  <r>
    <n v="228"/>
    <x v="17"/>
    <x v="626"/>
    <d v="1997-03-01T00:00:00"/>
    <x v="1"/>
    <s v="100/300"/>
    <n v="500"/>
    <x v="623"/>
    <n v="0"/>
    <x v="622"/>
    <x v="0"/>
    <x v="2"/>
    <x v="8"/>
    <x v="5"/>
    <s v="husband"/>
    <x v="194"/>
    <x v="0"/>
    <x v="23"/>
    <x v="3"/>
    <x v="1"/>
    <x v="3"/>
    <x v="0"/>
    <x v="4"/>
    <x v="5"/>
    <x v="626"/>
    <x v="3"/>
    <x v="0"/>
    <x v="1"/>
    <x v="1"/>
    <x v="0"/>
    <x v="2"/>
    <x v="534"/>
    <x v="162"/>
    <n v="1100"/>
    <x v="172"/>
    <s v="Toyota"/>
    <s v="Camry"/>
    <n v="2010"/>
    <x v="1"/>
    <n v="0"/>
  </r>
  <r>
    <n v="239"/>
    <x v="5"/>
    <x v="627"/>
    <d v="1990-08-18T00:00:00"/>
    <x v="1"/>
    <s v="250/500"/>
    <n v="2000"/>
    <x v="624"/>
    <n v="0"/>
    <x v="623"/>
    <x v="1"/>
    <x v="6"/>
    <x v="9"/>
    <x v="11"/>
    <s v="wife"/>
    <x v="233"/>
    <x v="245"/>
    <x v="28"/>
    <x v="0"/>
    <x v="3"/>
    <x v="0"/>
    <x v="2"/>
    <x v="0"/>
    <x v="1"/>
    <x v="627"/>
    <x v="15"/>
    <x v="0"/>
    <x v="2"/>
    <x v="2"/>
    <x v="2"/>
    <x v="0"/>
    <x v="535"/>
    <x v="469"/>
    <n v="7990"/>
    <x v="507"/>
    <s v="BMW"/>
    <s v="X6"/>
    <n v="2014"/>
    <x v="0"/>
    <n v="0"/>
  </r>
  <r>
    <n v="330"/>
    <x v="26"/>
    <x v="628"/>
    <d v="2014-05-28T00:00:00"/>
    <x v="2"/>
    <s v="100/300"/>
    <n v="2000"/>
    <x v="625"/>
    <n v="0"/>
    <x v="624"/>
    <x v="1"/>
    <x v="5"/>
    <x v="0"/>
    <x v="14"/>
    <s v="wife"/>
    <x v="1"/>
    <x v="51"/>
    <x v="44"/>
    <x v="2"/>
    <x v="0"/>
    <x v="2"/>
    <x v="3"/>
    <x v="2"/>
    <x v="6"/>
    <x v="628"/>
    <x v="3"/>
    <x v="3"/>
    <x v="1"/>
    <x v="1"/>
    <x v="0"/>
    <x v="0"/>
    <x v="536"/>
    <x v="470"/>
    <n v="5500"/>
    <x v="508"/>
    <s v="Ford"/>
    <s v="F150"/>
    <n v="1999"/>
    <x v="0"/>
    <n v="0"/>
  </r>
  <r>
    <n v="128"/>
    <x v="21"/>
    <x v="629"/>
    <d v="2004-07-22T00:00:00"/>
    <x v="1"/>
    <s v="500/1000"/>
    <n v="500"/>
    <x v="626"/>
    <n v="0"/>
    <x v="625"/>
    <x v="1"/>
    <x v="0"/>
    <x v="1"/>
    <x v="15"/>
    <s v="other-relative"/>
    <x v="1"/>
    <x v="0"/>
    <x v="17"/>
    <x v="2"/>
    <x v="3"/>
    <x v="1"/>
    <x v="2"/>
    <x v="2"/>
    <x v="0"/>
    <x v="629"/>
    <x v="15"/>
    <x v="1"/>
    <x v="1"/>
    <x v="2"/>
    <x v="3"/>
    <x v="2"/>
    <x v="537"/>
    <x v="471"/>
    <n v="16040"/>
    <x v="509"/>
    <s v="Chevrolet"/>
    <s v="Malibu"/>
    <n v="2008"/>
    <x v="1"/>
    <n v="0"/>
  </r>
  <r>
    <n v="147"/>
    <x v="7"/>
    <x v="630"/>
    <d v="2009-08-02T00:00:00"/>
    <x v="0"/>
    <s v="500/1000"/>
    <n v="1000"/>
    <x v="627"/>
    <n v="6000000"/>
    <x v="626"/>
    <x v="1"/>
    <x v="2"/>
    <x v="5"/>
    <x v="17"/>
    <s v="husband"/>
    <x v="1"/>
    <x v="246"/>
    <x v="15"/>
    <x v="2"/>
    <x v="2"/>
    <x v="2"/>
    <x v="3"/>
    <x v="0"/>
    <x v="3"/>
    <x v="630"/>
    <x v="23"/>
    <x v="3"/>
    <x v="2"/>
    <x v="0"/>
    <x v="0"/>
    <x v="2"/>
    <x v="216"/>
    <x v="472"/>
    <n v="4880"/>
    <x v="462"/>
    <s v="Accura"/>
    <s v="MDX"/>
    <n v="2004"/>
    <x v="1"/>
    <n v="0"/>
  </r>
  <r>
    <n v="287"/>
    <x v="19"/>
    <x v="631"/>
    <d v="2007-07-05T00:00:00"/>
    <x v="0"/>
    <s v="500/1000"/>
    <n v="1000"/>
    <x v="628"/>
    <n v="0"/>
    <x v="627"/>
    <x v="0"/>
    <x v="4"/>
    <x v="10"/>
    <x v="6"/>
    <s v="not-in-family"/>
    <x v="1"/>
    <x v="135"/>
    <x v="3"/>
    <x v="0"/>
    <x v="3"/>
    <x v="1"/>
    <x v="2"/>
    <x v="1"/>
    <x v="3"/>
    <x v="631"/>
    <x v="4"/>
    <x v="0"/>
    <x v="2"/>
    <x v="1"/>
    <x v="0"/>
    <x v="2"/>
    <x v="538"/>
    <x v="430"/>
    <n v="5380"/>
    <x v="510"/>
    <s v="Accura"/>
    <s v="MDX"/>
    <n v="2006"/>
    <x v="1"/>
    <n v="0"/>
  </r>
  <r>
    <n v="142"/>
    <x v="2"/>
    <x v="632"/>
    <d v="2010-01-24T00:00:00"/>
    <x v="0"/>
    <s v="100/300"/>
    <n v="2000"/>
    <x v="629"/>
    <n v="0"/>
    <x v="628"/>
    <x v="1"/>
    <x v="0"/>
    <x v="0"/>
    <x v="8"/>
    <s v="husband"/>
    <x v="1"/>
    <x v="247"/>
    <x v="15"/>
    <x v="0"/>
    <x v="2"/>
    <x v="0"/>
    <x v="0"/>
    <x v="2"/>
    <x v="0"/>
    <x v="632"/>
    <x v="15"/>
    <x v="0"/>
    <x v="0"/>
    <x v="0"/>
    <x v="0"/>
    <x v="2"/>
    <x v="539"/>
    <x v="473"/>
    <n v="9060"/>
    <x v="511"/>
    <s v="Mercedes"/>
    <s v="E400"/>
    <n v="1995"/>
    <x v="0"/>
    <n v="0"/>
  </r>
  <r>
    <n v="162"/>
    <x v="21"/>
    <x v="633"/>
    <d v="2000-05-15T00:00:00"/>
    <x v="2"/>
    <s v="500/1000"/>
    <n v="2000"/>
    <x v="630"/>
    <n v="0"/>
    <x v="629"/>
    <x v="1"/>
    <x v="4"/>
    <x v="11"/>
    <x v="4"/>
    <s v="husband"/>
    <x v="1"/>
    <x v="0"/>
    <x v="41"/>
    <x v="0"/>
    <x v="0"/>
    <x v="0"/>
    <x v="0"/>
    <x v="4"/>
    <x v="2"/>
    <x v="633"/>
    <x v="8"/>
    <x v="0"/>
    <x v="0"/>
    <x v="1"/>
    <x v="2"/>
    <x v="0"/>
    <x v="385"/>
    <x v="347"/>
    <n v="4940"/>
    <x v="512"/>
    <s v="Toyota"/>
    <s v="Camry"/>
    <n v="2001"/>
    <x v="1"/>
    <n v="0"/>
  </r>
  <r>
    <n v="140"/>
    <x v="21"/>
    <x v="634"/>
    <d v="2008-03-21T00:00:00"/>
    <x v="0"/>
    <s v="100/300"/>
    <n v="1000"/>
    <x v="631"/>
    <n v="0"/>
    <x v="630"/>
    <x v="1"/>
    <x v="5"/>
    <x v="0"/>
    <x v="14"/>
    <s v="wife"/>
    <x v="1"/>
    <x v="36"/>
    <x v="1"/>
    <x v="3"/>
    <x v="1"/>
    <x v="3"/>
    <x v="1"/>
    <x v="0"/>
    <x v="0"/>
    <x v="634"/>
    <x v="0"/>
    <x v="0"/>
    <x v="1"/>
    <x v="1"/>
    <x v="0"/>
    <x v="0"/>
    <x v="540"/>
    <x v="387"/>
    <n v="260"/>
    <x v="513"/>
    <s v="Chevrolet"/>
    <s v="Tahoe"/>
    <n v="1997"/>
    <x v="0"/>
    <n v="0"/>
  </r>
  <r>
    <n v="106"/>
    <x v="23"/>
    <x v="635"/>
    <d v="1990-05-07T00:00:00"/>
    <x v="0"/>
    <s v="100/300"/>
    <n v="2000"/>
    <x v="632"/>
    <n v="0"/>
    <x v="631"/>
    <x v="0"/>
    <x v="5"/>
    <x v="0"/>
    <x v="18"/>
    <s v="own-child"/>
    <x v="1"/>
    <x v="0"/>
    <x v="23"/>
    <x v="1"/>
    <x v="1"/>
    <x v="1"/>
    <x v="0"/>
    <x v="4"/>
    <x v="4"/>
    <x v="635"/>
    <x v="1"/>
    <x v="0"/>
    <x v="0"/>
    <x v="2"/>
    <x v="3"/>
    <x v="0"/>
    <x v="541"/>
    <x v="20"/>
    <n v="1220"/>
    <x v="160"/>
    <s v="Saab"/>
    <n v="95"/>
    <n v="1999"/>
    <x v="1"/>
    <n v="0"/>
  </r>
  <r>
    <n v="292"/>
    <x v="19"/>
    <x v="636"/>
    <d v="1991-02-05T00:00:00"/>
    <x v="2"/>
    <s v="500/1000"/>
    <n v="1000"/>
    <x v="633"/>
    <n v="0"/>
    <x v="632"/>
    <x v="0"/>
    <x v="4"/>
    <x v="0"/>
    <x v="8"/>
    <s v="unmarried"/>
    <x v="1"/>
    <x v="0"/>
    <x v="25"/>
    <x v="1"/>
    <x v="1"/>
    <x v="3"/>
    <x v="0"/>
    <x v="4"/>
    <x v="5"/>
    <x v="636"/>
    <x v="14"/>
    <x v="0"/>
    <x v="2"/>
    <x v="1"/>
    <x v="0"/>
    <x v="1"/>
    <x v="542"/>
    <x v="145"/>
    <n v="1340"/>
    <x v="155"/>
    <s v="Suburu"/>
    <s v="Impreza"/>
    <n v="1997"/>
    <x v="1"/>
    <n v="0"/>
  </r>
  <r>
    <n v="34"/>
    <x v="6"/>
    <x v="637"/>
    <d v="1992-03-19T00:00:00"/>
    <x v="0"/>
    <s v="500/1000"/>
    <n v="500"/>
    <x v="634"/>
    <n v="0"/>
    <x v="633"/>
    <x v="1"/>
    <x v="1"/>
    <x v="7"/>
    <x v="14"/>
    <s v="husband"/>
    <x v="1"/>
    <x v="0"/>
    <x v="6"/>
    <x v="2"/>
    <x v="0"/>
    <x v="0"/>
    <x v="4"/>
    <x v="5"/>
    <x v="0"/>
    <x v="637"/>
    <x v="14"/>
    <x v="1"/>
    <x v="1"/>
    <x v="0"/>
    <x v="1"/>
    <x v="2"/>
    <x v="76"/>
    <x v="474"/>
    <n v="5080"/>
    <x v="514"/>
    <s v="Audi"/>
    <s v="A3"/>
    <n v="1997"/>
    <x v="0"/>
    <n v="0"/>
  </r>
  <r>
    <n v="290"/>
    <x v="0"/>
    <x v="638"/>
    <d v="2013-04-24T00:00:00"/>
    <x v="2"/>
    <s v="250/500"/>
    <n v="500"/>
    <x v="635"/>
    <n v="5000000"/>
    <x v="634"/>
    <x v="0"/>
    <x v="2"/>
    <x v="12"/>
    <x v="17"/>
    <s v="not-in-family"/>
    <x v="68"/>
    <x v="0"/>
    <x v="56"/>
    <x v="2"/>
    <x v="0"/>
    <x v="1"/>
    <x v="2"/>
    <x v="1"/>
    <x v="6"/>
    <x v="638"/>
    <x v="3"/>
    <x v="3"/>
    <x v="1"/>
    <x v="0"/>
    <x v="3"/>
    <x v="1"/>
    <x v="543"/>
    <x v="306"/>
    <n v="5190"/>
    <x v="515"/>
    <s v="Nissan"/>
    <s v="Ultima"/>
    <n v="2014"/>
    <x v="1"/>
    <n v="0"/>
  </r>
  <r>
    <n v="182"/>
    <x v="11"/>
    <x v="639"/>
    <d v="2009-04-10T00:00:00"/>
    <x v="0"/>
    <s v="500/1000"/>
    <n v="2000"/>
    <x v="636"/>
    <n v="0"/>
    <x v="635"/>
    <x v="1"/>
    <x v="4"/>
    <x v="3"/>
    <x v="10"/>
    <s v="husband"/>
    <x v="234"/>
    <x v="248"/>
    <x v="13"/>
    <x v="0"/>
    <x v="0"/>
    <x v="2"/>
    <x v="0"/>
    <x v="2"/>
    <x v="1"/>
    <x v="639"/>
    <x v="22"/>
    <x v="0"/>
    <x v="1"/>
    <x v="2"/>
    <x v="2"/>
    <x v="0"/>
    <x v="544"/>
    <x v="475"/>
    <n v="16300"/>
    <x v="516"/>
    <s v="Dodge"/>
    <s v="RAM"/>
    <n v="2005"/>
    <x v="1"/>
    <n v="0"/>
  </r>
  <r>
    <n v="362"/>
    <x v="16"/>
    <x v="640"/>
    <d v="2008-12-01T00:00:00"/>
    <x v="0"/>
    <s v="100/300"/>
    <n v="1000"/>
    <x v="637"/>
    <n v="0"/>
    <x v="636"/>
    <x v="1"/>
    <x v="6"/>
    <x v="6"/>
    <x v="5"/>
    <s v="unmarried"/>
    <x v="117"/>
    <x v="249"/>
    <x v="4"/>
    <x v="2"/>
    <x v="2"/>
    <x v="2"/>
    <x v="0"/>
    <x v="2"/>
    <x v="4"/>
    <x v="640"/>
    <x v="5"/>
    <x v="1"/>
    <x v="2"/>
    <x v="1"/>
    <x v="2"/>
    <x v="2"/>
    <x v="545"/>
    <x v="20"/>
    <n v="0"/>
    <x v="517"/>
    <s v="Suburu"/>
    <s v="Legacy"/>
    <n v="1998"/>
    <x v="1"/>
    <n v="0"/>
  </r>
  <r>
    <n v="143"/>
    <x v="30"/>
    <x v="641"/>
    <d v="2000-07-05T00:00:00"/>
    <x v="2"/>
    <s v="500/1000"/>
    <n v="1000"/>
    <x v="638"/>
    <n v="0"/>
    <x v="637"/>
    <x v="1"/>
    <x v="5"/>
    <x v="8"/>
    <x v="6"/>
    <s v="husband"/>
    <x v="235"/>
    <x v="0"/>
    <x v="14"/>
    <x v="0"/>
    <x v="2"/>
    <x v="0"/>
    <x v="4"/>
    <x v="0"/>
    <x v="3"/>
    <x v="641"/>
    <x v="17"/>
    <x v="0"/>
    <x v="1"/>
    <x v="2"/>
    <x v="1"/>
    <x v="2"/>
    <x v="546"/>
    <x v="476"/>
    <n v="5660"/>
    <x v="518"/>
    <s v="Saab"/>
    <s v="92x"/>
    <n v="1995"/>
    <x v="1"/>
    <n v="0"/>
  </r>
  <r>
    <n v="183"/>
    <x v="11"/>
    <x v="642"/>
    <d v="2014-06-11T00:00:00"/>
    <x v="2"/>
    <s v="250/500"/>
    <n v="500"/>
    <x v="639"/>
    <n v="0"/>
    <x v="638"/>
    <x v="1"/>
    <x v="4"/>
    <x v="5"/>
    <x v="13"/>
    <s v="not-in-family"/>
    <x v="236"/>
    <x v="0"/>
    <x v="27"/>
    <x v="0"/>
    <x v="0"/>
    <x v="0"/>
    <x v="0"/>
    <x v="5"/>
    <x v="4"/>
    <x v="642"/>
    <x v="18"/>
    <x v="0"/>
    <x v="2"/>
    <x v="1"/>
    <x v="3"/>
    <x v="0"/>
    <x v="547"/>
    <x v="477"/>
    <n v="4720"/>
    <x v="519"/>
    <s v="Audi"/>
    <s v="A3"/>
    <n v="2001"/>
    <x v="0"/>
    <n v="0"/>
  </r>
  <r>
    <n v="254"/>
    <x v="17"/>
    <x v="643"/>
    <d v="1995-04-23T00:00:00"/>
    <x v="2"/>
    <s v="250/500"/>
    <n v="500"/>
    <x v="640"/>
    <n v="5000000"/>
    <x v="639"/>
    <x v="0"/>
    <x v="3"/>
    <x v="3"/>
    <x v="4"/>
    <s v="wife"/>
    <x v="1"/>
    <x v="250"/>
    <x v="24"/>
    <x v="0"/>
    <x v="3"/>
    <x v="1"/>
    <x v="3"/>
    <x v="2"/>
    <x v="1"/>
    <x v="643"/>
    <x v="6"/>
    <x v="0"/>
    <x v="1"/>
    <x v="2"/>
    <x v="0"/>
    <x v="1"/>
    <x v="203"/>
    <x v="187"/>
    <n v="4860"/>
    <x v="520"/>
    <s v="Volkswagen"/>
    <s v="Jetta"/>
    <n v="2009"/>
    <x v="1"/>
    <n v="0"/>
  </r>
  <r>
    <n v="249"/>
    <x v="18"/>
    <x v="644"/>
    <d v="1990-09-16T00:00:00"/>
    <x v="0"/>
    <s v="100/300"/>
    <n v="2000"/>
    <x v="641"/>
    <n v="0"/>
    <x v="640"/>
    <x v="1"/>
    <x v="0"/>
    <x v="12"/>
    <x v="6"/>
    <s v="not-in-family"/>
    <x v="1"/>
    <x v="251"/>
    <x v="55"/>
    <x v="2"/>
    <x v="2"/>
    <x v="2"/>
    <x v="2"/>
    <x v="0"/>
    <x v="2"/>
    <x v="644"/>
    <x v="14"/>
    <x v="1"/>
    <x v="0"/>
    <x v="2"/>
    <x v="3"/>
    <x v="0"/>
    <x v="548"/>
    <x v="478"/>
    <n v="5710"/>
    <x v="521"/>
    <s v="Honda"/>
    <s v="CRV"/>
    <n v="2014"/>
    <x v="1"/>
    <n v="0"/>
  </r>
  <r>
    <n v="169"/>
    <x v="31"/>
    <x v="645"/>
    <d v="1998-12-11T00:00:00"/>
    <x v="1"/>
    <s v="250/500"/>
    <n v="500"/>
    <x v="642"/>
    <n v="0"/>
    <x v="641"/>
    <x v="0"/>
    <x v="5"/>
    <x v="8"/>
    <x v="12"/>
    <s v="unmarried"/>
    <x v="237"/>
    <x v="252"/>
    <x v="47"/>
    <x v="2"/>
    <x v="3"/>
    <x v="2"/>
    <x v="4"/>
    <x v="2"/>
    <x v="3"/>
    <x v="645"/>
    <x v="5"/>
    <x v="1"/>
    <x v="2"/>
    <x v="2"/>
    <x v="2"/>
    <x v="1"/>
    <x v="282"/>
    <x v="259"/>
    <n v="7040"/>
    <x v="270"/>
    <s v="Dodge"/>
    <s v="Neon"/>
    <n v="2004"/>
    <x v="1"/>
    <n v="0"/>
  </r>
  <r>
    <n v="235"/>
    <x v="17"/>
    <x v="646"/>
    <d v="1995-10-09T00:00:00"/>
    <x v="2"/>
    <s v="500/1000"/>
    <n v="500"/>
    <x v="643"/>
    <n v="0"/>
    <x v="642"/>
    <x v="0"/>
    <x v="3"/>
    <x v="0"/>
    <x v="4"/>
    <s v="husband"/>
    <x v="1"/>
    <x v="0"/>
    <x v="27"/>
    <x v="0"/>
    <x v="0"/>
    <x v="1"/>
    <x v="4"/>
    <x v="2"/>
    <x v="1"/>
    <x v="646"/>
    <x v="20"/>
    <x v="0"/>
    <x v="2"/>
    <x v="0"/>
    <x v="0"/>
    <x v="2"/>
    <x v="549"/>
    <x v="479"/>
    <n v="13660"/>
    <x v="522"/>
    <s v="Suburu"/>
    <s v="Forrestor"/>
    <n v="2003"/>
    <x v="1"/>
    <n v="0"/>
  </r>
  <r>
    <n v="112"/>
    <x v="30"/>
    <x v="647"/>
    <d v="1999-12-21T00:00:00"/>
    <x v="0"/>
    <s v="500/1000"/>
    <n v="1000"/>
    <x v="644"/>
    <n v="0"/>
    <x v="643"/>
    <x v="0"/>
    <x v="2"/>
    <x v="6"/>
    <x v="5"/>
    <s v="other-relative"/>
    <x v="120"/>
    <x v="59"/>
    <x v="36"/>
    <x v="3"/>
    <x v="1"/>
    <x v="3"/>
    <x v="1"/>
    <x v="2"/>
    <x v="2"/>
    <x v="647"/>
    <x v="14"/>
    <x v="0"/>
    <x v="1"/>
    <x v="1"/>
    <x v="0"/>
    <x v="1"/>
    <x v="550"/>
    <x v="480"/>
    <n v="920"/>
    <x v="523"/>
    <s v="Honda"/>
    <s v="CRV"/>
    <n v="2012"/>
    <x v="1"/>
    <n v="0"/>
  </r>
  <r>
    <n v="16"/>
    <x v="30"/>
    <x v="648"/>
    <d v="2002-07-28T00:00:00"/>
    <x v="2"/>
    <s v="100/300"/>
    <n v="1000"/>
    <x v="645"/>
    <n v="0"/>
    <x v="644"/>
    <x v="0"/>
    <x v="0"/>
    <x v="4"/>
    <x v="14"/>
    <s v="not-in-family"/>
    <x v="238"/>
    <x v="32"/>
    <x v="35"/>
    <x v="2"/>
    <x v="0"/>
    <x v="2"/>
    <x v="4"/>
    <x v="4"/>
    <x v="0"/>
    <x v="648"/>
    <x v="5"/>
    <x v="1"/>
    <x v="1"/>
    <x v="1"/>
    <x v="0"/>
    <x v="1"/>
    <x v="190"/>
    <x v="456"/>
    <n v="13200"/>
    <x v="524"/>
    <s v="Dodge"/>
    <s v="RAM"/>
    <n v="1995"/>
    <x v="0"/>
    <n v="0"/>
  </r>
  <r>
    <n v="128"/>
    <x v="14"/>
    <x v="649"/>
    <d v="1993-08-03T00:00:00"/>
    <x v="2"/>
    <s v="100/300"/>
    <n v="500"/>
    <x v="646"/>
    <n v="0"/>
    <x v="645"/>
    <x v="1"/>
    <x v="5"/>
    <x v="10"/>
    <x v="19"/>
    <s v="other-relative"/>
    <x v="1"/>
    <x v="253"/>
    <x v="16"/>
    <x v="2"/>
    <x v="0"/>
    <x v="0"/>
    <x v="4"/>
    <x v="2"/>
    <x v="3"/>
    <x v="649"/>
    <x v="23"/>
    <x v="1"/>
    <x v="2"/>
    <x v="1"/>
    <x v="0"/>
    <x v="1"/>
    <x v="551"/>
    <x v="20"/>
    <n v="15540"/>
    <x v="525"/>
    <s v="Ford"/>
    <s v="Escape"/>
    <n v="2013"/>
    <x v="0"/>
    <n v="0"/>
  </r>
  <r>
    <n v="103"/>
    <x v="28"/>
    <x v="650"/>
    <d v="2007-12-16T00:00:00"/>
    <x v="1"/>
    <s v="100/300"/>
    <n v="1000"/>
    <x v="647"/>
    <n v="0"/>
    <x v="646"/>
    <x v="1"/>
    <x v="3"/>
    <x v="11"/>
    <x v="2"/>
    <s v="husband"/>
    <x v="1"/>
    <x v="254"/>
    <x v="41"/>
    <x v="2"/>
    <x v="3"/>
    <x v="1"/>
    <x v="0"/>
    <x v="2"/>
    <x v="3"/>
    <x v="650"/>
    <x v="20"/>
    <x v="1"/>
    <x v="0"/>
    <x v="0"/>
    <x v="3"/>
    <x v="2"/>
    <x v="552"/>
    <x v="481"/>
    <n v="15540"/>
    <x v="525"/>
    <s v="Jeep"/>
    <s v="Wrangler"/>
    <n v="2008"/>
    <x v="1"/>
    <n v="0"/>
  </r>
  <r>
    <n v="356"/>
    <x v="25"/>
    <x v="651"/>
    <d v="2008-02-10T00:00:00"/>
    <x v="0"/>
    <s v="500/1000"/>
    <n v="500"/>
    <x v="648"/>
    <n v="0"/>
    <x v="647"/>
    <x v="0"/>
    <x v="3"/>
    <x v="5"/>
    <x v="12"/>
    <s v="wife"/>
    <x v="144"/>
    <x v="255"/>
    <x v="3"/>
    <x v="2"/>
    <x v="3"/>
    <x v="0"/>
    <x v="3"/>
    <x v="0"/>
    <x v="5"/>
    <x v="651"/>
    <x v="6"/>
    <x v="1"/>
    <x v="2"/>
    <x v="2"/>
    <x v="3"/>
    <x v="1"/>
    <x v="397"/>
    <x v="355"/>
    <n v="12500"/>
    <x v="526"/>
    <s v="Audi"/>
    <s v="A5"/>
    <n v="2007"/>
    <x v="0"/>
    <n v="0"/>
  </r>
  <r>
    <n v="109"/>
    <x v="2"/>
    <x v="652"/>
    <d v="2006-10-01T00:00:00"/>
    <x v="0"/>
    <s v="100/300"/>
    <n v="2000"/>
    <x v="649"/>
    <n v="6000000"/>
    <x v="648"/>
    <x v="1"/>
    <x v="5"/>
    <x v="12"/>
    <x v="10"/>
    <s v="husband"/>
    <x v="1"/>
    <x v="0"/>
    <x v="31"/>
    <x v="2"/>
    <x v="0"/>
    <x v="1"/>
    <x v="0"/>
    <x v="2"/>
    <x v="1"/>
    <x v="652"/>
    <x v="18"/>
    <x v="1"/>
    <x v="2"/>
    <x v="0"/>
    <x v="2"/>
    <x v="0"/>
    <x v="553"/>
    <x v="482"/>
    <n v="16560"/>
    <x v="527"/>
    <s v="Jeep"/>
    <s v="Wrangler"/>
    <n v="1995"/>
    <x v="1"/>
    <n v="0"/>
  </r>
  <r>
    <n v="2"/>
    <x v="44"/>
    <x v="653"/>
    <d v="2003-03-09T00:00:00"/>
    <x v="1"/>
    <s v="500/1000"/>
    <n v="1000"/>
    <x v="650"/>
    <n v="4000000"/>
    <x v="649"/>
    <x v="1"/>
    <x v="5"/>
    <x v="0"/>
    <x v="6"/>
    <s v="other-relative"/>
    <x v="1"/>
    <x v="184"/>
    <x v="52"/>
    <x v="0"/>
    <x v="0"/>
    <x v="1"/>
    <x v="3"/>
    <x v="4"/>
    <x v="0"/>
    <x v="653"/>
    <x v="9"/>
    <x v="0"/>
    <x v="2"/>
    <x v="0"/>
    <x v="2"/>
    <x v="0"/>
    <x v="554"/>
    <x v="483"/>
    <n v="8060"/>
    <x v="528"/>
    <s v="Audi"/>
    <s v="A5"/>
    <n v="2000"/>
    <x v="1"/>
    <n v="0"/>
  </r>
  <r>
    <n v="198"/>
    <x v="6"/>
    <x v="654"/>
    <d v="2003-05-29T00:00:00"/>
    <x v="0"/>
    <s v="250/500"/>
    <n v="1000"/>
    <x v="651"/>
    <n v="0"/>
    <x v="650"/>
    <x v="0"/>
    <x v="2"/>
    <x v="11"/>
    <x v="15"/>
    <s v="other-relative"/>
    <x v="1"/>
    <x v="256"/>
    <x v="54"/>
    <x v="0"/>
    <x v="0"/>
    <x v="0"/>
    <x v="3"/>
    <x v="4"/>
    <x v="4"/>
    <x v="654"/>
    <x v="22"/>
    <x v="0"/>
    <x v="0"/>
    <x v="0"/>
    <x v="3"/>
    <x v="0"/>
    <x v="555"/>
    <x v="484"/>
    <n v="9500"/>
    <x v="529"/>
    <s v="Ford"/>
    <s v="F150"/>
    <n v="2001"/>
    <x v="1"/>
    <n v="0"/>
  </r>
  <r>
    <n v="107"/>
    <x v="30"/>
    <x v="655"/>
    <d v="2002-05-06T00:00:00"/>
    <x v="0"/>
    <s v="100/300"/>
    <n v="500"/>
    <x v="652"/>
    <n v="4000000"/>
    <x v="651"/>
    <x v="0"/>
    <x v="2"/>
    <x v="1"/>
    <x v="12"/>
    <s v="other-relative"/>
    <x v="239"/>
    <x v="0"/>
    <x v="20"/>
    <x v="1"/>
    <x v="1"/>
    <x v="3"/>
    <x v="0"/>
    <x v="0"/>
    <x v="2"/>
    <x v="655"/>
    <x v="1"/>
    <x v="0"/>
    <x v="1"/>
    <x v="0"/>
    <x v="2"/>
    <x v="2"/>
    <x v="556"/>
    <x v="1"/>
    <n v="390"/>
    <x v="530"/>
    <s v="Ford"/>
    <s v="F150"/>
    <n v="2010"/>
    <x v="1"/>
    <n v="0"/>
  </r>
  <r>
    <n v="252"/>
    <x v="5"/>
    <x v="656"/>
    <d v="2004-02-28T00:00:00"/>
    <x v="2"/>
    <s v="500/1000"/>
    <n v="500"/>
    <x v="653"/>
    <n v="9000000"/>
    <x v="652"/>
    <x v="0"/>
    <x v="5"/>
    <x v="10"/>
    <x v="19"/>
    <s v="other-relative"/>
    <x v="1"/>
    <x v="130"/>
    <x v="31"/>
    <x v="2"/>
    <x v="3"/>
    <x v="1"/>
    <x v="3"/>
    <x v="5"/>
    <x v="1"/>
    <x v="656"/>
    <x v="12"/>
    <x v="1"/>
    <x v="1"/>
    <x v="1"/>
    <x v="2"/>
    <x v="2"/>
    <x v="190"/>
    <x v="485"/>
    <n v="5940"/>
    <x v="115"/>
    <s v="Jeep"/>
    <s v="Grand Cherokee"/>
    <n v="2010"/>
    <x v="0"/>
    <n v="0"/>
  </r>
  <r>
    <n v="303"/>
    <x v="18"/>
    <x v="657"/>
    <d v="1999-01-14T00:00:00"/>
    <x v="0"/>
    <s v="500/1000"/>
    <n v="1000"/>
    <x v="654"/>
    <n v="7000000"/>
    <x v="653"/>
    <x v="1"/>
    <x v="2"/>
    <x v="1"/>
    <x v="7"/>
    <s v="other-relative"/>
    <x v="95"/>
    <x v="257"/>
    <x v="13"/>
    <x v="0"/>
    <x v="2"/>
    <x v="1"/>
    <x v="2"/>
    <x v="5"/>
    <x v="3"/>
    <x v="657"/>
    <x v="3"/>
    <x v="0"/>
    <x v="1"/>
    <x v="2"/>
    <x v="1"/>
    <x v="1"/>
    <x v="557"/>
    <x v="486"/>
    <n v="6690"/>
    <x v="531"/>
    <s v="Nissan"/>
    <s v="Maxima"/>
    <n v="2013"/>
    <x v="1"/>
    <n v="0"/>
  </r>
  <r>
    <n v="101"/>
    <x v="30"/>
    <x v="658"/>
    <d v="2002-01-23T00:00:00"/>
    <x v="2"/>
    <s v="250/500"/>
    <n v="500"/>
    <x v="655"/>
    <n v="0"/>
    <x v="654"/>
    <x v="0"/>
    <x v="6"/>
    <x v="2"/>
    <x v="17"/>
    <s v="other-relative"/>
    <x v="53"/>
    <x v="204"/>
    <x v="3"/>
    <x v="0"/>
    <x v="3"/>
    <x v="1"/>
    <x v="4"/>
    <x v="0"/>
    <x v="0"/>
    <x v="658"/>
    <x v="14"/>
    <x v="0"/>
    <x v="1"/>
    <x v="1"/>
    <x v="2"/>
    <x v="0"/>
    <x v="558"/>
    <x v="487"/>
    <n v="4360"/>
    <x v="532"/>
    <s v="Suburu"/>
    <s v="Legacy"/>
    <n v="2010"/>
    <x v="1"/>
    <n v="0"/>
  </r>
  <r>
    <n v="446"/>
    <x v="37"/>
    <x v="659"/>
    <d v="1992-12-09T00:00:00"/>
    <x v="1"/>
    <s v="100/300"/>
    <n v="2000"/>
    <x v="656"/>
    <n v="0"/>
    <x v="655"/>
    <x v="0"/>
    <x v="3"/>
    <x v="12"/>
    <x v="0"/>
    <s v="unmarried"/>
    <x v="240"/>
    <x v="258"/>
    <x v="30"/>
    <x v="2"/>
    <x v="3"/>
    <x v="2"/>
    <x v="0"/>
    <x v="0"/>
    <x v="6"/>
    <x v="659"/>
    <x v="15"/>
    <x v="1"/>
    <x v="2"/>
    <x v="1"/>
    <x v="1"/>
    <x v="2"/>
    <x v="44"/>
    <x v="44"/>
    <n v="12560"/>
    <x v="533"/>
    <s v="Jeep"/>
    <s v="Wrangler"/>
    <n v="2012"/>
    <x v="1"/>
    <n v="0"/>
  </r>
  <r>
    <n v="330"/>
    <x v="0"/>
    <x v="660"/>
    <d v="1998-06-24T00:00:00"/>
    <x v="0"/>
    <s v="250/500"/>
    <n v="1000"/>
    <x v="657"/>
    <n v="0"/>
    <x v="656"/>
    <x v="0"/>
    <x v="3"/>
    <x v="13"/>
    <x v="9"/>
    <s v="husband"/>
    <x v="1"/>
    <x v="0"/>
    <x v="33"/>
    <x v="0"/>
    <x v="0"/>
    <x v="0"/>
    <x v="4"/>
    <x v="1"/>
    <x v="3"/>
    <x v="660"/>
    <x v="15"/>
    <x v="0"/>
    <x v="0"/>
    <x v="0"/>
    <x v="2"/>
    <x v="1"/>
    <x v="559"/>
    <x v="488"/>
    <n v="5950"/>
    <x v="534"/>
    <s v="Dodge"/>
    <s v="Neon"/>
    <n v="2006"/>
    <x v="1"/>
    <n v="0"/>
  </r>
  <r>
    <n v="211"/>
    <x v="7"/>
    <x v="661"/>
    <d v="2011-01-06T00:00:00"/>
    <x v="0"/>
    <s v="250/500"/>
    <n v="2000"/>
    <x v="658"/>
    <n v="4000000"/>
    <x v="657"/>
    <x v="1"/>
    <x v="1"/>
    <x v="3"/>
    <x v="9"/>
    <s v="not-in-family"/>
    <x v="241"/>
    <x v="259"/>
    <x v="8"/>
    <x v="2"/>
    <x v="3"/>
    <x v="2"/>
    <x v="0"/>
    <x v="4"/>
    <x v="5"/>
    <x v="661"/>
    <x v="9"/>
    <x v="1"/>
    <x v="0"/>
    <x v="0"/>
    <x v="1"/>
    <x v="1"/>
    <x v="203"/>
    <x v="173"/>
    <n v="5940"/>
    <x v="115"/>
    <s v="Honda"/>
    <s v="CRV"/>
    <n v="2009"/>
    <x v="1"/>
    <n v="0"/>
  </r>
  <r>
    <n v="172"/>
    <x v="8"/>
    <x v="662"/>
    <d v="2012-02-24T00:00:00"/>
    <x v="2"/>
    <s v="100/300"/>
    <n v="1000"/>
    <x v="659"/>
    <n v="6000000"/>
    <x v="658"/>
    <x v="1"/>
    <x v="5"/>
    <x v="12"/>
    <x v="1"/>
    <s v="wife"/>
    <x v="7"/>
    <x v="260"/>
    <x v="22"/>
    <x v="2"/>
    <x v="0"/>
    <x v="2"/>
    <x v="4"/>
    <x v="2"/>
    <x v="5"/>
    <x v="662"/>
    <x v="12"/>
    <x v="1"/>
    <x v="2"/>
    <x v="1"/>
    <x v="3"/>
    <x v="2"/>
    <x v="560"/>
    <x v="489"/>
    <n v="7580"/>
    <x v="535"/>
    <s v="Saab"/>
    <n v="95"/>
    <n v="1999"/>
    <x v="1"/>
    <n v="0"/>
  </r>
  <r>
    <n v="316"/>
    <x v="35"/>
    <x v="663"/>
    <d v="2011-06-25T00:00:00"/>
    <x v="0"/>
    <s v="100/300"/>
    <n v="500"/>
    <x v="660"/>
    <n v="7000000"/>
    <x v="659"/>
    <x v="1"/>
    <x v="4"/>
    <x v="5"/>
    <x v="13"/>
    <s v="wife"/>
    <x v="1"/>
    <x v="5"/>
    <x v="7"/>
    <x v="0"/>
    <x v="0"/>
    <x v="1"/>
    <x v="4"/>
    <x v="2"/>
    <x v="2"/>
    <x v="663"/>
    <x v="21"/>
    <x v="0"/>
    <x v="1"/>
    <x v="1"/>
    <x v="3"/>
    <x v="0"/>
    <x v="561"/>
    <x v="490"/>
    <n v="12620"/>
    <x v="536"/>
    <s v="Accura"/>
    <s v="TL"/>
    <n v="2000"/>
    <x v="1"/>
    <n v="0"/>
  </r>
  <r>
    <n v="435"/>
    <x v="33"/>
    <x v="664"/>
    <d v="2006-11-21T00:00:00"/>
    <x v="0"/>
    <s v="500/1000"/>
    <n v="500"/>
    <x v="661"/>
    <n v="5000000"/>
    <x v="660"/>
    <x v="0"/>
    <x v="2"/>
    <x v="7"/>
    <x v="14"/>
    <s v="other-relative"/>
    <x v="242"/>
    <x v="261"/>
    <x v="56"/>
    <x v="0"/>
    <x v="3"/>
    <x v="2"/>
    <x v="4"/>
    <x v="4"/>
    <x v="2"/>
    <x v="664"/>
    <x v="6"/>
    <x v="0"/>
    <x v="2"/>
    <x v="2"/>
    <x v="3"/>
    <x v="1"/>
    <x v="562"/>
    <x v="228"/>
    <n v="10480"/>
    <x v="537"/>
    <s v="Mercedes"/>
    <s v="E400"/>
    <n v="2007"/>
    <x v="0"/>
    <n v="0"/>
  </r>
  <r>
    <n v="344"/>
    <x v="34"/>
    <x v="665"/>
    <d v="2008-06-27T00:00:00"/>
    <x v="2"/>
    <s v="100/300"/>
    <n v="1000"/>
    <x v="662"/>
    <n v="0"/>
    <x v="661"/>
    <x v="1"/>
    <x v="4"/>
    <x v="2"/>
    <x v="13"/>
    <s v="not-in-family"/>
    <x v="1"/>
    <x v="262"/>
    <x v="40"/>
    <x v="2"/>
    <x v="0"/>
    <x v="0"/>
    <x v="2"/>
    <x v="2"/>
    <x v="5"/>
    <x v="665"/>
    <x v="22"/>
    <x v="1"/>
    <x v="1"/>
    <x v="2"/>
    <x v="0"/>
    <x v="0"/>
    <x v="228"/>
    <x v="491"/>
    <n v="11600"/>
    <x v="538"/>
    <s v="BMW"/>
    <s v="X6"/>
    <n v="2006"/>
    <x v="0"/>
    <n v="0"/>
  </r>
  <r>
    <n v="204"/>
    <x v="17"/>
    <x v="666"/>
    <d v="1993-08-30T00:00:00"/>
    <x v="0"/>
    <s v="250/500"/>
    <n v="2000"/>
    <x v="663"/>
    <n v="0"/>
    <x v="662"/>
    <x v="0"/>
    <x v="6"/>
    <x v="1"/>
    <x v="11"/>
    <s v="husband"/>
    <x v="1"/>
    <x v="263"/>
    <x v="7"/>
    <x v="0"/>
    <x v="2"/>
    <x v="2"/>
    <x v="4"/>
    <x v="0"/>
    <x v="2"/>
    <x v="666"/>
    <x v="2"/>
    <x v="0"/>
    <x v="0"/>
    <x v="0"/>
    <x v="3"/>
    <x v="2"/>
    <x v="14"/>
    <x v="14"/>
    <n v="8400"/>
    <x v="14"/>
    <s v="Audi"/>
    <s v="A5"/>
    <n v="1997"/>
    <x v="1"/>
    <n v="0"/>
  </r>
  <r>
    <n v="278"/>
    <x v="26"/>
    <x v="667"/>
    <d v="2008-04-21T00:00:00"/>
    <x v="1"/>
    <s v="500/1000"/>
    <n v="500"/>
    <x v="664"/>
    <n v="0"/>
    <x v="663"/>
    <x v="0"/>
    <x v="4"/>
    <x v="1"/>
    <x v="0"/>
    <s v="not-in-family"/>
    <x v="1"/>
    <x v="264"/>
    <x v="40"/>
    <x v="0"/>
    <x v="2"/>
    <x v="0"/>
    <x v="4"/>
    <x v="1"/>
    <x v="4"/>
    <x v="667"/>
    <x v="7"/>
    <x v="0"/>
    <x v="2"/>
    <x v="2"/>
    <x v="0"/>
    <x v="0"/>
    <x v="387"/>
    <x v="240"/>
    <n v="5850"/>
    <x v="245"/>
    <s v="Toyota"/>
    <s v="Camry"/>
    <n v="2010"/>
    <x v="1"/>
    <n v="0"/>
  </r>
  <r>
    <n v="434"/>
    <x v="37"/>
    <x v="668"/>
    <d v="2000-06-23T00:00:00"/>
    <x v="0"/>
    <s v="500/1000"/>
    <n v="2000"/>
    <x v="665"/>
    <n v="0"/>
    <x v="664"/>
    <x v="0"/>
    <x v="6"/>
    <x v="10"/>
    <x v="4"/>
    <s v="husband"/>
    <x v="1"/>
    <x v="0"/>
    <x v="34"/>
    <x v="2"/>
    <x v="2"/>
    <x v="0"/>
    <x v="3"/>
    <x v="0"/>
    <x v="0"/>
    <x v="668"/>
    <x v="12"/>
    <x v="1"/>
    <x v="2"/>
    <x v="0"/>
    <x v="2"/>
    <x v="2"/>
    <x v="563"/>
    <x v="235"/>
    <n v="11040"/>
    <x v="539"/>
    <s v="Nissan"/>
    <s v="Maxima"/>
    <n v="2003"/>
    <x v="1"/>
    <n v="0"/>
  </r>
  <r>
    <n v="209"/>
    <x v="31"/>
    <x v="669"/>
    <d v="2010-01-11T00:00:00"/>
    <x v="1"/>
    <s v="100/300"/>
    <n v="2000"/>
    <x v="666"/>
    <n v="0"/>
    <x v="665"/>
    <x v="1"/>
    <x v="0"/>
    <x v="0"/>
    <x v="7"/>
    <s v="wife"/>
    <x v="1"/>
    <x v="0"/>
    <x v="37"/>
    <x v="2"/>
    <x v="2"/>
    <x v="2"/>
    <x v="4"/>
    <x v="7"/>
    <x v="4"/>
    <x v="669"/>
    <x v="18"/>
    <x v="1"/>
    <x v="1"/>
    <x v="0"/>
    <x v="2"/>
    <x v="1"/>
    <x v="564"/>
    <x v="22"/>
    <n v="8180"/>
    <x v="540"/>
    <s v="Jeep"/>
    <s v="Wrangler"/>
    <n v="2014"/>
    <x v="1"/>
    <n v="0"/>
  </r>
  <r>
    <n v="250"/>
    <x v="18"/>
    <x v="670"/>
    <d v="1990-03-28T00:00:00"/>
    <x v="2"/>
    <s v="500/1000"/>
    <n v="2000"/>
    <x v="667"/>
    <n v="0"/>
    <x v="666"/>
    <x v="0"/>
    <x v="4"/>
    <x v="2"/>
    <x v="20"/>
    <s v="other-relative"/>
    <x v="40"/>
    <x v="0"/>
    <x v="39"/>
    <x v="0"/>
    <x v="3"/>
    <x v="1"/>
    <x v="2"/>
    <x v="0"/>
    <x v="4"/>
    <x v="670"/>
    <x v="23"/>
    <x v="0"/>
    <x v="2"/>
    <x v="1"/>
    <x v="2"/>
    <x v="1"/>
    <x v="503"/>
    <x v="492"/>
    <n v="10700"/>
    <x v="219"/>
    <s v="Ford"/>
    <s v="F150"/>
    <n v="2002"/>
    <x v="1"/>
    <n v="0"/>
  </r>
  <r>
    <n v="61"/>
    <x v="20"/>
    <x v="671"/>
    <d v="1998-01-29T00:00:00"/>
    <x v="1"/>
    <s v="100/300"/>
    <n v="2000"/>
    <x v="668"/>
    <n v="0"/>
    <x v="667"/>
    <x v="1"/>
    <x v="4"/>
    <x v="6"/>
    <x v="8"/>
    <s v="not-in-family"/>
    <x v="1"/>
    <x v="0"/>
    <x v="53"/>
    <x v="2"/>
    <x v="2"/>
    <x v="1"/>
    <x v="4"/>
    <x v="4"/>
    <x v="5"/>
    <x v="671"/>
    <x v="17"/>
    <x v="1"/>
    <x v="0"/>
    <x v="0"/>
    <x v="1"/>
    <x v="2"/>
    <x v="565"/>
    <x v="493"/>
    <n v="4040"/>
    <x v="541"/>
    <s v="Dodge"/>
    <s v="RAM"/>
    <n v="2000"/>
    <x v="1"/>
    <n v="0"/>
  </r>
  <r>
    <n v="80"/>
    <x v="23"/>
    <x v="672"/>
    <d v="2014-12-05T00:00:00"/>
    <x v="2"/>
    <s v="500/1000"/>
    <n v="1000"/>
    <x v="669"/>
    <n v="0"/>
    <x v="668"/>
    <x v="1"/>
    <x v="3"/>
    <x v="13"/>
    <x v="6"/>
    <s v="wife"/>
    <x v="1"/>
    <x v="265"/>
    <x v="39"/>
    <x v="0"/>
    <x v="2"/>
    <x v="0"/>
    <x v="0"/>
    <x v="0"/>
    <x v="5"/>
    <x v="672"/>
    <x v="19"/>
    <x v="0"/>
    <x v="1"/>
    <x v="1"/>
    <x v="3"/>
    <x v="1"/>
    <x v="566"/>
    <x v="494"/>
    <n v="3720"/>
    <x v="542"/>
    <s v="Dodge"/>
    <s v="Neon"/>
    <n v="2011"/>
    <x v="1"/>
    <n v="0"/>
  </r>
  <r>
    <n v="25"/>
    <x v="11"/>
    <x v="673"/>
    <d v="1995-12-07T00:00:00"/>
    <x v="0"/>
    <s v="250/500"/>
    <n v="1000"/>
    <x v="670"/>
    <n v="7000000"/>
    <x v="669"/>
    <x v="0"/>
    <x v="3"/>
    <x v="12"/>
    <x v="18"/>
    <s v="wife"/>
    <x v="243"/>
    <x v="0"/>
    <x v="20"/>
    <x v="1"/>
    <x v="1"/>
    <x v="3"/>
    <x v="1"/>
    <x v="1"/>
    <x v="5"/>
    <x v="673"/>
    <x v="5"/>
    <x v="0"/>
    <x v="2"/>
    <x v="0"/>
    <x v="3"/>
    <x v="0"/>
    <x v="100"/>
    <x v="51"/>
    <n v="960"/>
    <x v="543"/>
    <s v="Toyota"/>
    <s v="Corolla"/>
    <n v="1995"/>
    <x v="1"/>
    <n v="0"/>
  </r>
  <r>
    <n v="4"/>
    <x v="2"/>
    <x v="674"/>
    <d v="2002-05-27T00:00:00"/>
    <x v="2"/>
    <s v="250/500"/>
    <n v="500"/>
    <x v="671"/>
    <n v="5000000"/>
    <x v="670"/>
    <x v="0"/>
    <x v="5"/>
    <x v="4"/>
    <x v="20"/>
    <s v="other-relative"/>
    <x v="1"/>
    <x v="266"/>
    <x v="31"/>
    <x v="1"/>
    <x v="1"/>
    <x v="3"/>
    <x v="0"/>
    <x v="0"/>
    <x v="4"/>
    <x v="674"/>
    <x v="14"/>
    <x v="0"/>
    <x v="2"/>
    <x v="1"/>
    <x v="0"/>
    <x v="1"/>
    <x v="567"/>
    <x v="421"/>
    <n v="420"/>
    <x v="458"/>
    <s v="Jeep"/>
    <s v="Wrangler"/>
    <n v="2008"/>
    <x v="1"/>
    <n v="0"/>
  </r>
  <r>
    <n v="32"/>
    <x v="2"/>
    <x v="675"/>
    <d v="2002-08-09T00:00:00"/>
    <x v="0"/>
    <s v="100/300"/>
    <n v="500"/>
    <x v="672"/>
    <n v="0"/>
    <x v="671"/>
    <x v="0"/>
    <x v="0"/>
    <x v="12"/>
    <x v="0"/>
    <s v="own-child"/>
    <x v="1"/>
    <x v="267"/>
    <x v="36"/>
    <x v="2"/>
    <x v="3"/>
    <x v="1"/>
    <x v="4"/>
    <x v="2"/>
    <x v="2"/>
    <x v="675"/>
    <x v="20"/>
    <x v="1"/>
    <x v="0"/>
    <x v="2"/>
    <x v="1"/>
    <x v="2"/>
    <x v="568"/>
    <x v="136"/>
    <n v="5270"/>
    <x v="143"/>
    <s v="Saab"/>
    <n v="93"/>
    <n v="2006"/>
    <x v="1"/>
    <n v="0"/>
  </r>
  <r>
    <n v="125"/>
    <x v="14"/>
    <x v="676"/>
    <d v="2012-12-02T00:00:00"/>
    <x v="1"/>
    <s v="500/1000"/>
    <n v="500"/>
    <x v="673"/>
    <n v="0"/>
    <x v="672"/>
    <x v="0"/>
    <x v="6"/>
    <x v="6"/>
    <x v="13"/>
    <s v="husband"/>
    <x v="121"/>
    <x v="268"/>
    <x v="27"/>
    <x v="3"/>
    <x v="1"/>
    <x v="3"/>
    <x v="1"/>
    <x v="2"/>
    <x v="2"/>
    <x v="676"/>
    <x v="14"/>
    <x v="0"/>
    <x v="0"/>
    <x v="0"/>
    <x v="0"/>
    <x v="1"/>
    <x v="100"/>
    <x v="20"/>
    <n v="960"/>
    <x v="102"/>
    <s v="Saab"/>
    <n v="93"/>
    <n v="2003"/>
    <x v="1"/>
    <n v="0"/>
  </r>
  <r>
    <n v="276"/>
    <x v="19"/>
    <x v="677"/>
    <d v="2000-03-22T00:00:00"/>
    <x v="2"/>
    <s v="500/1000"/>
    <n v="500"/>
    <x v="674"/>
    <n v="0"/>
    <x v="673"/>
    <x v="1"/>
    <x v="5"/>
    <x v="1"/>
    <x v="1"/>
    <s v="wife"/>
    <x v="244"/>
    <x v="238"/>
    <x v="10"/>
    <x v="2"/>
    <x v="3"/>
    <x v="1"/>
    <x v="2"/>
    <x v="0"/>
    <x v="0"/>
    <x v="677"/>
    <x v="20"/>
    <x v="1"/>
    <x v="1"/>
    <x v="1"/>
    <x v="0"/>
    <x v="1"/>
    <x v="114"/>
    <x v="107"/>
    <n v="6930"/>
    <x v="356"/>
    <s v="Ford"/>
    <s v="Escape"/>
    <n v="2010"/>
    <x v="1"/>
    <n v="0"/>
  </r>
  <r>
    <n v="148"/>
    <x v="22"/>
    <x v="678"/>
    <d v="2002-04-13T00:00:00"/>
    <x v="0"/>
    <s v="100/300"/>
    <n v="500"/>
    <x v="675"/>
    <n v="0"/>
    <x v="674"/>
    <x v="1"/>
    <x v="4"/>
    <x v="13"/>
    <x v="7"/>
    <s v="own-child"/>
    <x v="245"/>
    <x v="269"/>
    <x v="14"/>
    <x v="2"/>
    <x v="0"/>
    <x v="1"/>
    <x v="0"/>
    <x v="5"/>
    <x v="1"/>
    <x v="678"/>
    <x v="14"/>
    <x v="1"/>
    <x v="2"/>
    <x v="2"/>
    <x v="0"/>
    <x v="2"/>
    <x v="569"/>
    <x v="461"/>
    <n v="4060"/>
    <x v="544"/>
    <s v="Dodge"/>
    <s v="Neon"/>
    <n v="1997"/>
    <x v="1"/>
    <n v="0"/>
  </r>
  <r>
    <n v="222"/>
    <x v="11"/>
    <x v="679"/>
    <d v="2008-06-17T00:00:00"/>
    <x v="1"/>
    <s v="100/300"/>
    <n v="2000"/>
    <x v="676"/>
    <n v="0"/>
    <x v="675"/>
    <x v="0"/>
    <x v="0"/>
    <x v="1"/>
    <x v="11"/>
    <s v="not-in-family"/>
    <x v="1"/>
    <x v="270"/>
    <x v="2"/>
    <x v="0"/>
    <x v="3"/>
    <x v="2"/>
    <x v="0"/>
    <x v="2"/>
    <x v="4"/>
    <x v="679"/>
    <x v="3"/>
    <x v="0"/>
    <x v="1"/>
    <x v="2"/>
    <x v="0"/>
    <x v="0"/>
    <x v="570"/>
    <x v="291"/>
    <n v="6720"/>
    <x v="545"/>
    <s v="Accura"/>
    <s v="TL"/>
    <n v="2001"/>
    <x v="1"/>
    <n v="0"/>
  </r>
  <r>
    <n v="32"/>
    <x v="11"/>
    <x v="680"/>
    <d v="1994-04-07T00:00:00"/>
    <x v="2"/>
    <s v="250/500"/>
    <n v="2000"/>
    <x v="677"/>
    <n v="5000000"/>
    <x v="676"/>
    <x v="0"/>
    <x v="2"/>
    <x v="3"/>
    <x v="18"/>
    <s v="unmarried"/>
    <x v="1"/>
    <x v="0"/>
    <x v="1"/>
    <x v="3"/>
    <x v="1"/>
    <x v="3"/>
    <x v="0"/>
    <x v="5"/>
    <x v="3"/>
    <x v="680"/>
    <x v="9"/>
    <x v="0"/>
    <x v="0"/>
    <x v="1"/>
    <x v="1"/>
    <x v="2"/>
    <x v="51"/>
    <x v="495"/>
    <n v="440"/>
    <x v="546"/>
    <s v="Honda"/>
    <s v="CRV"/>
    <n v="2015"/>
    <x v="1"/>
    <n v="0"/>
  </r>
  <r>
    <n v="78"/>
    <x v="28"/>
    <x v="681"/>
    <d v="1992-02-29T00:00:00"/>
    <x v="0"/>
    <s v="500/1000"/>
    <n v="500"/>
    <x v="678"/>
    <n v="0"/>
    <x v="677"/>
    <x v="0"/>
    <x v="6"/>
    <x v="6"/>
    <x v="9"/>
    <s v="other-relative"/>
    <x v="1"/>
    <x v="271"/>
    <x v="51"/>
    <x v="3"/>
    <x v="1"/>
    <x v="3"/>
    <x v="0"/>
    <x v="0"/>
    <x v="5"/>
    <x v="681"/>
    <x v="14"/>
    <x v="0"/>
    <x v="2"/>
    <x v="1"/>
    <x v="2"/>
    <x v="2"/>
    <x v="534"/>
    <x v="496"/>
    <n v="1100"/>
    <x v="547"/>
    <s v="Volkswagen"/>
    <s v="Passat"/>
    <n v="2009"/>
    <x v="1"/>
    <n v="0"/>
  </r>
  <r>
    <n v="238"/>
    <x v="18"/>
    <x v="682"/>
    <d v="1996-05-11T00:00:00"/>
    <x v="0"/>
    <s v="250/500"/>
    <n v="1000"/>
    <x v="679"/>
    <n v="4000000"/>
    <x v="678"/>
    <x v="0"/>
    <x v="5"/>
    <x v="11"/>
    <x v="14"/>
    <s v="wife"/>
    <x v="1"/>
    <x v="272"/>
    <x v="55"/>
    <x v="2"/>
    <x v="2"/>
    <x v="2"/>
    <x v="4"/>
    <x v="5"/>
    <x v="4"/>
    <x v="682"/>
    <x v="7"/>
    <x v="2"/>
    <x v="2"/>
    <x v="1"/>
    <x v="1"/>
    <x v="2"/>
    <x v="330"/>
    <x v="497"/>
    <n v="4270"/>
    <x v="548"/>
    <s v="Saab"/>
    <s v="92x"/>
    <n v="1995"/>
    <x v="0"/>
    <n v="0"/>
  </r>
  <r>
    <n v="313"/>
    <x v="26"/>
    <x v="683"/>
    <d v="2013-04-03T00:00:00"/>
    <x v="1"/>
    <s v="250/500"/>
    <n v="1000"/>
    <x v="680"/>
    <n v="0"/>
    <x v="679"/>
    <x v="0"/>
    <x v="3"/>
    <x v="5"/>
    <x v="1"/>
    <s v="wife"/>
    <x v="171"/>
    <x v="121"/>
    <x v="58"/>
    <x v="0"/>
    <x v="3"/>
    <x v="0"/>
    <x v="4"/>
    <x v="0"/>
    <x v="4"/>
    <x v="683"/>
    <x v="3"/>
    <x v="0"/>
    <x v="0"/>
    <x v="0"/>
    <x v="2"/>
    <x v="2"/>
    <x v="571"/>
    <x v="498"/>
    <n v="7320"/>
    <x v="549"/>
    <s v="Accura"/>
    <s v="MDX"/>
    <n v="1996"/>
    <x v="0"/>
    <n v="0"/>
  </r>
  <r>
    <n v="334"/>
    <x v="36"/>
    <x v="684"/>
    <d v="2009-11-12T00:00:00"/>
    <x v="0"/>
    <s v="500/1000"/>
    <n v="500"/>
    <x v="681"/>
    <n v="0"/>
    <x v="680"/>
    <x v="0"/>
    <x v="4"/>
    <x v="7"/>
    <x v="18"/>
    <s v="wife"/>
    <x v="246"/>
    <x v="273"/>
    <x v="45"/>
    <x v="0"/>
    <x v="2"/>
    <x v="0"/>
    <x v="2"/>
    <x v="2"/>
    <x v="0"/>
    <x v="684"/>
    <x v="2"/>
    <x v="0"/>
    <x v="2"/>
    <x v="2"/>
    <x v="1"/>
    <x v="1"/>
    <x v="426"/>
    <x v="439"/>
    <n v="10000"/>
    <x v="492"/>
    <s v="Chevrolet"/>
    <s v="Silverado"/>
    <n v="2008"/>
    <x v="1"/>
    <n v="0"/>
  </r>
  <r>
    <n v="190"/>
    <x v="21"/>
    <x v="685"/>
    <d v="2008-11-05T00:00:00"/>
    <x v="1"/>
    <s v="250/500"/>
    <n v="500"/>
    <x v="682"/>
    <n v="5000000"/>
    <x v="681"/>
    <x v="1"/>
    <x v="5"/>
    <x v="4"/>
    <x v="6"/>
    <s v="husband"/>
    <x v="1"/>
    <x v="0"/>
    <x v="40"/>
    <x v="3"/>
    <x v="1"/>
    <x v="3"/>
    <x v="1"/>
    <x v="2"/>
    <x v="1"/>
    <x v="685"/>
    <x v="14"/>
    <x v="0"/>
    <x v="2"/>
    <x v="1"/>
    <x v="3"/>
    <x v="2"/>
    <x v="452"/>
    <x v="214"/>
    <n v="320"/>
    <x v="543"/>
    <s v="Saab"/>
    <s v="92x"/>
    <n v="1998"/>
    <x v="1"/>
    <n v="0"/>
  </r>
  <r>
    <n v="194"/>
    <x v="3"/>
    <x v="686"/>
    <d v="1993-02-15T00:00:00"/>
    <x v="2"/>
    <s v="250/500"/>
    <n v="500"/>
    <x v="683"/>
    <n v="0"/>
    <x v="682"/>
    <x v="0"/>
    <x v="6"/>
    <x v="10"/>
    <x v="17"/>
    <s v="not-in-family"/>
    <x v="247"/>
    <x v="90"/>
    <x v="38"/>
    <x v="2"/>
    <x v="2"/>
    <x v="1"/>
    <x v="0"/>
    <x v="4"/>
    <x v="3"/>
    <x v="686"/>
    <x v="18"/>
    <x v="1"/>
    <x v="1"/>
    <x v="1"/>
    <x v="0"/>
    <x v="1"/>
    <x v="572"/>
    <x v="499"/>
    <n v="20550"/>
    <x v="550"/>
    <s v="Saab"/>
    <n v="95"/>
    <n v="1999"/>
    <x v="1"/>
    <n v="0"/>
  </r>
  <r>
    <n v="290"/>
    <x v="26"/>
    <x v="687"/>
    <d v="2008-07-21T00:00:00"/>
    <x v="1"/>
    <s v="250/500"/>
    <n v="1000"/>
    <x v="684"/>
    <n v="0"/>
    <x v="683"/>
    <x v="0"/>
    <x v="5"/>
    <x v="8"/>
    <x v="4"/>
    <s v="other-relative"/>
    <x v="1"/>
    <x v="238"/>
    <x v="14"/>
    <x v="2"/>
    <x v="0"/>
    <x v="1"/>
    <x v="4"/>
    <x v="4"/>
    <x v="5"/>
    <x v="687"/>
    <x v="3"/>
    <x v="1"/>
    <x v="0"/>
    <x v="0"/>
    <x v="2"/>
    <x v="0"/>
    <x v="573"/>
    <x v="500"/>
    <n v="12480"/>
    <x v="551"/>
    <s v="Audi"/>
    <s v="A5"/>
    <n v="2002"/>
    <x v="1"/>
    <n v="0"/>
  </r>
  <r>
    <n v="26"/>
    <x v="1"/>
    <x v="688"/>
    <d v="2010-09-11T00:00:00"/>
    <x v="0"/>
    <s v="100/300"/>
    <n v="1000"/>
    <x v="685"/>
    <n v="0"/>
    <x v="684"/>
    <x v="0"/>
    <x v="1"/>
    <x v="3"/>
    <x v="0"/>
    <s v="not-in-family"/>
    <x v="237"/>
    <x v="274"/>
    <x v="20"/>
    <x v="0"/>
    <x v="0"/>
    <x v="0"/>
    <x v="0"/>
    <x v="0"/>
    <x v="1"/>
    <x v="688"/>
    <x v="15"/>
    <x v="0"/>
    <x v="2"/>
    <x v="2"/>
    <x v="2"/>
    <x v="1"/>
    <x v="574"/>
    <x v="246"/>
    <n v="11460"/>
    <x v="552"/>
    <s v="Saab"/>
    <s v="92x"/>
    <n v="1996"/>
    <x v="1"/>
    <n v="0"/>
  </r>
  <r>
    <n v="254"/>
    <x v="3"/>
    <x v="689"/>
    <d v="1995-12-22T00:00:00"/>
    <x v="2"/>
    <s v="250/500"/>
    <n v="500"/>
    <x v="686"/>
    <n v="5000000"/>
    <x v="685"/>
    <x v="1"/>
    <x v="1"/>
    <x v="11"/>
    <x v="9"/>
    <s v="own-child"/>
    <x v="241"/>
    <x v="275"/>
    <x v="22"/>
    <x v="0"/>
    <x v="3"/>
    <x v="1"/>
    <x v="0"/>
    <x v="2"/>
    <x v="1"/>
    <x v="689"/>
    <x v="1"/>
    <x v="0"/>
    <x v="0"/>
    <x v="2"/>
    <x v="0"/>
    <x v="2"/>
    <x v="575"/>
    <x v="501"/>
    <n v="11540"/>
    <x v="553"/>
    <s v="BMW"/>
    <s v="X6"/>
    <n v="1999"/>
    <x v="1"/>
    <n v="0"/>
  </r>
  <r>
    <n v="199"/>
    <x v="11"/>
    <x v="690"/>
    <d v="1991-09-26T00:00:00"/>
    <x v="2"/>
    <s v="250/500"/>
    <n v="1000"/>
    <x v="254"/>
    <n v="0"/>
    <x v="686"/>
    <x v="1"/>
    <x v="5"/>
    <x v="4"/>
    <x v="10"/>
    <s v="other-relative"/>
    <x v="1"/>
    <x v="276"/>
    <x v="57"/>
    <x v="0"/>
    <x v="3"/>
    <x v="0"/>
    <x v="0"/>
    <x v="4"/>
    <x v="0"/>
    <x v="690"/>
    <x v="13"/>
    <x v="0"/>
    <x v="1"/>
    <x v="1"/>
    <x v="0"/>
    <x v="2"/>
    <x v="576"/>
    <x v="502"/>
    <n v="4040"/>
    <x v="554"/>
    <s v="BMW"/>
    <s v="X6"/>
    <n v="2007"/>
    <x v="0"/>
    <n v="0"/>
  </r>
  <r>
    <n v="137"/>
    <x v="21"/>
    <x v="691"/>
    <d v="2010-03-11T00:00:00"/>
    <x v="1"/>
    <s v="250/500"/>
    <n v="500"/>
    <x v="687"/>
    <n v="0"/>
    <x v="687"/>
    <x v="0"/>
    <x v="6"/>
    <x v="5"/>
    <x v="13"/>
    <s v="husband"/>
    <x v="22"/>
    <x v="20"/>
    <x v="57"/>
    <x v="3"/>
    <x v="1"/>
    <x v="1"/>
    <x v="0"/>
    <x v="4"/>
    <x v="6"/>
    <x v="691"/>
    <x v="14"/>
    <x v="0"/>
    <x v="0"/>
    <x v="0"/>
    <x v="3"/>
    <x v="2"/>
    <x v="77"/>
    <x v="503"/>
    <n v="1200"/>
    <x v="96"/>
    <s v="Jeep"/>
    <s v="Grand Cherokee"/>
    <n v="2005"/>
    <x v="1"/>
    <n v="0"/>
  </r>
  <r>
    <n v="134"/>
    <x v="31"/>
    <x v="692"/>
    <d v="1990-07-15T00:00:00"/>
    <x v="0"/>
    <s v="250/500"/>
    <n v="1000"/>
    <x v="688"/>
    <n v="0"/>
    <x v="688"/>
    <x v="0"/>
    <x v="1"/>
    <x v="1"/>
    <x v="15"/>
    <s v="husband"/>
    <x v="248"/>
    <x v="74"/>
    <x v="0"/>
    <x v="2"/>
    <x v="0"/>
    <x v="1"/>
    <x v="4"/>
    <x v="4"/>
    <x v="6"/>
    <x v="692"/>
    <x v="18"/>
    <x v="1"/>
    <x v="2"/>
    <x v="2"/>
    <x v="1"/>
    <x v="0"/>
    <x v="577"/>
    <x v="504"/>
    <n v="9650"/>
    <x v="555"/>
    <s v="Ford"/>
    <s v="Escape"/>
    <n v="1996"/>
    <x v="1"/>
    <n v="0"/>
  </r>
  <r>
    <n v="73"/>
    <x v="22"/>
    <x v="693"/>
    <d v="2009-05-10T00:00:00"/>
    <x v="0"/>
    <s v="100/300"/>
    <n v="500"/>
    <x v="689"/>
    <n v="0"/>
    <x v="689"/>
    <x v="1"/>
    <x v="5"/>
    <x v="9"/>
    <x v="1"/>
    <s v="husband"/>
    <x v="1"/>
    <x v="0"/>
    <x v="54"/>
    <x v="2"/>
    <x v="2"/>
    <x v="2"/>
    <x v="3"/>
    <x v="4"/>
    <x v="3"/>
    <x v="693"/>
    <x v="12"/>
    <x v="1"/>
    <x v="1"/>
    <x v="1"/>
    <x v="1"/>
    <x v="0"/>
    <x v="578"/>
    <x v="20"/>
    <n v="11400"/>
    <x v="84"/>
    <s v="Audi"/>
    <s v="A3"/>
    <n v="2013"/>
    <x v="1"/>
    <n v="0"/>
  </r>
  <r>
    <n v="289"/>
    <x v="19"/>
    <x v="694"/>
    <d v="1999-10-28T00:00:00"/>
    <x v="0"/>
    <s v="250/500"/>
    <n v="2000"/>
    <x v="690"/>
    <n v="0"/>
    <x v="690"/>
    <x v="1"/>
    <x v="4"/>
    <x v="13"/>
    <x v="10"/>
    <s v="wife"/>
    <x v="13"/>
    <x v="101"/>
    <x v="7"/>
    <x v="1"/>
    <x v="1"/>
    <x v="3"/>
    <x v="0"/>
    <x v="4"/>
    <x v="1"/>
    <x v="694"/>
    <x v="10"/>
    <x v="0"/>
    <x v="2"/>
    <x v="2"/>
    <x v="3"/>
    <x v="2"/>
    <x v="459"/>
    <x v="53"/>
    <n v="300"/>
    <x v="439"/>
    <s v="Honda"/>
    <s v="Accord"/>
    <n v="2006"/>
    <x v="1"/>
    <n v="0"/>
  </r>
  <r>
    <n v="176"/>
    <x v="31"/>
    <x v="695"/>
    <d v="1995-03-30T00:00:00"/>
    <x v="0"/>
    <s v="250/500"/>
    <n v="500"/>
    <x v="691"/>
    <n v="5000000"/>
    <x v="691"/>
    <x v="0"/>
    <x v="3"/>
    <x v="10"/>
    <x v="15"/>
    <s v="unmarried"/>
    <x v="249"/>
    <x v="277"/>
    <x v="36"/>
    <x v="0"/>
    <x v="2"/>
    <x v="2"/>
    <x v="0"/>
    <x v="4"/>
    <x v="4"/>
    <x v="695"/>
    <x v="18"/>
    <x v="0"/>
    <x v="1"/>
    <x v="2"/>
    <x v="3"/>
    <x v="0"/>
    <x v="141"/>
    <x v="505"/>
    <n v="8600"/>
    <x v="556"/>
    <s v="Volkswagen"/>
    <s v="Jetta"/>
    <n v="2006"/>
    <x v="1"/>
    <n v="0"/>
  </r>
  <r>
    <n v="145"/>
    <x v="7"/>
    <x v="696"/>
    <d v="1991-12-14T00:00:00"/>
    <x v="0"/>
    <s v="250/500"/>
    <n v="2000"/>
    <x v="692"/>
    <n v="0"/>
    <x v="692"/>
    <x v="1"/>
    <x v="2"/>
    <x v="4"/>
    <x v="0"/>
    <s v="unmarried"/>
    <x v="1"/>
    <x v="278"/>
    <x v="59"/>
    <x v="0"/>
    <x v="2"/>
    <x v="0"/>
    <x v="3"/>
    <x v="1"/>
    <x v="2"/>
    <x v="696"/>
    <x v="21"/>
    <x v="0"/>
    <x v="1"/>
    <x v="2"/>
    <x v="2"/>
    <x v="1"/>
    <x v="579"/>
    <x v="506"/>
    <n v="10020"/>
    <x v="557"/>
    <s v="Nissan"/>
    <s v="Maxima"/>
    <n v="2002"/>
    <x v="1"/>
    <n v="0"/>
  </r>
  <r>
    <n v="164"/>
    <x v="14"/>
    <x v="697"/>
    <d v="2011-01-31T00:00:00"/>
    <x v="1"/>
    <s v="500/1000"/>
    <n v="500"/>
    <x v="693"/>
    <n v="0"/>
    <x v="693"/>
    <x v="1"/>
    <x v="2"/>
    <x v="6"/>
    <x v="1"/>
    <s v="husband"/>
    <x v="244"/>
    <x v="279"/>
    <x v="48"/>
    <x v="1"/>
    <x v="1"/>
    <x v="3"/>
    <x v="0"/>
    <x v="0"/>
    <x v="3"/>
    <x v="697"/>
    <x v="0"/>
    <x v="0"/>
    <x v="0"/>
    <x v="0"/>
    <x v="1"/>
    <x v="2"/>
    <x v="100"/>
    <x v="51"/>
    <n v="480"/>
    <x v="102"/>
    <s v="Mercedes"/>
    <s v="E400"/>
    <n v="2002"/>
    <x v="1"/>
    <n v="0"/>
  </r>
  <r>
    <n v="186"/>
    <x v="11"/>
    <x v="698"/>
    <d v="2006-04-21T00:00:00"/>
    <x v="0"/>
    <s v="250/500"/>
    <n v="2000"/>
    <x v="694"/>
    <n v="0"/>
    <x v="694"/>
    <x v="1"/>
    <x v="4"/>
    <x v="10"/>
    <x v="17"/>
    <s v="husband"/>
    <x v="250"/>
    <x v="280"/>
    <x v="44"/>
    <x v="2"/>
    <x v="3"/>
    <x v="2"/>
    <x v="0"/>
    <x v="1"/>
    <x v="2"/>
    <x v="698"/>
    <x v="6"/>
    <x v="1"/>
    <x v="0"/>
    <x v="2"/>
    <x v="0"/>
    <x v="1"/>
    <x v="323"/>
    <x v="293"/>
    <n v="5730"/>
    <x v="304"/>
    <s v="Saab"/>
    <n v="95"/>
    <n v="1998"/>
    <x v="0"/>
    <n v="0"/>
  </r>
  <r>
    <n v="85"/>
    <x v="14"/>
    <x v="699"/>
    <d v="2004-03-10T00:00:00"/>
    <x v="2"/>
    <s v="250/500"/>
    <n v="2000"/>
    <x v="695"/>
    <n v="9000000"/>
    <x v="695"/>
    <x v="1"/>
    <x v="0"/>
    <x v="4"/>
    <x v="13"/>
    <s v="husband"/>
    <x v="1"/>
    <x v="0"/>
    <x v="38"/>
    <x v="2"/>
    <x v="3"/>
    <x v="0"/>
    <x v="3"/>
    <x v="4"/>
    <x v="2"/>
    <x v="699"/>
    <x v="17"/>
    <x v="3"/>
    <x v="2"/>
    <x v="2"/>
    <x v="3"/>
    <x v="1"/>
    <x v="580"/>
    <x v="158"/>
    <n v="7440"/>
    <x v="0"/>
    <s v="BMW"/>
    <s v="M5"/>
    <n v="2003"/>
    <x v="0"/>
    <n v="0"/>
  </r>
  <r>
    <n v="162"/>
    <x v="8"/>
    <x v="700"/>
    <d v="1991-01-05T00:00:00"/>
    <x v="0"/>
    <s v="250/500"/>
    <n v="500"/>
    <x v="696"/>
    <n v="0"/>
    <x v="696"/>
    <x v="1"/>
    <x v="2"/>
    <x v="8"/>
    <x v="5"/>
    <s v="other-relative"/>
    <x v="161"/>
    <x v="0"/>
    <x v="47"/>
    <x v="2"/>
    <x v="2"/>
    <x v="0"/>
    <x v="2"/>
    <x v="2"/>
    <x v="4"/>
    <x v="700"/>
    <x v="18"/>
    <x v="2"/>
    <x v="2"/>
    <x v="2"/>
    <x v="3"/>
    <x v="2"/>
    <x v="581"/>
    <x v="210"/>
    <n v="3530"/>
    <x v="558"/>
    <s v="Mercedes"/>
    <s v="E400"/>
    <n v="1996"/>
    <x v="0"/>
    <n v="0"/>
  </r>
  <r>
    <n v="396"/>
    <x v="37"/>
    <x v="701"/>
    <d v="1996-10-15T00:00:00"/>
    <x v="2"/>
    <s v="500/1000"/>
    <n v="500"/>
    <x v="697"/>
    <n v="0"/>
    <x v="697"/>
    <x v="0"/>
    <x v="5"/>
    <x v="4"/>
    <x v="7"/>
    <s v="wife"/>
    <x v="1"/>
    <x v="128"/>
    <x v="53"/>
    <x v="3"/>
    <x v="1"/>
    <x v="1"/>
    <x v="1"/>
    <x v="2"/>
    <x v="3"/>
    <x v="701"/>
    <x v="19"/>
    <x v="0"/>
    <x v="0"/>
    <x v="0"/>
    <x v="2"/>
    <x v="1"/>
    <x v="51"/>
    <x v="51"/>
    <n v="480"/>
    <x v="52"/>
    <s v="Volkswagen"/>
    <s v="Passat"/>
    <n v="2000"/>
    <x v="1"/>
    <n v="0"/>
  </r>
  <r>
    <n v="270"/>
    <x v="3"/>
    <x v="702"/>
    <d v="1994-06-21T00:00:00"/>
    <x v="2"/>
    <s v="250/500"/>
    <n v="1000"/>
    <x v="698"/>
    <n v="0"/>
    <x v="698"/>
    <x v="0"/>
    <x v="5"/>
    <x v="2"/>
    <x v="19"/>
    <s v="unmarried"/>
    <x v="102"/>
    <x v="0"/>
    <x v="28"/>
    <x v="2"/>
    <x v="2"/>
    <x v="2"/>
    <x v="4"/>
    <x v="0"/>
    <x v="0"/>
    <x v="702"/>
    <x v="18"/>
    <x v="1"/>
    <x v="1"/>
    <x v="0"/>
    <x v="3"/>
    <x v="2"/>
    <x v="207"/>
    <x v="507"/>
    <n v="9260"/>
    <x v="559"/>
    <s v="Mercedes"/>
    <s v="ML350"/>
    <n v="2014"/>
    <x v="0"/>
    <n v="0"/>
  </r>
  <r>
    <n v="168"/>
    <x v="5"/>
    <x v="703"/>
    <d v="1994-06-13T00:00:00"/>
    <x v="2"/>
    <s v="500/1000"/>
    <n v="1000"/>
    <x v="699"/>
    <n v="0"/>
    <x v="699"/>
    <x v="1"/>
    <x v="4"/>
    <x v="1"/>
    <x v="20"/>
    <s v="own-child"/>
    <x v="1"/>
    <x v="159"/>
    <x v="20"/>
    <x v="2"/>
    <x v="2"/>
    <x v="0"/>
    <x v="2"/>
    <x v="2"/>
    <x v="5"/>
    <x v="703"/>
    <x v="6"/>
    <x v="1"/>
    <x v="0"/>
    <x v="0"/>
    <x v="2"/>
    <x v="2"/>
    <x v="582"/>
    <x v="508"/>
    <n v="7560"/>
    <x v="560"/>
    <s v="Chevrolet"/>
    <s v="Malibu"/>
    <n v="2015"/>
    <x v="0"/>
    <n v="0"/>
  </r>
  <r>
    <n v="274"/>
    <x v="19"/>
    <x v="704"/>
    <d v="2003-05-27T00:00:00"/>
    <x v="1"/>
    <s v="250/500"/>
    <n v="1000"/>
    <x v="700"/>
    <n v="0"/>
    <x v="700"/>
    <x v="1"/>
    <x v="6"/>
    <x v="4"/>
    <x v="19"/>
    <s v="unmarried"/>
    <x v="251"/>
    <x v="281"/>
    <x v="45"/>
    <x v="0"/>
    <x v="0"/>
    <x v="1"/>
    <x v="4"/>
    <x v="2"/>
    <x v="0"/>
    <x v="704"/>
    <x v="21"/>
    <x v="0"/>
    <x v="0"/>
    <x v="1"/>
    <x v="1"/>
    <x v="2"/>
    <x v="387"/>
    <x v="140"/>
    <n v="0"/>
    <x v="245"/>
    <s v="Accura"/>
    <s v="MDX"/>
    <n v="1995"/>
    <x v="0"/>
    <n v="0"/>
  </r>
  <r>
    <n v="263"/>
    <x v="18"/>
    <x v="705"/>
    <d v="1996-07-06T00:00:00"/>
    <x v="1"/>
    <s v="500/1000"/>
    <n v="1000"/>
    <x v="701"/>
    <n v="0"/>
    <x v="701"/>
    <x v="1"/>
    <x v="4"/>
    <x v="11"/>
    <x v="10"/>
    <s v="not-in-family"/>
    <x v="1"/>
    <x v="0"/>
    <x v="13"/>
    <x v="0"/>
    <x v="2"/>
    <x v="1"/>
    <x v="2"/>
    <x v="0"/>
    <x v="1"/>
    <x v="705"/>
    <x v="18"/>
    <x v="0"/>
    <x v="0"/>
    <x v="2"/>
    <x v="2"/>
    <x v="0"/>
    <x v="583"/>
    <x v="509"/>
    <n v="6610"/>
    <x v="561"/>
    <s v="Nissan"/>
    <s v="Ultima"/>
    <n v="1997"/>
    <x v="1"/>
    <n v="0"/>
  </r>
  <r>
    <n v="152"/>
    <x v="8"/>
    <x v="706"/>
    <d v="2005-05-08T00:00:00"/>
    <x v="0"/>
    <s v="100/300"/>
    <n v="1000"/>
    <x v="702"/>
    <n v="0"/>
    <x v="702"/>
    <x v="1"/>
    <x v="5"/>
    <x v="13"/>
    <x v="14"/>
    <s v="husband"/>
    <x v="1"/>
    <x v="0"/>
    <x v="30"/>
    <x v="0"/>
    <x v="2"/>
    <x v="1"/>
    <x v="4"/>
    <x v="2"/>
    <x v="2"/>
    <x v="706"/>
    <x v="23"/>
    <x v="0"/>
    <x v="0"/>
    <x v="1"/>
    <x v="0"/>
    <x v="1"/>
    <x v="584"/>
    <x v="510"/>
    <n v="7510"/>
    <x v="562"/>
    <s v="Ford"/>
    <s v="Escape"/>
    <n v="2002"/>
    <x v="0"/>
    <n v="0"/>
  </r>
  <r>
    <n v="46"/>
    <x v="3"/>
    <x v="707"/>
    <d v="2010-11-02T00:00:00"/>
    <x v="0"/>
    <s v="100/300"/>
    <n v="2000"/>
    <x v="703"/>
    <n v="0"/>
    <x v="703"/>
    <x v="1"/>
    <x v="0"/>
    <x v="7"/>
    <x v="17"/>
    <s v="husband"/>
    <x v="194"/>
    <x v="177"/>
    <x v="49"/>
    <x v="2"/>
    <x v="2"/>
    <x v="2"/>
    <x v="4"/>
    <x v="0"/>
    <x v="4"/>
    <x v="707"/>
    <x v="6"/>
    <x v="1"/>
    <x v="2"/>
    <x v="0"/>
    <x v="2"/>
    <x v="1"/>
    <x v="585"/>
    <x v="153"/>
    <n v="19650"/>
    <x v="563"/>
    <s v="Dodge"/>
    <s v="RAM"/>
    <n v="2004"/>
    <x v="0"/>
    <n v="0"/>
  </r>
  <r>
    <n v="276"/>
    <x v="35"/>
    <x v="708"/>
    <d v="2012-07-29T00:00:00"/>
    <x v="0"/>
    <s v="100/300"/>
    <n v="2000"/>
    <x v="704"/>
    <n v="0"/>
    <x v="704"/>
    <x v="0"/>
    <x v="3"/>
    <x v="11"/>
    <x v="14"/>
    <s v="husband"/>
    <x v="1"/>
    <x v="282"/>
    <x v="9"/>
    <x v="0"/>
    <x v="3"/>
    <x v="1"/>
    <x v="4"/>
    <x v="0"/>
    <x v="0"/>
    <x v="708"/>
    <x v="18"/>
    <x v="0"/>
    <x v="2"/>
    <x v="0"/>
    <x v="0"/>
    <x v="1"/>
    <x v="586"/>
    <x v="478"/>
    <n v="5710"/>
    <x v="328"/>
    <s v="Volkswagen"/>
    <s v="Jetta"/>
    <n v="2007"/>
    <x v="0"/>
    <n v="0"/>
  </r>
  <r>
    <n v="234"/>
    <x v="4"/>
    <x v="709"/>
    <d v="2002-06-06T00:00:00"/>
    <x v="1"/>
    <s v="500/1000"/>
    <n v="500"/>
    <x v="705"/>
    <n v="0"/>
    <x v="705"/>
    <x v="0"/>
    <x v="2"/>
    <x v="6"/>
    <x v="20"/>
    <s v="other-relative"/>
    <x v="1"/>
    <x v="0"/>
    <x v="46"/>
    <x v="0"/>
    <x v="0"/>
    <x v="0"/>
    <x v="4"/>
    <x v="5"/>
    <x v="3"/>
    <x v="709"/>
    <x v="19"/>
    <x v="0"/>
    <x v="2"/>
    <x v="0"/>
    <x v="1"/>
    <x v="2"/>
    <x v="587"/>
    <x v="511"/>
    <n v="7020"/>
    <x v="564"/>
    <s v="Ford"/>
    <s v="F150"/>
    <n v="2012"/>
    <x v="0"/>
    <n v="0"/>
  </r>
  <r>
    <n v="64"/>
    <x v="22"/>
    <x v="710"/>
    <d v="1991-09-19T00:00:00"/>
    <x v="2"/>
    <s v="250/500"/>
    <n v="2000"/>
    <x v="706"/>
    <n v="0"/>
    <x v="706"/>
    <x v="0"/>
    <x v="6"/>
    <x v="9"/>
    <x v="5"/>
    <s v="own-child"/>
    <x v="1"/>
    <x v="82"/>
    <x v="58"/>
    <x v="3"/>
    <x v="1"/>
    <x v="1"/>
    <x v="1"/>
    <x v="0"/>
    <x v="1"/>
    <x v="710"/>
    <x v="16"/>
    <x v="0"/>
    <x v="2"/>
    <x v="2"/>
    <x v="3"/>
    <x v="2"/>
    <x v="525"/>
    <x v="459"/>
    <n v="1470"/>
    <x v="458"/>
    <s v="Jeep"/>
    <s v="Wrangler"/>
    <n v="2015"/>
    <x v="1"/>
    <n v="0"/>
  </r>
  <r>
    <n v="456"/>
    <x v="15"/>
    <x v="711"/>
    <d v="2009-06-24T00:00:00"/>
    <x v="0"/>
    <s v="250/500"/>
    <n v="1000"/>
    <x v="707"/>
    <n v="0"/>
    <x v="707"/>
    <x v="1"/>
    <x v="0"/>
    <x v="9"/>
    <x v="14"/>
    <s v="own-child"/>
    <x v="252"/>
    <x v="29"/>
    <x v="58"/>
    <x v="2"/>
    <x v="0"/>
    <x v="0"/>
    <x v="3"/>
    <x v="7"/>
    <x v="4"/>
    <x v="711"/>
    <x v="21"/>
    <x v="1"/>
    <x v="1"/>
    <x v="0"/>
    <x v="2"/>
    <x v="2"/>
    <x v="588"/>
    <x v="78"/>
    <n v="11080"/>
    <x v="565"/>
    <s v="Saab"/>
    <s v="92x"/>
    <n v="2012"/>
    <x v="0"/>
    <n v="0"/>
  </r>
  <r>
    <n v="58"/>
    <x v="10"/>
    <x v="712"/>
    <d v="1992-05-29T00:00:00"/>
    <x v="0"/>
    <s v="500/1000"/>
    <n v="2000"/>
    <x v="708"/>
    <n v="5000000"/>
    <x v="708"/>
    <x v="0"/>
    <x v="5"/>
    <x v="10"/>
    <x v="1"/>
    <s v="own-child"/>
    <x v="245"/>
    <x v="0"/>
    <x v="39"/>
    <x v="0"/>
    <x v="2"/>
    <x v="0"/>
    <x v="2"/>
    <x v="5"/>
    <x v="1"/>
    <x v="712"/>
    <x v="1"/>
    <x v="0"/>
    <x v="2"/>
    <x v="2"/>
    <x v="3"/>
    <x v="2"/>
    <x v="311"/>
    <x v="282"/>
    <n v="9160"/>
    <x v="566"/>
    <s v="Chevrolet"/>
    <s v="Tahoe"/>
    <n v="2007"/>
    <x v="0"/>
    <n v="0"/>
  </r>
  <r>
    <n v="475"/>
    <x v="9"/>
    <x v="713"/>
    <d v="2004-08-12T00:00:00"/>
    <x v="2"/>
    <s v="500/1000"/>
    <n v="500"/>
    <x v="709"/>
    <n v="0"/>
    <x v="709"/>
    <x v="1"/>
    <x v="4"/>
    <x v="11"/>
    <x v="13"/>
    <s v="wife"/>
    <x v="1"/>
    <x v="283"/>
    <x v="32"/>
    <x v="0"/>
    <x v="3"/>
    <x v="0"/>
    <x v="2"/>
    <x v="0"/>
    <x v="0"/>
    <x v="713"/>
    <x v="6"/>
    <x v="0"/>
    <x v="0"/>
    <x v="1"/>
    <x v="0"/>
    <x v="1"/>
    <x v="256"/>
    <x v="512"/>
    <n v="9900"/>
    <x v="567"/>
    <s v="Mercedes"/>
    <s v="E400"/>
    <n v="1998"/>
    <x v="1"/>
    <n v="0"/>
  </r>
  <r>
    <n v="96"/>
    <x v="2"/>
    <x v="714"/>
    <d v="2006-12-24T00:00:00"/>
    <x v="1"/>
    <s v="250/500"/>
    <n v="1000"/>
    <x v="710"/>
    <n v="5000000"/>
    <x v="710"/>
    <x v="0"/>
    <x v="3"/>
    <x v="5"/>
    <x v="11"/>
    <s v="other-relative"/>
    <x v="115"/>
    <x v="284"/>
    <x v="19"/>
    <x v="2"/>
    <x v="2"/>
    <x v="0"/>
    <x v="4"/>
    <x v="5"/>
    <x v="3"/>
    <x v="714"/>
    <x v="12"/>
    <x v="1"/>
    <x v="0"/>
    <x v="2"/>
    <x v="2"/>
    <x v="0"/>
    <x v="589"/>
    <x v="78"/>
    <n v="11080"/>
    <x v="568"/>
    <s v="Chevrolet"/>
    <s v="Silverado"/>
    <n v="2004"/>
    <x v="0"/>
    <n v="0"/>
  </r>
  <r>
    <n v="99"/>
    <x v="23"/>
    <x v="715"/>
    <d v="2007-07-24T00:00:00"/>
    <x v="0"/>
    <s v="100/300"/>
    <n v="500"/>
    <x v="711"/>
    <n v="0"/>
    <x v="711"/>
    <x v="0"/>
    <x v="0"/>
    <x v="5"/>
    <x v="16"/>
    <s v="wife"/>
    <x v="1"/>
    <x v="0"/>
    <x v="12"/>
    <x v="0"/>
    <x v="3"/>
    <x v="2"/>
    <x v="3"/>
    <x v="2"/>
    <x v="0"/>
    <x v="715"/>
    <x v="19"/>
    <x v="0"/>
    <x v="2"/>
    <x v="2"/>
    <x v="0"/>
    <x v="0"/>
    <x v="590"/>
    <x v="148"/>
    <n v="9980"/>
    <x v="158"/>
    <s v="Dodge"/>
    <s v="Neon"/>
    <n v="1998"/>
    <x v="1"/>
    <n v="0"/>
  </r>
  <r>
    <n v="38"/>
    <x v="23"/>
    <x v="716"/>
    <d v="1994-08-17T00:00:00"/>
    <x v="0"/>
    <s v="500/1000"/>
    <n v="500"/>
    <x v="712"/>
    <n v="4000000"/>
    <x v="712"/>
    <x v="0"/>
    <x v="4"/>
    <x v="7"/>
    <x v="6"/>
    <s v="other-relative"/>
    <x v="253"/>
    <x v="0"/>
    <x v="43"/>
    <x v="2"/>
    <x v="0"/>
    <x v="1"/>
    <x v="4"/>
    <x v="4"/>
    <x v="6"/>
    <x v="716"/>
    <x v="14"/>
    <x v="1"/>
    <x v="2"/>
    <x v="1"/>
    <x v="2"/>
    <x v="0"/>
    <x v="591"/>
    <x v="513"/>
    <n v="12480"/>
    <x v="569"/>
    <s v="Accura"/>
    <s v="TL"/>
    <n v="2000"/>
    <x v="1"/>
    <n v="0"/>
  </r>
  <r>
    <n v="259"/>
    <x v="4"/>
    <x v="717"/>
    <d v="1996-04-10T00:00:00"/>
    <x v="0"/>
    <s v="250/500"/>
    <n v="2000"/>
    <x v="713"/>
    <n v="0"/>
    <x v="713"/>
    <x v="1"/>
    <x v="4"/>
    <x v="8"/>
    <x v="20"/>
    <s v="husband"/>
    <x v="1"/>
    <x v="0"/>
    <x v="14"/>
    <x v="0"/>
    <x v="3"/>
    <x v="1"/>
    <x v="3"/>
    <x v="2"/>
    <x v="5"/>
    <x v="717"/>
    <x v="1"/>
    <x v="0"/>
    <x v="0"/>
    <x v="1"/>
    <x v="1"/>
    <x v="0"/>
    <x v="592"/>
    <x v="514"/>
    <n v="16280"/>
    <x v="570"/>
    <s v="Audi"/>
    <s v="A3"/>
    <n v="2002"/>
    <x v="1"/>
    <n v="0"/>
  </r>
  <r>
    <n v="241"/>
    <x v="18"/>
    <x v="718"/>
    <d v="1992-12-11T00:00:00"/>
    <x v="1"/>
    <s v="250/500"/>
    <n v="1000"/>
    <x v="714"/>
    <n v="0"/>
    <x v="714"/>
    <x v="0"/>
    <x v="2"/>
    <x v="5"/>
    <x v="6"/>
    <s v="own-child"/>
    <x v="1"/>
    <x v="285"/>
    <x v="41"/>
    <x v="1"/>
    <x v="1"/>
    <x v="3"/>
    <x v="0"/>
    <x v="7"/>
    <x v="5"/>
    <x v="718"/>
    <x v="7"/>
    <x v="0"/>
    <x v="2"/>
    <x v="0"/>
    <x v="1"/>
    <x v="0"/>
    <x v="593"/>
    <x v="4"/>
    <n v="650"/>
    <x v="571"/>
    <s v="Volkswagen"/>
    <s v="Jetta"/>
    <n v="2003"/>
    <x v="1"/>
    <n v="0"/>
  </r>
  <r>
    <n v="437"/>
    <x v="12"/>
    <x v="719"/>
    <d v="2010-08-01T00:00:00"/>
    <x v="1"/>
    <s v="500/1000"/>
    <n v="2000"/>
    <x v="715"/>
    <n v="0"/>
    <x v="715"/>
    <x v="0"/>
    <x v="2"/>
    <x v="0"/>
    <x v="8"/>
    <s v="own-child"/>
    <x v="254"/>
    <x v="80"/>
    <x v="16"/>
    <x v="0"/>
    <x v="3"/>
    <x v="2"/>
    <x v="4"/>
    <x v="0"/>
    <x v="6"/>
    <x v="719"/>
    <x v="6"/>
    <x v="0"/>
    <x v="0"/>
    <x v="1"/>
    <x v="1"/>
    <x v="2"/>
    <x v="594"/>
    <x v="143"/>
    <n v="11160"/>
    <x v="572"/>
    <s v="Dodge"/>
    <s v="RAM"/>
    <n v="2004"/>
    <x v="1"/>
    <n v="0"/>
  </r>
  <r>
    <n v="130"/>
    <x v="6"/>
    <x v="720"/>
    <d v="2009-03-23T00:00:00"/>
    <x v="0"/>
    <s v="100/300"/>
    <n v="500"/>
    <x v="716"/>
    <n v="0"/>
    <x v="716"/>
    <x v="0"/>
    <x v="4"/>
    <x v="2"/>
    <x v="15"/>
    <s v="other-relative"/>
    <x v="1"/>
    <x v="195"/>
    <x v="3"/>
    <x v="3"/>
    <x v="1"/>
    <x v="3"/>
    <x v="1"/>
    <x v="2"/>
    <x v="1"/>
    <x v="720"/>
    <x v="1"/>
    <x v="0"/>
    <x v="1"/>
    <x v="0"/>
    <x v="2"/>
    <x v="0"/>
    <x v="595"/>
    <x v="229"/>
    <n v="1060"/>
    <x v="573"/>
    <s v="Dodge"/>
    <s v="RAM"/>
    <n v="2015"/>
    <x v="1"/>
    <n v="0"/>
  </r>
  <r>
    <n v="269"/>
    <x v="3"/>
    <x v="721"/>
    <d v="1996-07-29T00:00:00"/>
    <x v="0"/>
    <s v="100/300"/>
    <n v="2000"/>
    <x v="717"/>
    <n v="0"/>
    <x v="717"/>
    <x v="1"/>
    <x v="2"/>
    <x v="11"/>
    <x v="18"/>
    <s v="unmarried"/>
    <x v="1"/>
    <x v="286"/>
    <x v="29"/>
    <x v="0"/>
    <x v="0"/>
    <x v="0"/>
    <x v="4"/>
    <x v="4"/>
    <x v="1"/>
    <x v="721"/>
    <x v="7"/>
    <x v="0"/>
    <x v="0"/>
    <x v="2"/>
    <x v="3"/>
    <x v="2"/>
    <x v="596"/>
    <x v="515"/>
    <n v="17180"/>
    <x v="574"/>
    <s v="Suburu"/>
    <s v="Forrestor"/>
    <n v="2005"/>
    <x v="0"/>
    <n v="0"/>
  </r>
  <r>
    <n v="103"/>
    <x v="2"/>
    <x v="722"/>
    <d v="1994-08-23T00:00:00"/>
    <x v="0"/>
    <s v="500/1000"/>
    <n v="500"/>
    <x v="718"/>
    <n v="0"/>
    <x v="718"/>
    <x v="0"/>
    <x v="2"/>
    <x v="5"/>
    <x v="5"/>
    <s v="other-relative"/>
    <x v="255"/>
    <x v="0"/>
    <x v="26"/>
    <x v="3"/>
    <x v="1"/>
    <x v="1"/>
    <x v="0"/>
    <x v="3"/>
    <x v="0"/>
    <x v="722"/>
    <x v="0"/>
    <x v="0"/>
    <x v="2"/>
    <x v="2"/>
    <x v="2"/>
    <x v="2"/>
    <x v="597"/>
    <x v="516"/>
    <n v="1580"/>
    <x v="575"/>
    <s v="Accura"/>
    <s v="MDX"/>
    <n v="2005"/>
    <x v="1"/>
    <n v="0"/>
  </r>
  <r>
    <n v="284"/>
    <x v="18"/>
    <x v="723"/>
    <d v="1992-01-05T00:00:00"/>
    <x v="2"/>
    <s v="250/500"/>
    <n v="500"/>
    <x v="719"/>
    <n v="0"/>
    <x v="719"/>
    <x v="0"/>
    <x v="1"/>
    <x v="5"/>
    <x v="15"/>
    <s v="other-relative"/>
    <x v="256"/>
    <x v="0"/>
    <x v="49"/>
    <x v="2"/>
    <x v="0"/>
    <x v="2"/>
    <x v="2"/>
    <x v="4"/>
    <x v="0"/>
    <x v="723"/>
    <x v="11"/>
    <x v="1"/>
    <x v="2"/>
    <x v="1"/>
    <x v="1"/>
    <x v="0"/>
    <x v="598"/>
    <x v="291"/>
    <n v="3360"/>
    <x v="576"/>
    <s v="Chevrolet"/>
    <s v="Tahoe"/>
    <n v="2007"/>
    <x v="1"/>
    <n v="0"/>
  </r>
  <r>
    <n v="189"/>
    <x v="5"/>
    <x v="724"/>
    <d v="1997-09-11T00:00:00"/>
    <x v="0"/>
    <s v="250/500"/>
    <n v="2000"/>
    <x v="720"/>
    <n v="0"/>
    <x v="720"/>
    <x v="1"/>
    <x v="3"/>
    <x v="4"/>
    <x v="10"/>
    <s v="own-child"/>
    <x v="1"/>
    <x v="0"/>
    <x v="56"/>
    <x v="2"/>
    <x v="2"/>
    <x v="1"/>
    <x v="0"/>
    <x v="1"/>
    <x v="6"/>
    <x v="724"/>
    <x v="2"/>
    <x v="1"/>
    <x v="1"/>
    <x v="2"/>
    <x v="1"/>
    <x v="0"/>
    <x v="599"/>
    <x v="517"/>
    <n v="6440"/>
    <x v="577"/>
    <s v="Dodge"/>
    <s v="Neon"/>
    <n v="1997"/>
    <x v="1"/>
    <n v="0"/>
  </r>
  <r>
    <n v="267"/>
    <x v="18"/>
    <x v="725"/>
    <d v="2002-02-10T00:00:00"/>
    <x v="0"/>
    <s v="250/500"/>
    <n v="500"/>
    <x v="721"/>
    <n v="0"/>
    <x v="721"/>
    <x v="0"/>
    <x v="1"/>
    <x v="12"/>
    <x v="0"/>
    <s v="unmarried"/>
    <x v="257"/>
    <x v="0"/>
    <x v="35"/>
    <x v="3"/>
    <x v="1"/>
    <x v="1"/>
    <x v="1"/>
    <x v="5"/>
    <x v="5"/>
    <x v="725"/>
    <x v="5"/>
    <x v="0"/>
    <x v="2"/>
    <x v="0"/>
    <x v="2"/>
    <x v="0"/>
    <x v="600"/>
    <x v="51"/>
    <n v="0"/>
    <x v="436"/>
    <s v="Chevrolet"/>
    <s v="Tahoe"/>
    <n v="2011"/>
    <x v="1"/>
    <n v="0"/>
  </r>
  <r>
    <n v="39"/>
    <x v="45"/>
    <x v="726"/>
    <d v="1993-01-28T00:00:00"/>
    <x v="1"/>
    <s v="500/1000"/>
    <n v="500"/>
    <x v="722"/>
    <n v="0"/>
    <x v="722"/>
    <x v="0"/>
    <x v="6"/>
    <x v="13"/>
    <x v="18"/>
    <s v="not-in-family"/>
    <x v="1"/>
    <x v="0"/>
    <x v="30"/>
    <x v="0"/>
    <x v="2"/>
    <x v="0"/>
    <x v="0"/>
    <x v="0"/>
    <x v="5"/>
    <x v="726"/>
    <x v="8"/>
    <x v="0"/>
    <x v="0"/>
    <x v="1"/>
    <x v="3"/>
    <x v="0"/>
    <x v="601"/>
    <x v="231"/>
    <n v="7830"/>
    <x v="578"/>
    <s v="Suburu"/>
    <s v="Legacy"/>
    <n v="2009"/>
    <x v="0"/>
    <n v="0"/>
  </r>
  <r>
    <n v="140"/>
    <x v="30"/>
    <x v="727"/>
    <d v="1996-10-23T00:00:00"/>
    <x v="2"/>
    <s v="250/500"/>
    <n v="1000"/>
    <x v="723"/>
    <n v="5000000"/>
    <x v="723"/>
    <x v="1"/>
    <x v="3"/>
    <x v="9"/>
    <x v="19"/>
    <s v="other-relative"/>
    <x v="1"/>
    <x v="0"/>
    <x v="52"/>
    <x v="0"/>
    <x v="0"/>
    <x v="0"/>
    <x v="2"/>
    <x v="1"/>
    <x v="6"/>
    <x v="727"/>
    <x v="21"/>
    <x v="0"/>
    <x v="1"/>
    <x v="2"/>
    <x v="2"/>
    <x v="1"/>
    <x v="602"/>
    <x v="518"/>
    <n v="7470"/>
    <x v="579"/>
    <s v="Chevrolet"/>
    <s v="Silverado"/>
    <n v="1995"/>
    <x v="0"/>
    <n v="0"/>
  </r>
  <r>
    <n v="243"/>
    <x v="3"/>
    <x v="728"/>
    <d v="1997-04-21T00:00:00"/>
    <x v="1"/>
    <s v="100/300"/>
    <n v="1000"/>
    <x v="724"/>
    <n v="0"/>
    <x v="724"/>
    <x v="1"/>
    <x v="3"/>
    <x v="13"/>
    <x v="7"/>
    <s v="own-child"/>
    <x v="258"/>
    <x v="287"/>
    <x v="43"/>
    <x v="0"/>
    <x v="3"/>
    <x v="0"/>
    <x v="2"/>
    <x v="4"/>
    <x v="4"/>
    <x v="728"/>
    <x v="17"/>
    <x v="0"/>
    <x v="1"/>
    <x v="0"/>
    <x v="1"/>
    <x v="0"/>
    <x v="603"/>
    <x v="462"/>
    <n v="5030"/>
    <x v="580"/>
    <s v="Suburu"/>
    <s v="Legacy"/>
    <n v="1999"/>
    <x v="0"/>
    <n v="0"/>
  </r>
  <r>
    <n v="116"/>
    <x v="14"/>
    <x v="729"/>
    <d v="2008-11-09T00:00:00"/>
    <x v="1"/>
    <s v="250/500"/>
    <n v="500"/>
    <x v="725"/>
    <n v="0"/>
    <x v="725"/>
    <x v="1"/>
    <x v="0"/>
    <x v="5"/>
    <x v="7"/>
    <s v="husband"/>
    <x v="259"/>
    <x v="0"/>
    <x v="39"/>
    <x v="0"/>
    <x v="0"/>
    <x v="0"/>
    <x v="0"/>
    <x v="0"/>
    <x v="1"/>
    <x v="729"/>
    <x v="6"/>
    <x v="0"/>
    <x v="2"/>
    <x v="1"/>
    <x v="1"/>
    <x v="2"/>
    <x v="345"/>
    <x v="310"/>
    <n v="8840"/>
    <x v="581"/>
    <s v="Suburu"/>
    <s v="Forrestor"/>
    <n v="1997"/>
    <x v="1"/>
    <n v="0"/>
  </r>
  <r>
    <n v="219"/>
    <x v="18"/>
    <x v="730"/>
    <d v="2002-06-20T00:00:00"/>
    <x v="1"/>
    <s v="100/300"/>
    <n v="1000"/>
    <x v="726"/>
    <n v="0"/>
    <x v="726"/>
    <x v="1"/>
    <x v="5"/>
    <x v="10"/>
    <x v="18"/>
    <s v="other-relative"/>
    <x v="260"/>
    <x v="0"/>
    <x v="13"/>
    <x v="0"/>
    <x v="0"/>
    <x v="0"/>
    <x v="4"/>
    <x v="1"/>
    <x v="6"/>
    <x v="730"/>
    <x v="17"/>
    <x v="0"/>
    <x v="1"/>
    <x v="2"/>
    <x v="0"/>
    <x v="0"/>
    <x v="604"/>
    <x v="341"/>
    <n v="6060"/>
    <x v="582"/>
    <s v="Toyota"/>
    <s v="Highlander"/>
    <n v="2006"/>
    <x v="1"/>
    <n v="0"/>
  </r>
  <r>
    <n v="96"/>
    <x v="13"/>
    <x v="731"/>
    <d v="2005-10-21T00:00:00"/>
    <x v="0"/>
    <s v="250/500"/>
    <n v="2000"/>
    <x v="727"/>
    <n v="0"/>
    <x v="727"/>
    <x v="1"/>
    <x v="2"/>
    <x v="5"/>
    <x v="4"/>
    <s v="husband"/>
    <x v="261"/>
    <x v="0"/>
    <x v="43"/>
    <x v="0"/>
    <x v="3"/>
    <x v="2"/>
    <x v="4"/>
    <x v="0"/>
    <x v="1"/>
    <x v="731"/>
    <x v="10"/>
    <x v="0"/>
    <x v="0"/>
    <x v="2"/>
    <x v="2"/>
    <x v="2"/>
    <x v="605"/>
    <x v="238"/>
    <n v="14240"/>
    <x v="583"/>
    <s v="Saab"/>
    <s v="92x"/>
    <n v="2007"/>
    <x v="1"/>
    <n v="0"/>
  </r>
  <r>
    <n v="149"/>
    <x v="6"/>
    <x v="732"/>
    <d v="2005-08-28T00:00:00"/>
    <x v="1"/>
    <s v="250/500"/>
    <n v="500"/>
    <x v="728"/>
    <n v="0"/>
    <x v="728"/>
    <x v="1"/>
    <x v="1"/>
    <x v="0"/>
    <x v="9"/>
    <s v="wife"/>
    <x v="1"/>
    <x v="288"/>
    <x v="57"/>
    <x v="0"/>
    <x v="2"/>
    <x v="2"/>
    <x v="2"/>
    <x v="4"/>
    <x v="0"/>
    <x v="732"/>
    <x v="19"/>
    <x v="0"/>
    <x v="1"/>
    <x v="1"/>
    <x v="3"/>
    <x v="2"/>
    <x v="606"/>
    <x v="519"/>
    <n v="16160"/>
    <x v="584"/>
    <s v="Dodge"/>
    <s v="RAM"/>
    <n v="1999"/>
    <x v="1"/>
    <n v="0"/>
  </r>
  <r>
    <n v="246"/>
    <x v="18"/>
    <x v="733"/>
    <d v="2013-01-16T00:00:00"/>
    <x v="1"/>
    <s v="250/500"/>
    <n v="1000"/>
    <x v="729"/>
    <n v="6000000"/>
    <x v="729"/>
    <x v="0"/>
    <x v="6"/>
    <x v="12"/>
    <x v="16"/>
    <s v="husband"/>
    <x v="1"/>
    <x v="0"/>
    <x v="47"/>
    <x v="0"/>
    <x v="0"/>
    <x v="1"/>
    <x v="2"/>
    <x v="2"/>
    <x v="4"/>
    <x v="733"/>
    <x v="5"/>
    <x v="0"/>
    <x v="2"/>
    <x v="2"/>
    <x v="3"/>
    <x v="1"/>
    <x v="607"/>
    <x v="127"/>
    <n v="5070"/>
    <x v="585"/>
    <s v="Accura"/>
    <s v="RSX"/>
    <n v="2006"/>
    <x v="1"/>
    <n v="0"/>
  </r>
  <r>
    <n v="293"/>
    <x v="19"/>
    <x v="734"/>
    <d v="1992-04-28T00:00:00"/>
    <x v="2"/>
    <s v="100/300"/>
    <n v="1000"/>
    <x v="730"/>
    <n v="0"/>
    <x v="730"/>
    <x v="1"/>
    <x v="0"/>
    <x v="8"/>
    <x v="20"/>
    <s v="unmarried"/>
    <x v="118"/>
    <x v="0"/>
    <x v="32"/>
    <x v="2"/>
    <x v="3"/>
    <x v="2"/>
    <x v="2"/>
    <x v="4"/>
    <x v="5"/>
    <x v="734"/>
    <x v="21"/>
    <x v="1"/>
    <x v="2"/>
    <x v="0"/>
    <x v="3"/>
    <x v="2"/>
    <x v="71"/>
    <x v="69"/>
    <n v="5690"/>
    <x v="73"/>
    <s v="Jeep"/>
    <s v="Wrangler"/>
    <n v="2015"/>
    <x v="1"/>
    <n v="0"/>
  </r>
  <r>
    <n v="339"/>
    <x v="0"/>
    <x v="735"/>
    <d v="2005-10-10T00:00:00"/>
    <x v="0"/>
    <s v="100/300"/>
    <n v="500"/>
    <x v="731"/>
    <n v="0"/>
    <x v="731"/>
    <x v="0"/>
    <x v="6"/>
    <x v="6"/>
    <x v="8"/>
    <s v="unmarried"/>
    <x v="1"/>
    <x v="0"/>
    <x v="18"/>
    <x v="2"/>
    <x v="2"/>
    <x v="2"/>
    <x v="2"/>
    <x v="0"/>
    <x v="4"/>
    <x v="735"/>
    <x v="22"/>
    <x v="1"/>
    <x v="2"/>
    <x v="2"/>
    <x v="3"/>
    <x v="1"/>
    <x v="608"/>
    <x v="520"/>
    <n v="8640"/>
    <x v="586"/>
    <s v="Volkswagen"/>
    <s v="Jetta"/>
    <n v="2001"/>
    <x v="1"/>
    <n v="0"/>
  </r>
  <r>
    <n v="160"/>
    <x v="8"/>
    <x v="736"/>
    <d v="2009-02-08T00:00:00"/>
    <x v="2"/>
    <s v="500/1000"/>
    <n v="1000"/>
    <x v="732"/>
    <n v="0"/>
    <x v="732"/>
    <x v="1"/>
    <x v="5"/>
    <x v="8"/>
    <x v="20"/>
    <s v="husband"/>
    <x v="143"/>
    <x v="0"/>
    <x v="39"/>
    <x v="2"/>
    <x v="3"/>
    <x v="2"/>
    <x v="4"/>
    <x v="5"/>
    <x v="1"/>
    <x v="736"/>
    <x v="18"/>
    <x v="1"/>
    <x v="1"/>
    <x v="2"/>
    <x v="2"/>
    <x v="0"/>
    <x v="96"/>
    <x v="521"/>
    <n v="5280"/>
    <x v="587"/>
    <s v="Nissan"/>
    <s v="Pathfinder"/>
    <n v="2006"/>
    <x v="1"/>
    <n v="0"/>
  </r>
  <r>
    <n v="224"/>
    <x v="1"/>
    <x v="737"/>
    <d v="2005-03-06T00:00:00"/>
    <x v="0"/>
    <s v="500/1000"/>
    <n v="500"/>
    <x v="733"/>
    <n v="0"/>
    <x v="733"/>
    <x v="1"/>
    <x v="3"/>
    <x v="5"/>
    <x v="15"/>
    <s v="own-child"/>
    <x v="1"/>
    <x v="289"/>
    <x v="35"/>
    <x v="0"/>
    <x v="3"/>
    <x v="1"/>
    <x v="2"/>
    <x v="4"/>
    <x v="3"/>
    <x v="737"/>
    <x v="20"/>
    <x v="0"/>
    <x v="1"/>
    <x v="1"/>
    <x v="1"/>
    <x v="0"/>
    <x v="609"/>
    <x v="522"/>
    <n v="13800"/>
    <x v="588"/>
    <s v="Honda"/>
    <s v="Civic"/>
    <n v="1998"/>
    <x v="1"/>
    <n v="0"/>
  </r>
  <r>
    <n v="194"/>
    <x v="6"/>
    <x v="738"/>
    <d v="1994-05-17T00:00:00"/>
    <x v="1"/>
    <s v="100/300"/>
    <n v="1000"/>
    <x v="734"/>
    <n v="0"/>
    <x v="734"/>
    <x v="0"/>
    <x v="2"/>
    <x v="2"/>
    <x v="7"/>
    <s v="not-in-family"/>
    <x v="198"/>
    <x v="162"/>
    <x v="1"/>
    <x v="1"/>
    <x v="1"/>
    <x v="1"/>
    <x v="1"/>
    <x v="4"/>
    <x v="1"/>
    <x v="738"/>
    <x v="5"/>
    <x v="0"/>
    <x v="0"/>
    <x v="1"/>
    <x v="2"/>
    <x v="2"/>
    <x v="610"/>
    <x v="523"/>
    <n v="1400"/>
    <x v="589"/>
    <s v="Chevrolet"/>
    <s v="Malibu"/>
    <n v="2003"/>
    <x v="1"/>
    <n v="0"/>
  </r>
  <r>
    <n v="385"/>
    <x v="34"/>
    <x v="739"/>
    <d v="1990-07-20T00:00:00"/>
    <x v="1"/>
    <s v="250/500"/>
    <n v="1000"/>
    <x v="735"/>
    <n v="0"/>
    <x v="735"/>
    <x v="1"/>
    <x v="0"/>
    <x v="0"/>
    <x v="1"/>
    <s v="husband"/>
    <x v="1"/>
    <x v="120"/>
    <x v="32"/>
    <x v="2"/>
    <x v="2"/>
    <x v="1"/>
    <x v="3"/>
    <x v="4"/>
    <x v="1"/>
    <x v="739"/>
    <x v="8"/>
    <x v="1"/>
    <x v="1"/>
    <x v="0"/>
    <x v="2"/>
    <x v="1"/>
    <x v="611"/>
    <x v="305"/>
    <n v="6760"/>
    <x v="357"/>
    <s v="Suburu"/>
    <s v="Legacy"/>
    <n v="2007"/>
    <x v="1"/>
    <n v="0"/>
  </r>
  <r>
    <n v="100"/>
    <x v="8"/>
    <x v="740"/>
    <d v="2005-04-17T00:00:00"/>
    <x v="0"/>
    <s v="250/500"/>
    <n v="500"/>
    <x v="736"/>
    <n v="6000000"/>
    <x v="736"/>
    <x v="0"/>
    <x v="3"/>
    <x v="12"/>
    <x v="6"/>
    <s v="not-in-family"/>
    <x v="262"/>
    <x v="0"/>
    <x v="33"/>
    <x v="0"/>
    <x v="2"/>
    <x v="1"/>
    <x v="3"/>
    <x v="5"/>
    <x v="0"/>
    <x v="740"/>
    <x v="14"/>
    <x v="0"/>
    <x v="2"/>
    <x v="0"/>
    <x v="0"/>
    <x v="2"/>
    <x v="612"/>
    <x v="524"/>
    <n v="6800"/>
    <x v="590"/>
    <s v="BMW"/>
    <s v="X5"/>
    <n v="2004"/>
    <x v="1"/>
    <n v="0"/>
  </r>
  <r>
    <n v="371"/>
    <x v="36"/>
    <x v="741"/>
    <d v="1994-02-10T00:00:00"/>
    <x v="1"/>
    <s v="250/500"/>
    <n v="1000"/>
    <x v="737"/>
    <n v="0"/>
    <x v="737"/>
    <x v="0"/>
    <x v="1"/>
    <x v="1"/>
    <x v="2"/>
    <s v="not-in-family"/>
    <x v="263"/>
    <x v="0"/>
    <x v="15"/>
    <x v="2"/>
    <x v="0"/>
    <x v="0"/>
    <x v="3"/>
    <x v="4"/>
    <x v="3"/>
    <x v="741"/>
    <x v="23"/>
    <x v="1"/>
    <x v="2"/>
    <x v="2"/>
    <x v="3"/>
    <x v="0"/>
    <x v="288"/>
    <x v="264"/>
    <n v="13000"/>
    <x v="276"/>
    <s v="Volkswagen"/>
    <s v="Passat"/>
    <n v="2011"/>
    <x v="0"/>
    <n v="0"/>
  </r>
  <r>
    <n v="175"/>
    <x v="5"/>
    <x v="742"/>
    <d v="1995-03-29T00:00:00"/>
    <x v="1"/>
    <s v="500/1000"/>
    <n v="500"/>
    <x v="738"/>
    <n v="5000000"/>
    <x v="738"/>
    <x v="0"/>
    <x v="1"/>
    <x v="8"/>
    <x v="11"/>
    <s v="husband"/>
    <x v="1"/>
    <x v="193"/>
    <x v="42"/>
    <x v="2"/>
    <x v="3"/>
    <x v="0"/>
    <x v="3"/>
    <x v="0"/>
    <x v="2"/>
    <x v="742"/>
    <x v="10"/>
    <x v="1"/>
    <x v="0"/>
    <x v="2"/>
    <x v="0"/>
    <x v="0"/>
    <x v="0"/>
    <x v="525"/>
    <n v="6510"/>
    <x v="0"/>
    <s v="Toyota"/>
    <s v="Highlander"/>
    <n v="2012"/>
    <x v="0"/>
    <n v="0"/>
  </r>
  <r>
    <n v="373"/>
    <x v="16"/>
    <x v="743"/>
    <d v="2007-04-30T00:00:00"/>
    <x v="1"/>
    <s v="250/500"/>
    <n v="500"/>
    <x v="739"/>
    <n v="0"/>
    <x v="739"/>
    <x v="0"/>
    <x v="0"/>
    <x v="2"/>
    <x v="12"/>
    <s v="own-child"/>
    <x v="1"/>
    <x v="0"/>
    <x v="16"/>
    <x v="2"/>
    <x v="2"/>
    <x v="0"/>
    <x v="3"/>
    <x v="0"/>
    <x v="2"/>
    <x v="743"/>
    <x v="7"/>
    <x v="2"/>
    <x v="1"/>
    <x v="1"/>
    <x v="0"/>
    <x v="2"/>
    <x v="378"/>
    <x v="341"/>
    <n v="12120"/>
    <x v="359"/>
    <s v="Dodge"/>
    <s v="RAM"/>
    <n v="2007"/>
    <x v="0"/>
    <n v="0"/>
  </r>
  <r>
    <n v="258"/>
    <x v="3"/>
    <x v="744"/>
    <d v="2001-02-15T00:00:00"/>
    <x v="2"/>
    <s v="100/300"/>
    <n v="500"/>
    <x v="740"/>
    <n v="0"/>
    <x v="740"/>
    <x v="0"/>
    <x v="4"/>
    <x v="8"/>
    <x v="1"/>
    <s v="unmarried"/>
    <x v="1"/>
    <x v="290"/>
    <x v="42"/>
    <x v="2"/>
    <x v="2"/>
    <x v="0"/>
    <x v="2"/>
    <x v="5"/>
    <x v="1"/>
    <x v="744"/>
    <x v="5"/>
    <x v="1"/>
    <x v="2"/>
    <x v="2"/>
    <x v="2"/>
    <x v="2"/>
    <x v="613"/>
    <x v="316"/>
    <n v="20310"/>
    <x v="591"/>
    <s v="Mercedes"/>
    <s v="C300"/>
    <n v="2008"/>
    <x v="0"/>
    <n v="0"/>
  </r>
  <r>
    <n v="255"/>
    <x v="5"/>
    <x v="745"/>
    <d v="2001-07-09T00:00:00"/>
    <x v="0"/>
    <s v="250/500"/>
    <n v="500"/>
    <x v="741"/>
    <n v="0"/>
    <x v="741"/>
    <x v="1"/>
    <x v="1"/>
    <x v="3"/>
    <x v="4"/>
    <s v="not-in-family"/>
    <x v="264"/>
    <x v="0"/>
    <x v="22"/>
    <x v="2"/>
    <x v="0"/>
    <x v="2"/>
    <x v="2"/>
    <x v="4"/>
    <x v="3"/>
    <x v="745"/>
    <x v="18"/>
    <x v="1"/>
    <x v="0"/>
    <x v="1"/>
    <x v="2"/>
    <x v="2"/>
    <x v="614"/>
    <x v="526"/>
    <n v="5860"/>
    <x v="592"/>
    <s v="Audi"/>
    <s v="A3"/>
    <n v="2010"/>
    <x v="1"/>
    <n v="0"/>
  </r>
  <r>
    <n v="37"/>
    <x v="14"/>
    <x v="746"/>
    <d v="2008-09-06T00:00:00"/>
    <x v="2"/>
    <s v="500/1000"/>
    <n v="500"/>
    <x v="742"/>
    <n v="0"/>
    <x v="742"/>
    <x v="1"/>
    <x v="0"/>
    <x v="2"/>
    <x v="9"/>
    <s v="own-child"/>
    <x v="1"/>
    <x v="0"/>
    <x v="56"/>
    <x v="2"/>
    <x v="0"/>
    <x v="2"/>
    <x v="2"/>
    <x v="4"/>
    <x v="5"/>
    <x v="746"/>
    <x v="7"/>
    <x v="1"/>
    <x v="2"/>
    <x v="0"/>
    <x v="3"/>
    <x v="0"/>
    <x v="615"/>
    <x v="527"/>
    <n v="13900"/>
    <x v="593"/>
    <s v="Dodge"/>
    <s v="RAM"/>
    <n v="1995"/>
    <x v="1"/>
    <n v="0"/>
  </r>
  <r>
    <n v="322"/>
    <x v="4"/>
    <x v="747"/>
    <d v="2004-12-19T00:00:00"/>
    <x v="2"/>
    <s v="100/300"/>
    <n v="1000"/>
    <x v="743"/>
    <n v="0"/>
    <x v="743"/>
    <x v="1"/>
    <x v="3"/>
    <x v="1"/>
    <x v="19"/>
    <s v="husband"/>
    <x v="125"/>
    <x v="291"/>
    <x v="11"/>
    <x v="2"/>
    <x v="0"/>
    <x v="0"/>
    <x v="2"/>
    <x v="2"/>
    <x v="6"/>
    <x v="747"/>
    <x v="3"/>
    <x v="1"/>
    <x v="0"/>
    <x v="1"/>
    <x v="2"/>
    <x v="1"/>
    <x v="396"/>
    <x v="347"/>
    <n v="4940"/>
    <x v="376"/>
    <s v="Jeep"/>
    <s v="Wrangler"/>
    <n v="2010"/>
    <x v="1"/>
    <n v="0"/>
  </r>
  <r>
    <n v="204"/>
    <x v="11"/>
    <x v="748"/>
    <d v="2000-11-15T00:00:00"/>
    <x v="2"/>
    <s v="100/300"/>
    <n v="2000"/>
    <x v="744"/>
    <n v="0"/>
    <x v="744"/>
    <x v="1"/>
    <x v="0"/>
    <x v="4"/>
    <x v="15"/>
    <s v="wife"/>
    <x v="1"/>
    <x v="86"/>
    <x v="30"/>
    <x v="0"/>
    <x v="0"/>
    <x v="2"/>
    <x v="4"/>
    <x v="0"/>
    <x v="6"/>
    <x v="748"/>
    <x v="0"/>
    <x v="0"/>
    <x v="2"/>
    <x v="1"/>
    <x v="3"/>
    <x v="1"/>
    <x v="616"/>
    <x v="528"/>
    <n v="16460"/>
    <x v="594"/>
    <s v="Ford"/>
    <s v="F150"/>
    <n v="2003"/>
    <x v="1"/>
    <n v="0"/>
  </r>
  <r>
    <n v="76"/>
    <x v="14"/>
    <x v="749"/>
    <d v="2007-03-14T00:00:00"/>
    <x v="0"/>
    <s v="500/1000"/>
    <n v="500"/>
    <x v="745"/>
    <n v="5000000"/>
    <x v="745"/>
    <x v="1"/>
    <x v="2"/>
    <x v="7"/>
    <x v="10"/>
    <s v="not-in-family"/>
    <x v="109"/>
    <x v="255"/>
    <x v="50"/>
    <x v="1"/>
    <x v="1"/>
    <x v="1"/>
    <x v="0"/>
    <x v="4"/>
    <x v="6"/>
    <x v="749"/>
    <x v="2"/>
    <x v="0"/>
    <x v="2"/>
    <x v="2"/>
    <x v="3"/>
    <x v="2"/>
    <x v="617"/>
    <x v="245"/>
    <n v="730"/>
    <x v="251"/>
    <s v="Mercedes"/>
    <s v="E400"/>
    <n v="1995"/>
    <x v="1"/>
    <n v="0"/>
  </r>
  <r>
    <n v="193"/>
    <x v="17"/>
    <x v="750"/>
    <d v="2004-12-28T00:00:00"/>
    <x v="2"/>
    <s v="100/300"/>
    <n v="500"/>
    <x v="746"/>
    <n v="0"/>
    <x v="746"/>
    <x v="1"/>
    <x v="1"/>
    <x v="11"/>
    <x v="10"/>
    <s v="not-in-family"/>
    <x v="265"/>
    <x v="131"/>
    <x v="21"/>
    <x v="0"/>
    <x v="0"/>
    <x v="1"/>
    <x v="2"/>
    <x v="2"/>
    <x v="0"/>
    <x v="750"/>
    <x v="13"/>
    <x v="0"/>
    <x v="2"/>
    <x v="1"/>
    <x v="1"/>
    <x v="0"/>
    <x v="618"/>
    <x v="529"/>
    <n v="6390"/>
    <x v="199"/>
    <s v="Accura"/>
    <s v="TL"/>
    <n v="2001"/>
    <x v="1"/>
    <n v="0"/>
  </r>
  <r>
    <n v="405"/>
    <x v="16"/>
    <x v="751"/>
    <d v="1999-07-05T00:00:00"/>
    <x v="2"/>
    <s v="250/500"/>
    <n v="500"/>
    <x v="747"/>
    <n v="0"/>
    <x v="747"/>
    <x v="0"/>
    <x v="1"/>
    <x v="1"/>
    <x v="6"/>
    <s v="unmarried"/>
    <x v="266"/>
    <x v="0"/>
    <x v="44"/>
    <x v="2"/>
    <x v="2"/>
    <x v="1"/>
    <x v="2"/>
    <x v="5"/>
    <x v="5"/>
    <x v="751"/>
    <x v="23"/>
    <x v="2"/>
    <x v="0"/>
    <x v="1"/>
    <x v="0"/>
    <x v="2"/>
    <x v="619"/>
    <x v="530"/>
    <n v="4830"/>
    <x v="595"/>
    <s v="Chevrolet"/>
    <s v="Tahoe"/>
    <n v="1997"/>
    <x v="1"/>
    <n v="0"/>
  </r>
  <r>
    <n v="435"/>
    <x v="12"/>
    <x v="752"/>
    <d v="1997-11-15T00:00:00"/>
    <x v="1"/>
    <s v="100/300"/>
    <n v="2000"/>
    <x v="748"/>
    <n v="0"/>
    <x v="748"/>
    <x v="0"/>
    <x v="6"/>
    <x v="2"/>
    <x v="10"/>
    <s v="not-in-family"/>
    <x v="1"/>
    <x v="292"/>
    <x v="3"/>
    <x v="2"/>
    <x v="2"/>
    <x v="2"/>
    <x v="3"/>
    <x v="2"/>
    <x v="0"/>
    <x v="752"/>
    <x v="4"/>
    <x v="1"/>
    <x v="1"/>
    <x v="0"/>
    <x v="3"/>
    <x v="0"/>
    <x v="246"/>
    <x v="531"/>
    <n v="4610"/>
    <x v="596"/>
    <s v="Mercedes"/>
    <s v="E400"/>
    <n v="2004"/>
    <x v="1"/>
    <n v="0"/>
  </r>
  <r>
    <n v="54"/>
    <x v="21"/>
    <x v="753"/>
    <d v="2010-09-27T00:00:00"/>
    <x v="1"/>
    <s v="100/300"/>
    <n v="500"/>
    <x v="749"/>
    <n v="0"/>
    <x v="749"/>
    <x v="1"/>
    <x v="0"/>
    <x v="9"/>
    <x v="11"/>
    <s v="unmarried"/>
    <x v="94"/>
    <x v="146"/>
    <x v="54"/>
    <x v="2"/>
    <x v="0"/>
    <x v="1"/>
    <x v="2"/>
    <x v="1"/>
    <x v="3"/>
    <x v="753"/>
    <x v="7"/>
    <x v="1"/>
    <x v="0"/>
    <x v="2"/>
    <x v="1"/>
    <x v="1"/>
    <x v="496"/>
    <x v="435"/>
    <n v="7190"/>
    <x v="597"/>
    <s v="Nissan"/>
    <s v="Maxima"/>
    <n v="2012"/>
    <x v="1"/>
    <n v="0"/>
  </r>
  <r>
    <n v="144"/>
    <x v="21"/>
    <x v="754"/>
    <d v="1993-08-30T00:00:00"/>
    <x v="2"/>
    <s v="100/300"/>
    <n v="500"/>
    <x v="750"/>
    <n v="0"/>
    <x v="750"/>
    <x v="0"/>
    <x v="5"/>
    <x v="1"/>
    <x v="19"/>
    <s v="wife"/>
    <x v="1"/>
    <x v="0"/>
    <x v="8"/>
    <x v="2"/>
    <x v="0"/>
    <x v="0"/>
    <x v="0"/>
    <x v="4"/>
    <x v="3"/>
    <x v="754"/>
    <x v="19"/>
    <x v="1"/>
    <x v="1"/>
    <x v="1"/>
    <x v="1"/>
    <x v="1"/>
    <x v="620"/>
    <x v="532"/>
    <n v="8790"/>
    <x v="598"/>
    <s v="Dodge"/>
    <s v="Neon"/>
    <n v="1995"/>
    <x v="1"/>
    <n v="0"/>
  </r>
  <r>
    <n v="92"/>
    <x v="30"/>
    <x v="755"/>
    <d v="1998-01-29T00:00:00"/>
    <x v="2"/>
    <s v="500/1000"/>
    <n v="500"/>
    <x v="751"/>
    <n v="0"/>
    <x v="751"/>
    <x v="0"/>
    <x v="4"/>
    <x v="5"/>
    <x v="12"/>
    <s v="husband"/>
    <x v="267"/>
    <x v="293"/>
    <x v="38"/>
    <x v="0"/>
    <x v="2"/>
    <x v="2"/>
    <x v="4"/>
    <x v="4"/>
    <x v="0"/>
    <x v="755"/>
    <x v="9"/>
    <x v="0"/>
    <x v="1"/>
    <x v="2"/>
    <x v="2"/>
    <x v="0"/>
    <x v="271"/>
    <x v="248"/>
    <n v="5340"/>
    <x v="256"/>
    <s v="Jeep"/>
    <s v="Wrangler"/>
    <n v="1996"/>
    <x v="1"/>
    <n v="0"/>
  </r>
  <r>
    <n v="173"/>
    <x v="31"/>
    <x v="756"/>
    <d v="2007-08-18T00:00:00"/>
    <x v="0"/>
    <s v="250/500"/>
    <n v="1000"/>
    <x v="752"/>
    <n v="0"/>
    <x v="752"/>
    <x v="0"/>
    <x v="3"/>
    <x v="1"/>
    <x v="16"/>
    <s v="unmarried"/>
    <x v="91"/>
    <x v="0"/>
    <x v="42"/>
    <x v="0"/>
    <x v="2"/>
    <x v="2"/>
    <x v="2"/>
    <x v="0"/>
    <x v="3"/>
    <x v="756"/>
    <x v="9"/>
    <x v="0"/>
    <x v="0"/>
    <x v="2"/>
    <x v="2"/>
    <x v="2"/>
    <x v="134"/>
    <x v="124"/>
    <n v="9460"/>
    <x v="21"/>
    <s v="Accura"/>
    <s v="MDX"/>
    <n v="1995"/>
    <x v="1"/>
    <n v="0"/>
  </r>
  <r>
    <n v="436"/>
    <x v="33"/>
    <x v="757"/>
    <d v="1992-04-14T00:00:00"/>
    <x v="1"/>
    <s v="250/500"/>
    <n v="500"/>
    <x v="753"/>
    <n v="0"/>
    <x v="753"/>
    <x v="0"/>
    <x v="5"/>
    <x v="5"/>
    <x v="4"/>
    <s v="wife"/>
    <x v="268"/>
    <x v="215"/>
    <x v="6"/>
    <x v="0"/>
    <x v="3"/>
    <x v="1"/>
    <x v="4"/>
    <x v="1"/>
    <x v="2"/>
    <x v="757"/>
    <x v="16"/>
    <x v="0"/>
    <x v="2"/>
    <x v="1"/>
    <x v="0"/>
    <x v="2"/>
    <x v="621"/>
    <x v="533"/>
    <n v="7460"/>
    <x v="599"/>
    <s v="Saab"/>
    <n v="93"/>
    <n v="2005"/>
    <x v="1"/>
    <n v="0"/>
  </r>
  <r>
    <n v="155"/>
    <x v="21"/>
    <x v="758"/>
    <d v="1993-08-09T00:00:00"/>
    <x v="0"/>
    <s v="250/500"/>
    <n v="1000"/>
    <x v="754"/>
    <n v="0"/>
    <x v="754"/>
    <x v="1"/>
    <x v="2"/>
    <x v="9"/>
    <x v="11"/>
    <s v="not-in-family"/>
    <x v="269"/>
    <x v="0"/>
    <x v="23"/>
    <x v="0"/>
    <x v="3"/>
    <x v="1"/>
    <x v="4"/>
    <x v="2"/>
    <x v="6"/>
    <x v="758"/>
    <x v="5"/>
    <x v="0"/>
    <x v="1"/>
    <x v="1"/>
    <x v="2"/>
    <x v="1"/>
    <x v="554"/>
    <x v="160"/>
    <n v="8060"/>
    <x v="600"/>
    <s v="Nissan"/>
    <s v="Maxima"/>
    <n v="1997"/>
    <x v="1"/>
    <n v="0"/>
  </r>
  <r>
    <n v="78"/>
    <x v="14"/>
    <x v="759"/>
    <d v="1991-04-02T00:00:00"/>
    <x v="0"/>
    <s v="250/500"/>
    <n v="1000"/>
    <x v="755"/>
    <n v="0"/>
    <x v="755"/>
    <x v="1"/>
    <x v="4"/>
    <x v="3"/>
    <x v="15"/>
    <s v="unmarried"/>
    <x v="270"/>
    <x v="0"/>
    <x v="44"/>
    <x v="2"/>
    <x v="0"/>
    <x v="1"/>
    <x v="3"/>
    <x v="2"/>
    <x v="4"/>
    <x v="759"/>
    <x v="17"/>
    <x v="1"/>
    <x v="1"/>
    <x v="2"/>
    <x v="3"/>
    <x v="1"/>
    <x v="622"/>
    <x v="244"/>
    <n v="11620"/>
    <x v="416"/>
    <s v="Nissan"/>
    <s v="Maxima"/>
    <n v="1997"/>
    <x v="1"/>
    <n v="0"/>
  </r>
  <r>
    <n v="440"/>
    <x v="37"/>
    <x v="760"/>
    <d v="2007-03-15T00:00:00"/>
    <x v="2"/>
    <s v="100/300"/>
    <n v="1000"/>
    <x v="756"/>
    <n v="5000000"/>
    <x v="756"/>
    <x v="0"/>
    <x v="3"/>
    <x v="9"/>
    <x v="13"/>
    <s v="wife"/>
    <x v="118"/>
    <x v="294"/>
    <x v="40"/>
    <x v="2"/>
    <x v="2"/>
    <x v="0"/>
    <x v="0"/>
    <x v="0"/>
    <x v="2"/>
    <x v="760"/>
    <x v="4"/>
    <x v="1"/>
    <x v="0"/>
    <x v="1"/>
    <x v="2"/>
    <x v="1"/>
    <x v="623"/>
    <x v="534"/>
    <n v="12400"/>
    <x v="601"/>
    <s v="Jeep"/>
    <s v="Wrangler"/>
    <n v="2007"/>
    <x v="0"/>
    <n v="0"/>
  </r>
  <r>
    <n v="264"/>
    <x v="18"/>
    <x v="761"/>
    <d v="2010-05-01T00:00:00"/>
    <x v="2"/>
    <s v="100/300"/>
    <n v="500"/>
    <x v="757"/>
    <n v="6000000"/>
    <x v="757"/>
    <x v="0"/>
    <x v="1"/>
    <x v="0"/>
    <x v="16"/>
    <s v="wife"/>
    <x v="1"/>
    <x v="0"/>
    <x v="39"/>
    <x v="2"/>
    <x v="2"/>
    <x v="0"/>
    <x v="3"/>
    <x v="2"/>
    <x v="0"/>
    <x v="761"/>
    <x v="5"/>
    <x v="1"/>
    <x v="1"/>
    <x v="2"/>
    <x v="3"/>
    <x v="2"/>
    <x v="402"/>
    <x v="535"/>
    <n v="6750"/>
    <x v="602"/>
    <s v="Jeep"/>
    <s v="Wrangler"/>
    <n v="2015"/>
    <x v="0"/>
    <n v="0"/>
  </r>
  <r>
    <n v="66"/>
    <x v="22"/>
    <x v="762"/>
    <d v="2003-06-24T00:00:00"/>
    <x v="1"/>
    <s v="500/1000"/>
    <n v="500"/>
    <x v="758"/>
    <n v="0"/>
    <x v="758"/>
    <x v="1"/>
    <x v="3"/>
    <x v="12"/>
    <x v="13"/>
    <s v="wife"/>
    <x v="271"/>
    <x v="295"/>
    <x v="27"/>
    <x v="2"/>
    <x v="3"/>
    <x v="0"/>
    <x v="2"/>
    <x v="0"/>
    <x v="2"/>
    <x v="762"/>
    <x v="23"/>
    <x v="1"/>
    <x v="1"/>
    <x v="1"/>
    <x v="0"/>
    <x v="0"/>
    <x v="624"/>
    <x v="536"/>
    <n v="11920"/>
    <x v="228"/>
    <s v="Volkswagen"/>
    <s v="Passat"/>
    <n v="2015"/>
    <x v="0"/>
    <n v="0"/>
  </r>
  <r>
    <n v="366"/>
    <x v="36"/>
    <x v="763"/>
    <d v="1990-07-08T00:00:00"/>
    <x v="1"/>
    <s v="500/1000"/>
    <n v="1000"/>
    <x v="759"/>
    <n v="0"/>
    <x v="759"/>
    <x v="1"/>
    <x v="5"/>
    <x v="11"/>
    <x v="16"/>
    <s v="husband"/>
    <x v="272"/>
    <x v="0"/>
    <x v="59"/>
    <x v="2"/>
    <x v="2"/>
    <x v="1"/>
    <x v="0"/>
    <x v="2"/>
    <x v="2"/>
    <x v="763"/>
    <x v="0"/>
    <x v="1"/>
    <x v="0"/>
    <x v="0"/>
    <x v="2"/>
    <x v="2"/>
    <x v="206"/>
    <x v="192"/>
    <n v="12780"/>
    <x v="603"/>
    <s v="Mercedes"/>
    <s v="C300"/>
    <n v="2012"/>
    <x v="1"/>
    <n v="0"/>
  </r>
  <r>
    <n v="188"/>
    <x v="7"/>
    <x v="764"/>
    <d v="1994-09-24T00:00:00"/>
    <x v="0"/>
    <s v="100/300"/>
    <n v="500"/>
    <x v="760"/>
    <n v="0"/>
    <x v="760"/>
    <x v="1"/>
    <x v="6"/>
    <x v="12"/>
    <x v="11"/>
    <s v="own-child"/>
    <x v="70"/>
    <x v="0"/>
    <x v="34"/>
    <x v="0"/>
    <x v="2"/>
    <x v="2"/>
    <x v="4"/>
    <x v="0"/>
    <x v="0"/>
    <x v="764"/>
    <x v="13"/>
    <x v="0"/>
    <x v="1"/>
    <x v="2"/>
    <x v="1"/>
    <x v="0"/>
    <x v="625"/>
    <x v="439"/>
    <n v="5000"/>
    <x v="492"/>
    <s v="Suburu"/>
    <s v="Forrestor"/>
    <n v="2003"/>
    <x v="1"/>
    <n v="0"/>
  </r>
  <r>
    <n v="224"/>
    <x v="5"/>
    <x v="765"/>
    <d v="2012-06-20T00:00:00"/>
    <x v="2"/>
    <s v="500/1000"/>
    <n v="1000"/>
    <x v="761"/>
    <n v="0"/>
    <x v="761"/>
    <x v="1"/>
    <x v="6"/>
    <x v="5"/>
    <x v="0"/>
    <s v="other-relative"/>
    <x v="1"/>
    <x v="116"/>
    <x v="57"/>
    <x v="2"/>
    <x v="2"/>
    <x v="2"/>
    <x v="2"/>
    <x v="1"/>
    <x v="1"/>
    <x v="765"/>
    <x v="7"/>
    <x v="1"/>
    <x v="0"/>
    <x v="2"/>
    <x v="3"/>
    <x v="1"/>
    <x v="626"/>
    <x v="537"/>
    <n v="6180"/>
    <x v="604"/>
    <s v="Suburu"/>
    <s v="Impreza"/>
    <n v="2007"/>
    <x v="1"/>
    <n v="0"/>
  </r>
  <r>
    <n v="253"/>
    <x v="35"/>
    <x v="766"/>
    <d v="2006-04-19T00:00:00"/>
    <x v="2"/>
    <s v="100/300"/>
    <n v="500"/>
    <x v="762"/>
    <n v="0"/>
    <x v="762"/>
    <x v="1"/>
    <x v="0"/>
    <x v="10"/>
    <x v="10"/>
    <s v="husband"/>
    <x v="273"/>
    <x v="0"/>
    <x v="30"/>
    <x v="2"/>
    <x v="3"/>
    <x v="0"/>
    <x v="4"/>
    <x v="2"/>
    <x v="0"/>
    <x v="766"/>
    <x v="20"/>
    <x v="1"/>
    <x v="0"/>
    <x v="1"/>
    <x v="1"/>
    <x v="2"/>
    <x v="627"/>
    <x v="538"/>
    <n v="11740"/>
    <x v="605"/>
    <s v="Jeep"/>
    <s v="Wrangler"/>
    <n v="2001"/>
    <x v="1"/>
    <n v="0"/>
  </r>
  <r>
    <n v="446"/>
    <x v="9"/>
    <x v="767"/>
    <d v="1999-04-07T00:00:00"/>
    <x v="2"/>
    <s v="100/300"/>
    <n v="1000"/>
    <x v="763"/>
    <n v="0"/>
    <x v="763"/>
    <x v="1"/>
    <x v="5"/>
    <x v="12"/>
    <x v="1"/>
    <s v="unmarried"/>
    <x v="125"/>
    <x v="296"/>
    <x v="22"/>
    <x v="0"/>
    <x v="2"/>
    <x v="1"/>
    <x v="3"/>
    <x v="1"/>
    <x v="3"/>
    <x v="767"/>
    <x v="19"/>
    <x v="0"/>
    <x v="0"/>
    <x v="2"/>
    <x v="1"/>
    <x v="0"/>
    <x v="628"/>
    <x v="539"/>
    <n v="14100"/>
    <x v="606"/>
    <s v="Suburu"/>
    <s v="Forrestor"/>
    <n v="2007"/>
    <x v="1"/>
    <n v="0"/>
  </r>
  <r>
    <n v="169"/>
    <x v="7"/>
    <x v="768"/>
    <d v="2001-12-07T00:00:00"/>
    <x v="2"/>
    <s v="100/300"/>
    <n v="1000"/>
    <x v="764"/>
    <n v="0"/>
    <x v="764"/>
    <x v="0"/>
    <x v="6"/>
    <x v="3"/>
    <x v="10"/>
    <s v="other-relative"/>
    <x v="274"/>
    <x v="247"/>
    <x v="40"/>
    <x v="2"/>
    <x v="0"/>
    <x v="2"/>
    <x v="0"/>
    <x v="0"/>
    <x v="6"/>
    <x v="768"/>
    <x v="14"/>
    <x v="1"/>
    <x v="1"/>
    <x v="2"/>
    <x v="3"/>
    <x v="0"/>
    <x v="629"/>
    <x v="540"/>
    <n v="5790"/>
    <x v="607"/>
    <s v="Audi"/>
    <s v="A5"/>
    <n v="2005"/>
    <x v="1"/>
    <n v="0"/>
  </r>
  <r>
    <n v="255"/>
    <x v="35"/>
    <x v="769"/>
    <d v="2006-11-25T00:00:00"/>
    <x v="2"/>
    <s v="250/500"/>
    <n v="500"/>
    <x v="765"/>
    <n v="0"/>
    <x v="765"/>
    <x v="1"/>
    <x v="6"/>
    <x v="5"/>
    <x v="17"/>
    <s v="own-child"/>
    <x v="1"/>
    <x v="114"/>
    <x v="37"/>
    <x v="2"/>
    <x v="3"/>
    <x v="1"/>
    <x v="2"/>
    <x v="4"/>
    <x v="6"/>
    <x v="769"/>
    <x v="23"/>
    <x v="1"/>
    <x v="2"/>
    <x v="0"/>
    <x v="1"/>
    <x v="2"/>
    <x v="312"/>
    <x v="190"/>
    <n v="10520"/>
    <x v="15"/>
    <s v="Volkswagen"/>
    <s v="Jetta"/>
    <n v="2011"/>
    <x v="1"/>
    <n v="0"/>
  </r>
  <r>
    <n v="209"/>
    <x v="5"/>
    <x v="770"/>
    <d v="1996-12-06T00:00:00"/>
    <x v="1"/>
    <s v="100/300"/>
    <n v="500"/>
    <x v="766"/>
    <n v="0"/>
    <x v="766"/>
    <x v="0"/>
    <x v="1"/>
    <x v="10"/>
    <x v="18"/>
    <s v="husband"/>
    <x v="275"/>
    <x v="0"/>
    <x v="17"/>
    <x v="0"/>
    <x v="0"/>
    <x v="1"/>
    <x v="2"/>
    <x v="1"/>
    <x v="6"/>
    <x v="770"/>
    <x v="9"/>
    <x v="0"/>
    <x v="1"/>
    <x v="0"/>
    <x v="3"/>
    <x v="2"/>
    <x v="630"/>
    <x v="541"/>
    <n v="4200"/>
    <x v="99"/>
    <s v="Chevrolet"/>
    <s v="Silverado"/>
    <n v="1995"/>
    <x v="1"/>
    <n v="0"/>
  </r>
  <r>
    <n v="210"/>
    <x v="7"/>
    <x v="771"/>
    <d v="2012-07-10T00:00:00"/>
    <x v="0"/>
    <s v="500/1000"/>
    <n v="500"/>
    <x v="767"/>
    <n v="0"/>
    <x v="767"/>
    <x v="1"/>
    <x v="0"/>
    <x v="4"/>
    <x v="11"/>
    <s v="own-child"/>
    <x v="276"/>
    <x v="118"/>
    <x v="2"/>
    <x v="0"/>
    <x v="3"/>
    <x v="2"/>
    <x v="4"/>
    <x v="2"/>
    <x v="5"/>
    <x v="771"/>
    <x v="1"/>
    <x v="0"/>
    <x v="1"/>
    <x v="0"/>
    <x v="2"/>
    <x v="0"/>
    <x v="429"/>
    <x v="407"/>
    <n v="6330"/>
    <x v="608"/>
    <s v="Toyota"/>
    <s v="Highlander"/>
    <n v="2000"/>
    <x v="1"/>
    <n v="0"/>
  </r>
  <r>
    <n v="174"/>
    <x v="8"/>
    <x v="772"/>
    <d v="2014-04-07T00:00:00"/>
    <x v="1"/>
    <s v="250/500"/>
    <n v="2000"/>
    <x v="768"/>
    <n v="0"/>
    <x v="768"/>
    <x v="1"/>
    <x v="3"/>
    <x v="13"/>
    <x v="13"/>
    <s v="own-child"/>
    <x v="1"/>
    <x v="0"/>
    <x v="29"/>
    <x v="2"/>
    <x v="2"/>
    <x v="2"/>
    <x v="4"/>
    <x v="4"/>
    <x v="6"/>
    <x v="772"/>
    <x v="8"/>
    <x v="1"/>
    <x v="0"/>
    <x v="1"/>
    <x v="3"/>
    <x v="0"/>
    <x v="345"/>
    <x v="542"/>
    <n v="4420"/>
    <x v="581"/>
    <s v="Saab"/>
    <n v="93"/>
    <n v="1995"/>
    <x v="1"/>
    <n v="0"/>
  </r>
  <r>
    <n v="70"/>
    <x v="23"/>
    <x v="773"/>
    <d v="2003-10-11T00:00:00"/>
    <x v="2"/>
    <s v="250/500"/>
    <n v="1000"/>
    <x v="769"/>
    <n v="0"/>
    <x v="769"/>
    <x v="0"/>
    <x v="5"/>
    <x v="1"/>
    <x v="12"/>
    <s v="husband"/>
    <x v="277"/>
    <x v="297"/>
    <x v="21"/>
    <x v="2"/>
    <x v="0"/>
    <x v="1"/>
    <x v="0"/>
    <x v="4"/>
    <x v="2"/>
    <x v="773"/>
    <x v="8"/>
    <x v="2"/>
    <x v="2"/>
    <x v="0"/>
    <x v="1"/>
    <x v="0"/>
    <x v="631"/>
    <x v="543"/>
    <n v="3520"/>
    <x v="609"/>
    <s v="Toyota"/>
    <s v="Camry"/>
    <n v="2006"/>
    <x v="1"/>
    <n v="0"/>
  </r>
  <r>
    <n v="89"/>
    <x v="30"/>
    <x v="774"/>
    <d v="2015-01-17T00:00:00"/>
    <x v="1"/>
    <s v="100/300"/>
    <n v="2000"/>
    <x v="770"/>
    <n v="0"/>
    <x v="770"/>
    <x v="1"/>
    <x v="0"/>
    <x v="4"/>
    <x v="15"/>
    <s v="not-in-family"/>
    <x v="278"/>
    <x v="86"/>
    <x v="49"/>
    <x v="3"/>
    <x v="1"/>
    <x v="3"/>
    <x v="0"/>
    <x v="4"/>
    <x v="6"/>
    <x v="774"/>
    <x v="0"/>
    <x v="0"/>
    <x v="0"/>
    <x v="0"/>
    <x v="0"/>
    <x v="1"/>
    <x v="632"/>
    <x v="544"/>
    <n v="20"/>
    <x v="610"/>
    <s v="Audi"/>
    <s v="A3"/>
    <n v="2002"/>
    <x v="1"/>
    <n v="0"/>
  </r>
  <r>
    <n v="458"/>
    <x v="9"/>
    <x v="775"/>
    <d v="1992-12-07T00:00:00"/>
    <x v="1"/>
    <s v="100/300"/>
    <n v="1000"/>
    <x v="771"/>
    <n v="0"/>
    <x v="771"/>
    <x v="1"/>
    <x v="5"/>
    <x v="9"/>
    <x v="4"/>
    <s v="other-relative"/>
    <x v="106"/>
    <x v="0"/>
    <x v="54"/>
    <x v="0"/>
    <x v="3"/>
    <x v="1"/>
    <x v="2"/>
    <x v="4"/>
    <x v="0"/>
    <x v="775"/>
    <x v="22"/>
    <x v="0"/>
    <x v="2"/>
    <x v="2"/>
    <x v="3"/>
    <x v="2"/>
    <x v="633"/>
    <x v="545"/>
    <n v="6260"/>
    <x v="611"/>
    <s v="Volkswagen"/>
    <s v="Passat"/>
    <n v="2003"/>
    <x v="1"/>
    <n v="0"/>
  </r>
  <r>
    <n v="239"/>
    <x v="17"/>
    <x v="776"/>
    <d v="2004-11-29T00:00:00"/>
    <x v="1"/>
    <s v="100/300"/>
    <n v="500"/>
    <x v="772"/>
    <n v="0"/>
    <x v="772"/>
    <x v="1"/>
    <x v="6"/>
    <x v="2"/>
    <x v="9"/>
    <s v="own-child"/>
    <x v="1"/>
    <x v="0"/>
    <x v="36"/>
    <x v="2"/>
    <x v="2"/>
    <x v="2"/>
    <x v="0"/>
    <x v="5"/>
    <x v="3"/>
    <x v="776"/>
    <x v="3"/>
    <x v="1"/>
    <x v="1"/>
    <x v="1"/>
    <x v="1"/>
    <x v="0"/>
    <x v="634"/>
    <x v="3"/>
    <n v="6340"/>
    <x v="612"/>
    <s v="Dodge"/>
    <s v="Neon"/>
    <n v="2003"/>
    <x v="1"/>
    <n v="0"/>
  </r>
  <r>
    <n v="161"/>
    <x v="11"/>
    <x v="777"/>
    <d v="2004-01-02T00:00:00"/>
    <x v="2"/>
    <s v="100/300"/>
    <n v="2000"/>
    <x v="773"/>
    <n v="0"/>
    <x v="773"/>
    <x v="0"/>
    <x v="1"/>
    <x v="7"/>
    <x v="20"/>
    <s v="not-in-family"/>
    <x v="279"/>
    <x v="0"/>
    <x v="28"/>
    <x v="2"/>
    <x v="3"/>
    <x v="2"/>
    <x v="0"/>
    <x v="4"/>
    <x v="3"/>
    <x v="777"/>
    <x v="5"/>
    <x v="1"/>
    <x v="0"/>
    <x v="2"/>
    <x v="0"/>
    <x v="0"/>
    <x v="570"/>
    <x v="217"/>
    <n v="15120"/>
    <x v="225"/>
    <s v="Volkswagen"/>
    <s v="Jetta"/>
    <n v="2003"/>
    <x v="1"/>
    <n v="0"/>
  </r>
  <r>
    <n v="446"/>
    <x v="9"/>
    <x v="778"/>
    <d v="2006-01-25T00:00:00"/>
    <x v="1"/>
    <s v="500/1000"/>
    <n v="1000"/>
    <x v="774"/>
    <n v="0"/>
    <x v="774"/>
    <x v="1"/>
    <x v="5"/>
    <x v="4"/>
    <x v="9"/>
    <s v="wife"/>
    <x v="1"/>
    <x v="132"/>
    <x v="8"/>
    <x v="2"/>
    <x v="2"/>
    <x v="1"/>
    <x v="0"/>
    <x v="5"/>
    <x v="4"/>
    <x v="778"/>
    <x v="17"/>
    <x v="1"/>
    <x v="1"/>
    <x v="2"/>
    <x v="3"/>
    <x v="2"/>
    <x v="635"/>
    <x v="546"/>
    <n v="13480"/>
    <x v="613"/>
    <s v="Nissan"/>
    <s v="Ultima"/>
    <n v="2005"/>
    <x v="1"/>
    <n v="0"/>
  </r>
  <r>
    <n v="476"/>
    <x v="9"/>
    <x v="779"/>
    <d v="1993-04-18T00:00:00"/>
    <x v="1"/>
    <s v="250/500"/>
    <n v="1000"/>
    <x v="775"/>
    <n v="0"/>
    <x v="775"/>
    <x v="1"/>
    <x v="4"/>
    <x v="11"/>
    <x v="8"/>
    <s v="not-in-family"/>
    <x v="182"/>
    <x v="10"/>
    <x v="23"/>
    <x v="0"/>
    <x v="3"/>
    <x v="2"/>
    <x v="2"/>
    <x v="4"/>
    <x v="4"/>
    <x v="779"/>
    <x v="15"/>
    <x v="0"/>
    <x v="1"/>
    <x v="0"/>
    <x v="0"/>
    <x v="0"/>
    <x v="636"/>
    <x v="547"/>
    <n v="4490"/>
    <x v="614"/>
    <s v="Suburu"/>
    <s v="Legacy"/>
    <n v="2009"/>
    <x v="1"/>
    <n v="0"/>
  </r>
  <r>
    <n v="70"/>
    <x v="2"/>
    <x v="780"/>
    <d v="2006-12-09T00:00:00"/>
    <x v="1"/>
    <s v="100/300"/>
    <n v="1000"/>
    <x v="776"/>
    <n v="0"/>
    <x v="776"/>
    <x v="1"/>
    <x v="0"/>
    <x v="3"/>
    <x v="17"/>
    <s v="other-relative"/>
    <x v="34"/>
    <x v="298"/>
    <x v="59"/>
    <x v="0"/>
    <x v="3"/>
    <x v="1"/>
    <x v="4"/>
    <x v="5"/>
    <x v="1"/>
    <x v="780"/>
    <x v="11"/>
    <x v="0"/>
    <x v="2"/>
    <x v="1"/>
    <x v="2"/>
    <x v="1"/>
    <x v="637"/>
    <x v="548"/>
    <n v="11560"/>
    <x v="446"/>
    <s v="Dodge"/>
    <s v="RAM"/>
    <n v="2009"/>
    <x v="1"/>
    <n v="0"/>
  </r>
  <r>
    <n v="233"/>
    <x v="3"/>
    <x v="781"/>
    <d v="1997-08-30T00:00:00"/>
    <x v="0"/>
    <s v="500/1000"/>
    <n v="2000"/>
    <x v="777"/>
    <n v="0"/>
    <x v="777"/>
    <x v="1"/>
    <x v="2"/>
    <x v="4"/>
    <x v="2"/>
    <s v="other-relative"/>
    <x v="280"/>
    <x v="0"/>
    <x v="39"/>
    <x v="1"/>
    <x v="1"/>
    <x v="1"/>
    <x v="1"/>
    <x v="2"/>
    <x v="3"/>
    <x v="781"/>
    <x v="13"/>
    <x v="0"/>
    <x v="2"/>
    <x v="1"/>
    <x v="3"/>
    <x v="1"/>
    <x v="638"/>
    <x v="218"/>
    <n v="680"/>
    <x v="615"/>
    <s v="Chevrolet"/>
    <s v="Malibu"/>
    <n v="2011"/>
    <x v="1"/>
    <n v="0"/>
  </r>
  <r>
    <n v="122"/>
    <x v="8"/>
    <x v="782"/>
    <d v="1991-06-03T00:00:00"/>
    <x v="2"/>
    <s v="250/500"/>
    <n v="500"/>
    <x v="778"/>
    <n v="0"/>
    <x v="778"/>
    <x v="0"/>
    <x v="1"/>
    <x v="6"/>
    <x v="4"/>
    <s v="husband"/>
    <x v="1"/>
    <x v="150"/>
    <x v="26"/>
    <x v="3"/>
    <x v="1"/>
    <x v="3"/>
    <x v="1"/>
    <x v="2"/>
    <x v="4"/>
    <x v="782"/>
    <x v="17"/>
    <x v="0"/>
    <x v="2"/>
    <x v="1"/>
    <x v="3"/>
    <x v="2"/>
    <x v="550"/>
    <x v="480"/>
    <n v="920"/>
    <x v="523"/>
    <s v="Nissan"/>
    <s v="Ultima"/>
    <n v="2003"/>
    <x v="1"/>
    <n v="0"/>
  </r>
  <r>
    <n v="335"/>
    <x v="0"/>
    <x v="783"/>
    <d v="1995-09-06T00:00:00"/>
    <x v="2"/>
    <s v="500/1000"/>
    <n v="2000"/>
    <x v="779"/>
    <n v="0"/>
    <x v="779"/>
    <x v="1"/>
    <x v="0"/>
    <x v="1"/>
    <x v="14"/>
    <s v="wife"/>
    <x v="101"/>
    <x v="299"/>
    <x v="46"/>
    <x v="2"/>
    <x v="3"/>
    <x v="2"/>
    <x v="0"/>
    <x v="4"/>
    <x v="0"/>
    <x v="783"/>
    <x v="7"/>
    <x v="1"/>
    <x v="2"/>
    <x v="1"/>
    <x v="1"/>
    <x v="0"/>
    <x v="639"/>
    <x v="549"/>
    <n v="6520"/>
    <x v="616"/>
    <s v="BMW"/>
    <s v="X5"/>
    <n v="2005"/>
    <x v="0"/>
    <n v="0"/>
  </r>
  <r>
    <n v="257"/>
    <x v="17"/>
    <x v="784"/>
    <d v="2000-02-09T00:00:00"/>
    <x v="1"/>
    <s v="100/300"/>
    <n v="2000"/>
    <x v="780"/>
    <n v="0"/>
    <x v="780"/>
    <x v="0"/>
    <x v="2"/>
    <x v="1"/>
    <x v="19"/>
    <s v="husband"/>
    <x v="281"/>
    <x v="119"/>
    <x v="31"/>
    <x v="2"/>
    <x v="3"/>
    <x v="0"/>
    <x v="4"/>
    <x v="2"/>
    <x v="0"/>
    <x v="784"/>
    <x v="19"/>
    <x v="1"/>
    <x v="0"/>
    <x v="2"/>
    <x v="3"/>
    <x v="1"/>
    <x v="640"/>
    <x v="2"/>
    <n v="3850"/>
    <x v="617"/>
    <s v="Ford"/>
    <s v="Fusion"/>
    <n v="2008"/>
    <x v="0"/>
    <n v="0"/>
  </r>
  <r>
    <n v="85"/>
    <x v="28"/>
    <x v="785"/>
    <d v="1996-07-23T00:00:00"/>
    <x v="2"/>
    <s v="500/1000"/>
    <n v="2000"/>
    <x v="781"/>
    <n v="0"/>
    <x v="781"/>
    <x v="0"/>
    <x v="3"/>
    <x v="7"/>
    <x v="8"/>
    <s v="unmarried"/>
    <x v="222"/>
    <x v="257"/>
    <x v="40"/>
    <x v="2"/>
    <x v="2"/>
    <x v="1"/>
    <x v="2"/>
    <x v="2"/>
    <x v="5"/>
    <x v="785"/>
    <x v="8"/>
    <x v="2"/>
    <x v="0"/>
    <x v="1"/>
    <x v="1"/>
    <x v="2"/>
    <x v="428"/>
    <x v="550"/>
    <n v="5370"/>
    <x v="618"/>
    <s v="Toyota"/>
    <s v="Camry"/>
    <n v="2012"/>
    <x v="1"/>
    <n v="0"/>
  </r>
  <r>
    <n v="133"/>
    <x v="22"/>
    <x v="786"/>
    <d v="2005-09-21T00:00:00"/>
    <x v="1"/>
    <s v="500/1000"/>
    <n v="1000"/>
    <x v="782"/>
    <n v="0"/>
    <x v="782"/>
    <x v="0"/>
    <x v="3"/>
    <x v="12"/>
    <x v="2"/>
    <s v="husband"/>
    <x v="1"/>
    <x v="48"/>
    <x v="52"/>
    <x v="2"/>
    <x v="3"/>
    <x v="1"/>
    <x v="2"/>
    <x v="0"/>
    <x v="1"/>
    <x v="786"/>
    <x v="4"/>
    <x v="1"/>
    <x v="2"/>
    <x v="0"/>
    <x v="0"/>
    <x v="1"/>
    <x v="641"/>
    <x v="551"/>
    <n v="3160"/>
    <x v="619"/>
    <s v="Dodge"/>
    <s v="Neon"/>
    <n v="2007"/>
    <x v="1"/>
    <n v="0"/>
  </r>
  <r>
    <n v="119"/>
    <x v="6"/>
    <x v="787"/>
    <d v="2011-12-30T00:00:00"/>
    <x v="2"/>
    <s v="250/500"/>
    <n v="500"/>
    <x v="783"/>
    <n v="0"/>
    <x v="783"/>
    <x v="1"/>
    <x v="3"/>
    <x v="4"/>
    <x v="11"/>
    <s v="wife"/>
    <x v="266"/>
    <x v="0"/>
    <x v="13"/>
    <x v="0"/>
    <x v="3"/>
    <x v="0"/>
    <x v="2"/>
    <x v="3"/>
    <x v="3"/>
    <x v="787"/>
    <x v="2"/>
    <x v="0"/>
    <x v="0"/>
    <x v="2"/>
    <x v="3"/>
    <x v="0"/>
    <x v="642"/>
    <x v="552"/>
    <n v="8280"/>
    <x v="595"/>
    <s v="Honda"/>
    <s v="Civic"/>
    <n v="1998"/>
    <x v="0"/>
    <n v="0"/>
  </r>
  <r>
    <n v="169"/>
    <x v="6"/>
    <x v="788"/>
    <d v="1996-07-21T00:00:00"/>
    <x v="1"/>
    <s v="100/300"/>
    <n v="500"/>
    <x v="784"/>
    <n v="0"/>
    <x v="784"/>
    <x v="1"/>
    <x v="6"/>
    <x v="2"/>
    <x v="1"/>
    <s v="not-in-family"/>
    <x v="1"/>
    <x v="252"/>
    <x v="29"/>
    <x v="0"/>
    <x v="2"/>
    <x v="1"/>
    <x v="2"/>
    <x v="1"/>
    <x v="2"/>
    <x v="788"/>
    <x v="5"/>
    <x v="0"/>
    <x v="1"/>
    <x v="1"/>
    <x v="1"/>
    <x v="0"/>
    <x v="643"/>
    <x v="553"/>
    <n v="3870"/>
    <x v="70"/>
    <s v="Volkswagen"/>
    <s v="Passat"/>
    <n v="2012"/>
    <x v="1"/>
    <n v="0"/>
  </r>
  <r>
    <n v="225"/>
    <x v="5"/>
    <x v="789"/>
    <d v="1996-04-08T00:00:00"/>
    <x v="0"/>
    <s v="250/500"/>
    <n v="500"/>
    <x v="785"/>
    <n v="0"/>
    <x v="785"/>
    <x v="0"/>
    <x v="4"/>
    <x v="4"/>
    <x v="13"/>
    <s v="other-relative"/>
    <x v="282"/>
    <x v="294"/>
    <x v="41"/>
    <x v="3"/>
    <x v="1"/>
    <x v="3"/>
    <x v="1"/>
    <x v="0"/>
    <x v="6"/>
    <x v="789"/>
    <x v="13"/>
    <x v="0"/>
    <x v="0"/>
    <x v="2"/>
    <x v="3"/>
    <x v="0"/>
    <x v="595"/>
    <x v="229"/>
    <n v="530"/>
    <x v="180"/>
    <s v="Nissan"/>
    <s v="Pathfinder"/>
    <n v="2011"/>
    <x v="1"/>
    <n v="0"/>
  </r>
  <r>
    <n v="84"/>
    <x v="30"/>
    <x v="790"/>
    <d v="2001-03-04T00:00:00"/>
    <x v="2"/>
    <s v="500/1000"/>
    <n v="500"/>
    <x v="786"/>
    <n v="7000000"/>
    <x v="786"/>
    <x v="1"/>
    <x v="2"/>
    <x v="5"/>
    <x v="19"/>
    <s v="husband"/>
    <x v="1"/>
    <x v="0"/>
    <x v="8"/>
    <x v="0"/>
    <x v="2"/>
    <x v="2"/>
    <x v="3"/>
    <x v="2"/>
    <x v="5"/>
    <x v="790"/>
    <x v="5"/>
    <x v="0"/>
    <x v="0"/>
    <x v="1"/>
    <x v="0"/>
    <x v="1"/>
    <x v="644"/>
    <x v="102"/>
    <n v="9540"/>
    <x v="620"/>
    <s v="BMW"/>
    <s v="X6"/>
    <n v="1995"/>
    <x v="0"/>
    <n v="0"/>
  </r>
  <r>
    <n v="169"/>
    <x v="5"/>
    <x v="791"/>
    <d v="2001-10-19T00:00:00"/>
    <x v="0"/>
    <s v="100/300"/>
    <n v="2000"/>
    <x v="787"/>
    <n v="0"/>
    <x v="787"/>
    <x v="0"/>
    <x v="5"/>
    <x v="3"/>
    <x v="20"/>
    <s v="husband"/>
    <x v="1"/>
    <x v="300"/>
    <x v="16"/>
    <x v="2"/>
    <x v="2"/>
    <x v="2"/>
    <x v="0"/>
    <x v="1"/>
    <x v="1"/>
    <x v="791"/>
    <x v="10"/>
    <x v="1"/>
    <x v="0"/>
    <x v="1"/>
    <x v="2"/>
    <x v="2"/>
    <x v="14"/>
    <x v="14"/>
    <n v="8400"/>
    <x v="14"/>
    <s v="Suburu"/>
    <s v="Legacy"/>
    <n v="2015"/>
    <x v="1"/>
    <n v="0"/>
  </r>
  <r>
    <n v="124"/>
    <x v="30"/>
    <x v="792"/>
    <d v="2006-08-18T00:00:00"/>
    <x v="1"/>
    <s v="100/300"/>
    <n v="1000"/>
    <x v="788"/>
    <n v="0"/>
    <x v="788"/>
    <x v="1"/>
    <x v="4"/>
    <x v="13"/>
    <x v="15"/>
    <s v="wife"/>
    <x v="96"/>
    <x v="0"/>
    <x v="54"/>
    <x v="0"/>
    <x v="0"/>
    <x v="2"/>
    <x v="4"/>
    <x v="2"/>
    <x v="0"/>
    <x v="792"/>
    <x v="6"/>
    <x v="0"/>
    <x v="0"/>
    <x v="1"/>
    <x v="3"/>
    <x v="2"/>
    <x v="488"/>
    <x v="501"/>
    <n v="5770"/>
    <x v="553"/>
    <s v="Toyota"/>
    <s v="Camry"/>
    <n v="2003"/>
    <x v="1"/>
    <n v="0"/>
  </r>
  <r>
    <n v="320"/>
    <x v="0"/>
    <x v="793"/>
    <d v="2013-04-28T00:00:00"/>
    <x v="2"/>
    <s v="250/500"/>
    <n v="2000"/>
    <x v="789"/>
    <n v="7000000"/>
    <x v="789"/>
    <x v="0"/>
    <x v="3"/>
    <x v="10"/>
    <x v="11"/>
    <s v="not-in-family"/>
    <x v="70"/>
    <x v="301"/>
    <x v="27"/>
    <x v="2"/>
    <x v="3"/>
    <x v="1"/>
    <x v="2"/>
    <x v="4"/>
    <x v="6"/>
    <x v="793"/>
    <x v="21"/>
    <x v="1"/>
    <x v="2"/>
    <x v="2"/>
    <x v="1"/>
    <x v="2"/>
    <x v="573"/>
    <x v="118"/>
    <n v="9360"/>
    <x v="621"/>
    <s v="Saab"/>
    <n v="95"/>
    <n v="1995"/>
    <x v="1"/>
    <n v="0"/>
  </r>
  <r>
    <n v="297"/>
    <x v="26"/>
    <x v="794"/>
    <d v="2009-11-29T00:00:00"/>
    <x v="1"/>
    <s v="250/500"/>
    <n v="500"/>
    <x v="790"/>
    <n v="7000000"/>
    <x v="790"/>
    <x v="0"/>
    <x v="0"/>
    <x v="12"/>
    <x v="10"/>
    <s v="unmarried"/>
    <x v="1"/>
    <x v="283"/>
    <x v="29"/>
    <x v="2"/>
    <x v="0"/>
    <x v="2"/>
    <x v="2"/>
    <x v="4"/>
    <x v="0"/>
    <x v="794"/>
    <x v="5"/>
    <x v="1"/>
    <x v="1"/>
    <x v="1"/>
    <x v="2"/>
    <x v="0"/>
    <x v="645"/>
    <x v="167"/>
    <n v="5550"/>
    <x v="622"/>
    <s v="Jeep"/>
    <s v="Grand Cherokee"/>
    <n v="1999"/>
    <x v="1"/>
    <n v="0"/>
  </r>
  <r>
    <n v="421"/>
    <x v="29"/>
    <x v="795"/>
    <d v="1990-02-15T00:00:00"/>
    <x v="1"/>
    <s v="100/300"/>
    <n v="500"/>
    <x v="791"/>
    <n v="4000000"/>
    <x v="791"/>
    <x v="0"/>
    <x v="4"/>
    <x v="1"/>
    <x v="1"/>
    <s v="own-child"/>
    <x v="283"/>
    <x v="302"/>
    <x v="37"/>
    <x v="0"/>
    <x v="2"/>
    <x v="0"/>
    <x v="4"/>
    <x v="2"/>
    <x v="4"/>
    <x v="795"/>
    <x v="2"/>
    <x v="0"/>
    <x v="1"/>
    <x v="2"/>
    <x v="2"/>
    <x v="1"/>
    <x v="646"/>
    <x v="554"/>
    <n v="8430"/>
    <x v="623"/>
    <s v="Mercedes"/>
    <s v="E400"/>
    <n v="2004"/>
    <x v="0"/>
    <n v="0"/>
  </r>
  <r>
    <n v="136"/>
    <x v="8"/>
    <x v="796"/>
    <d v="2002-04-12T00:00:00"/>
    <x v="0"/>
    <s v="250/500"/>
    <n v="1000"/>
    <x v="792"/>
    <n v="0"/>
    <x v="792"/>
    <x v="1"/>
    <x v="1"/>
    <x v="0"/>
    <x v="13"/>
    <s v="not-in-family"/>
    <x v="180"/>
    <x v="0"/>
    <x v="59"/>
    <x v="0"/>
    <x v="0"/>
    <x v="1"/>
    <x v="2"/>
    <x v="5"/>
    <x v="6"/>
    <x v="796"/>
    <x v="6"/>
    <x v="0"/>
    <x v="0"/>
    <x v="1"/>
    <x v="3"/>
    <x v="0"/>
    <x v="647"/>
    <x v="555"/>
    <n v="6140"/>
    <x v="624"/>
    <s v="Toyota"/>
    <s v="Corolla"/>
    <n v="2015"/>
    <x v="1"/>
    <n v="0"/>
  </r>
  <r>
    <n v="46"/>
    <x v="39"/>
    <x v="797"/>
    <d v="1999-02-21T00:00:00"/>
    <x v="0"/>
    <s v="250/500"/>
    <n v="2000"/>
    <x v="793"/>
    <n v="4000000"/>
    <x v="793"/>
    <x v="1"/>
    <x v="5"/>
    <x v="3"/>
    <x v="12"/>
    <s v="unmarried"/>
    <x v="284"/>
    <x v="0"/>
    <x v="40"/>
    <x v="0"/>
    <x v="0"/>
    <x v="0"/>
    <x v="2"/>
    <x v="2"/>
    <x v="6"/>
    <x v="797"/>
    <x v="2"/>
    <x v="0"/>
    <x v="2"/>
    <x v="2"/>
    <x v="1"/>
    <x v="1"/>
    <x v="648"/>
    <x v="556"/>
    <n v="5660"/>
    <x v="625"/>
    <s v="Toyota"/>
    <s v="Camry"/>
    <n v="1999"/>
    <x v="1"/>
    <n v="0"/>
  </r>
  <r>
    <n v="34"/>
    <x v="39"/>
    <x v="798"/>
    <d v="2011-06-18T00:00:00"/>
    <x v="1"/>
    <s v="500/1000"/>
    <n v="2000"/>
    <x v="794"/>
    <n v="0"/>
    <x v="794"/>
    <x v="1"/>
    <x v="0"/>
    <x v="3"/>
    <x v="8"/>
    <s v="own-child"/>
    <x v="1"/>
    <x v="303"/>
    <x v="52"/>
    <x v="3"/>
    <x v="1"/>
    <x v="3"/>
    <x v="1"/>
    <x v="1"/>
    <x v="4"/>
    <x v="798"/>
    <x v="3"/>
    <x v="0"/>
    <x v="0"/>
    <x v="1"/>
    <x v="3"/>
    <x v="1"/>
    <x v="121"/>
    <x v="75"/>
    <n v="660"/>
    <x v="626"/>
    <s v="Audi"/>
    <s v="A3"/>
    <n v="1998"/>
    <x v="1"/>
    <n v="0"/>
  </r>
  <r>
    <n v="95"/>
    <x v="22"/>
    <x v="799"/>
    <d v="1995-03-26T00:00:00"/>
    <x v="2"/>
    <s v="250/500"/>
    <n v="2000"/>
    <x v="795"/>
    <n v="0"/>
    <x v="795"/>
    <x v="0"/>
    <x v="3"/>
    <x v="10"/>
    <x v="17"/>
    <s v="unmarried"/>
    <x v="3"/>
    <x v="0"/>
    <x v="30"/>
    <x v="0"/>
    <x v="2"/>
    <x v="1"/>
    <x v="0"/>
    <x v="0"/>
    <x v="2"/>
    <x v="799"/>
    <x v="9"/>
    <x v="0"/>
    <x v="0"/>
    <x v="1"/>
    <x v="2"/>
    <x v="1"/>
    <x v="649"/>
    <x v="557"/>
    <n v="6960"/>
    <x v="544"/>
    <s v="Accura"/>
    <s v="MDX"/>
    <n v="1999"/>
    <x v="1"/>
    <n v="0"/>
  </r>
  <r>
    <n v="140"/>
    <x v="31"/>
    <x v="800"/>
    <d v="1991-05-03T00:00:00"/>
    <x v="1"/>
    <s v="250/500"/>
    <n v="500"/>
    <x v="796"/>
    <n v="0"/>
    <x v="796"/>
    <x v="1"/>
    <x v="6"/>
    <x v="3"/>
    <x v="15"/>
    <s v="not-in-family"/>
    <x v="285"/>
    <x v="0"/>
    <x v="42"/>
    <x v="2"/>
    <x v="2"/>
    <x v="1"/>
    <x v="3"/>
    <x v="2"/>
    <x v="1"/>
    <x v="800"/>
    <x v="15"/>
    <x v="1"/>
    <x v="1"/>
    <x v="2"/>
    <x v="1"/>
    <x v="0"/>
    <x v="406"/>
    <x v="558"/>
    <n v="7950"/>
    <x v="627"/>
    <s v="Chevrolet"/>
    <s v="Tahoe"/>
    <n v="2000"/>
    <x v="1"/>
    <n v="0"/>
  </r>
  <r>
    <n v="200"/>
    <x v="6"/>
    <x v="801"/>
    <d v="2001-12-19T00:00:00"/>
    <x v="1"/>
    <s v="250/500"/>
    <n v="1000"/>
    <x v="797"/>
    <n v="3000000"/>
    <x v="797"/>
    <x v="1"/>
    <x v="3"/>
    <x v="5"/>
    <x v="16"/>
    <s v="other-relative"/>
    <x v="1"/>
    <x v="0"/>
    <x v="12"/>
    <x v="0"/>
    <x v="3"/>
    <x v="2"/>
    <x v="0"/>
    <x v="2"/>
    <x v="2"/>
    <x v="801"/>
    <x v="15"/>
    <x v="0"/>
    <x v="1"/>
    <x v="2"/>
    <x v="0"/>
    <x v="2"/>
    <x v="400"/>
    <x v="559"/>
    <n v="5600"/>
    <x v="137"/>
    <s v="Chevrolet"/>
    <s v="Malibu"/>
    <n v="2009"/>
    <x v="1"/>
    <n v="0"/>
  </r>
  <r>
    <n v="123"/>
    <x v="2"/>
    <x v="802"/>
    <d v="2012-08-05T00:00:00"/>
    <x v="1"/>
    <s v="250/500"/>
    <n v="500"/>
    <x v="798"/>
    <n v="0"/>
    <x v="798"/>
    <x v="1"/>
    <x v="4"/>
    <x v="1"/>
    <x v="14"/>
    <s v="not-in-family"/>
    <x v="163"/>
    <x v="41"/>
    <x v="45"/>
    <x v="0"/>
    <x v="2"/>
    <x v="1"/>
    <x v="4"/>
    <x v="5"/>
    <x v="2"/>
    <x v="802"/>
    <x v="18"/>
    <x v="0"/>
    <x v="0"/>
    <x v="0"/>
    <x v="1"/>
    <x v="0"/>
    <x v="650"/>
    <x v="514"/>
    <n v="0"/>
    <x v="628"/>
    <s v="Volkswagen"/>
    <s v="Jetta"/>
    <n v="2014"/>
    <x v="0"/>
    <n v="0"/>
  </r>
  <r>
    <n v="267"/>
    <x v="35"/>
    <x v="803"/>
    <d v="2004-08-09T00:00:00"/>
    <x v="0"/>
    <s v="250/500"/>
    <n v="2000"/>
    <x v="799"/>
    <n v="0"/>
    <x v="799"/>
    <x v="0"/>
    <x v="0"/>
    <x v="0"/>
    <x v="5"/>
    <s v="unmarried"/>
    <x v="286"/>
    <x v="0"/>
    <x v="51"/>
    <x v="3"/>
    <x v="1"/>
    <x v="3"/>
    <x v="1"/>
    <x v="4"/>
    <x v="2"/>
    <x v="803"/>
    <x v="19"/>
    <x v="0"/>
    <x v="0"/>
    <x v="2"/>
    <x v="2"/>
    <x v="0"/>
    <x v="171"/>
    <x v="90"/>
    <n v="450"/>
    <x v="95"/>
    <s v="Toyota"/>
    <s v="Camry"/>
    <n v="1995"/>
    <x v="1"/>
    <n v="0"/>
  </r>
  <r>
    <n v="290"/>
    <x v="1"/>
    <x v="804"/>
    <d v="2014-01-20T00:00:00"/>
    <x v="1"/>
    <s v="500/1000"/>
    <n v="500"/>
    <x v="800"/>
    <n v="0"/>
    <x v="800"/>
    <x v="0"/>
    <x v="4"/>
    <x v="1"/>
    <x v="15"/>
    <s v="own-child"/>
    <x v="287"/>
    <x v="0"/>
    <x v="39"/>
    <x v="0"/>
    <x v="2"/>
    <x v="1"/>
    <x v="4"/>
    <x v="4"/>
    <x v="4"/>
    <x v="804"/>
    <x v="15"/>
    <x v="0"/>
    <x v="2"/>
    <x v="1"/>
    <x v="3"/>
    <x v="2"/>
    <x v="651"/>
    <x v="257"/>
    <n v="9600"/>
    <x v="14"/>
    <s v="Saab"/>
    <n v="95"/>
    <n v="2013"/>
    <x v="1"/>
    <n v="0"/>
  </r>
  <r>
    <n v="45"/>
    <x v="7"/>
    <x v="805"/>
    <d v="2011-12-19T00:00:00"/>
    <x v="1"/>
    <s v="250/500"/>
    <n v="1000"/>
    <x v="801"/>
    <n v="0"/>
    <x v="801"/>
    <x v="0"/>
    <x v="3"/>
    <x v="5"/>
    <x v="8"/>
    <s v="wife"/>
    <x v="1"/>
    <x v="0"/>
    <x v="17"/>
    <x v="0"/>
    <x v="0"/>
    <x v="0"/>
    <x v="2"/>
    <x v="0"/>
    <x v="2"/>
    <x v="805"/>
    <x v="17"/>
    <x v="0"/>
    <x v="0"/>
    <x v="1"/>
    <x v="3"/>
    <x v="0"/>
    <x v="320"/>
    <x v="560"/>
    <n v="5220"/>
    <x v="303"/>
    <s v="Nissan"/>
    <s v="Pathfinder"/>
    <n v="2005"/>
    <x v="1"/>
    <n v="0"/>
  </r>
  <r>
    <n v="186"/>
    <x v="11"/>
    <x v="806"/>
    <d v="2008-07-28T00:00:00"/>
    <x v="1"/>
    <s v="250/500"/>
    <n v="2000"/>
    <x v="802"/>
    <n v="0"/>
    <x v="802"/>
    <x v="1"/>
    <x v="6"/>
    <x v="9"/>
    <x v="8"/>
    <s v="unmarried"/>
    <x v="288"/>
    <x v="304"/>
    <x v="40"/>
    <x v="2"/>
    <x v="2"/>
    <x v="1"/>
    <x v="4"/>
    <x v="2"/>
    <x v="3"/>
    <x v="806"/>
    <x v="17"/>
    <x v="1"/>
    <x v="2"/>
    <x v="2"/>
    <x v="2"/>
    <x v="1"/>
    <x v="652"/>
    <x v="286"/>
    <n v="12300"/>
    <x v="300"/>
    <s v="Audi"/>
    <s v="A3"/>
    <n v="1995"/>
    <x v="1"/>
    <n v="0"/>
  </r>
  <r>
    <n v="135"/>
    <x v="6"/>
    <x v="807"/>
    <d v="1998-05-05T00:00:00"/>
    <x v="2"/>
    <s v="250/500"/>
    <n v="2000"/>
    <x v="803"/>
    <n v="0"/>
    <x v="803"/>
    <x v="1"/>
    <x v="6"/>
    <x v="9"/>
    <x v="5"/>
    <s v="other-relative"/>
    <x v="1"/>
    <x v="305"/>
    <x v="49"/>
    <x v="0"/>
    <x v="0"/>
    <x v="2"/>
    <x v="2"/>
    <x v="5"/>
    <x v="5"/>
    <x v="807"/>
    <x v="2"/>
    <x v="0"/>
    <x v="1"/>
    <x v="0"/>
    <x v="0"/>
    <x v="2"/>
    <x v="653"/>
    <x v="561"/>
    <n v="7820"/>
    <x v="629"/>
    <s v="Audi"/>
    <s v="A3"/>
    <n v="2009"/>
    <x v="1"/>
    <n v="0"/>
  </r>
  <r>
    <n v="110"/>
    <x v="8"/>
    <x v="808"/>
    <d v="1995-04-16T00:00:00"/>
    <x v="1"/>
    <s v="250/500"/>
    <n v="1000"/>
    <x v="804"/>
    <n v="0"/>
    <x v="804"/>
    <x v="0"/>
    <x v="2"/>
    <x v="6"/>
    <x v="4"/>
    <s v="husband"/>
    <x v="1"/>
    <x v="0"/>
    <x v="48"/>
    <x v="0"/>
    <x v="2"/>
    <x v="0"/>
    <x v="4"/>
    <x v="1"/>
    <x v="5"/>
    <x v="808"/>
    <x v="4"/>
    <x v="0"/>
    <x v="1"/>
    <x v="2"/>
    <x v="2"/>
    <x v="2"/>
    <x v="609"/>
    <x v="62"/>
    <n v="9200"/>
    <x v="588"/>
    <s v="Saab"/>
    <n v="93"/>
    <n v="2015"/>
    <x v="0"/>
    <n v="0"/>
  </r>
  <r>
    <n v="259"/>
    <x v="18"/>
    <x v="809"/>
    <d v="1992-02-14T00:00:00"/>
    <x v="2"/>
    <s v="500/1000"/>
    <n v="2000"/>
    <x v="805"/>
    <n v="0"/>
    <x v="805"/>
    <x v="1"/>
    <x v="1"/>
    <x v="11"/>
    <x v="15"/>
    <s v="own-child"/>
    <x v="1"/>
    <x v="306"/>
    <x v="5"/>
    <x v="2"/>
    <x v="0"/>
    <x v="2"/>
    <x v="3"/>
    <x v="2"/>
    <x v="5"/>
    <x v="809"/>
    <x v="19"/>
    <x v="1"/>
    <x v="2"/>
    <x v="1"/>
    <x v="0"/>
    <x v="0"/>
    <x v="210"/>
    <x v="3"/>
    <n v="6340"/>
    <x v="203"/>
    <s v="Ford"/>
    <s v="Fusion"/>
    <n v="2012"/>
    <x v="1"/>
    <n v="0"/>
  </r>
  <r>
    <n v="114"/>
    <x v="22"/>
    <x v="810"/>
    <d v="2007-07-11T00:00:00"/>
    <x v="0"/>
    <s v="250/500"/>
    <n v="1000"/>
    <x v="806"/>
    <n v="0"/>
    <x v="806"/>
    <x v="1"/>
    <x v="4"/>
    <x v="9"/>
    <x v="8"/>
    <s v="husband"/>
    <x v="1"/>
    <x v="307"/>
    <x v="54"/>
    <x v="1"/>
    <x v="1"/>
    <x v="1"/>
    <x v="1"/>
    <x v="4"/>
    <x v="2"/>
    <x v="810"/>
    <x v="19"/>
    <x v="0"/>
    <x v="2"/>
    <x v="1"/>
    <x v="2"/>
    <x v="0"/>
    <x v="433"/>
    <x v="387"/>
    <n v="520"/>
    <x v="630"/>
    <s v="Chevrolet"/>
    <s v="Malibu"/>
    <n v="2013"/>
    <x v="1"/>
    <n v="0"/>
  </r>
  <r>
    <n v="404"/>
    <x v="29"/>
    <x v="811"/>
    <d v="2010-04-07T00:00:00"/>
    <x v="1"/>
    <s v="250/500"/>
    <n v="1000"/>
    <x v="807"/>
    <n v="4000000"/>
    <x v="807"/>
    <x v="1"/>
    <x v="4"/>
    <x v="10"/>
    <x v="19"/>
    <s v="not-in-family"/>
    <x v="1"/>
    <x v="308"/>
    <x v="14"/>
    <x v="0"/>
    <x v="3"/>
    <x v="1"/>
    <x v="4"/>
    <x v="1"/>
    <x v="4"/>
    <x v="811"/>
    <x v="6"/>
    <x v="0"/>
    <x v="2"/>
    <x v="2"/>
    <x v="1"/>
    <x v="0"/>
    <x v="33"/>
    <x v="223"/>
    <n v="5310"/>
    <x v="392"/>
    <s v="Accura"/>
    <s v="MDX"/>
    <n v="2005"/>
    <x v="0"/>
    <n v="0"/>
  </r>
  <r>
    <n v="282"/>
    <x v="0"/>
    <x v="812"/>
    <d v="1991-03-10T00:00:00"/>
    <x v="0"/>
    <s v="500/1000"/>
    <n v="2000"/>
    <x v="808"/>
    <n v="7000000"/>
    <x v="808"/>
    <x v="1"/>
    <x v="0"/>
    <x v="5"/>
    <x v="17"/>
    <s v="husband"/>
    <x v="130"/>
    <x v="161"/>
    <x v="47"/>
    <x v="1"/>
    <x v="1"/>
    <x v="1"/>
    <x v="1"/>
    <x v="4"/>
    <x v="3"/>
    <x v="812"/>
    <x v="2"/>
    <x v="0"/>
    <x v="1"/>
    <x v="0"/>
    <x v="0"/>
    <x v="2"/>
    <x v="654"/>
    <x v="214"/>
    <n v="320"/>
    <x v="431"/>
    <s v="Accura"/>
    <s v="MDX"/>
    <n v="2013"/>
    <x v="1"/>
    <n v="0"/>
  </r>
  <r>
    <n v="57"/>
    <x v="20"/>
    <x v="813"/>
    <d v="1996-01-20T00:00:00"/>
    <x v="2"/>
    <s v="500/1000"/>
    <n v="2000"/>
    <x v="809"/>
    <n v="0"/>
    <x v="809"/>
    <x v="1"/>
    <x v="4"/>
    <x v="4"/>
    <x v="8"/>
    <s v="own-child"/>
    <x v="98"/>
    <x v="167"/>
    <x v="29"/>
    <x v="2"/>
    <x v="3"/>
    <x v="2"/>
    <x v="4"/>
    <x v="1"/>
    <x v="1"/>
    <x v="813"/>
    <x v="5"/>
    <x v="1"/>
    <x v="2"/>
    <x v="1"/>
    <x v="3"/>
    <x v="0"/>
    <x v="655"/>
    <x v="562"/>
    <n v="14580"/>
    <x v="631"/>
    <s v="Nissan"/>
    <s v="Maxima"/>
    <n v="2010"/>
    <x v="1"/>
    <n v="0"/>
  </r>
  <r>
    <n v="215"/>
    <x v="11"/>
    <x v="814"/>
    <d v="2010-03-01T00:00:00"/>
    <x v="1"/>
    <s v="250/500"/>
    <n v="500"/>
    <x v="810"/>
    <n v="0"/>
    <x v="810"/>
    <x v="1"/>
    <x v="1"/>
    <x v="0"/>
    <x v="7"/>
    <s v="unmarried"/>
    <x v="1"/>
    <x v="0"/>
    <x v="52"/>
    <x v="0"/>
    <x v="2"/>
    <x v="2"/>
    <x v="0"/>
    <x v="0"/>
    <x v="2"/>
    <x v="814"/>
    <x v="15"/>
    <x v="0"/>
    <x v="1"/>
    <x v="1"/>
    <x v="3"/>
    <x v="2"/>
    <x v="656"/>
    <x v="563"/>
    <n v="14140"/>
    <x v="499"/>
    <s v="Volkswagen"/>
    <s v="Passat"/>
    <n v="2008"/>
    <x v="1"/>
    <n v="0"/>
  </r>
  <r>
    <n v="140"/>
    <x v="22"/>
    <x v="815"/>
    <d v="2014-06-15T00:00:00"/>
    <x v="2"/>
    <s v="100/300"/>
    <n v="500"/>
    <x v="811"/>
    <n v="0"/>
    <x v="811"/>
    <x v="1"/>
    <x v="3"/>
    <x v="12"/>
    <x v="4"/>
    <s v="wife"/>
    <x v="289"/>
    <x v="0"/>
    <x v="18"/>
    <x v="2"/>
    <x v="0"/>
    <x v="1"/>
    <x v="3"/>
    <x v="0"/>
    <x v="0"/>
    <x v="815"/>
    <x v="14"/>
    <x v="2"/>
    <x v="1"/>
    <x v="1"/>
    <x v="1"/>
    <x v="1"/>
    <x v="37"/>
    <x v="564"/>
    <n v="10940"/>
    <x v="632"/>
    <s v="Nissan"/>
    <s v="Pathfinder"/>
    <n v="2006"/>
    <x v="1"/>
    <n v="0"/>
  </r>
  <r>
    <n v="250"/>
    <x v="1"/>
    <x v="816"/>
    <d v="2004-11-25T00:00:00"/>
    <x v="1"/>
    <s v="100/300"/>
    <n v="500"/>
    <x v="812"/>
    <n v="0"/>
    <x v="812"/>
    <x v="0"/>
    <x v="5"/>
    <x v="8"/>
    <x v="13"/>
    <s v="husband"/>
    <x v="219"/>
    <x v="309"/>
    <x v="28"/>
    <x v="0"/>
    <x v="2"/>
    <x v="0"/>
    <x v="3"/>
    <x v="0"/>
    <x v="0"/>
    <x v="816"/>
    <x v="16"/>
    <x v="0"/>
    <x v="1"/>
    <x v="0"/>
    <x v="3"/>
    <x v="1"/>
    <x v="657"/>
    <x v="263"/>
    <n v="6800"/>
    <x v="633"/>
    <s v="Ford"/>
    <s v="Fusion"/>
    <n v="2009"/>
    <x v="0"/>
    <n v="0"/>
  </r>
  <r>
    <n v="286"/>
    <x v="3"/>
    <x v="817"/>
    <d v="2000-08-26T00:00:00"/>
    <x v="2"/>
    <s v="250/500"/>
    <n v="1000"/>
    <x v="813"/>
    <n v="0"/>
    <x v="813"/>
    <x v="0"/>
    <x v="3"/>
    <x v="5"/>
    <x v="13"/>
    <s v="wife"/>
    <x v="290"/>
    <x v="0"/>
    <x v="17"/>
    <x v="1"/>
    <x v="1"/>
    <x v="3"/>
    <x v="0"/>
    <x v="4"/>
    <x v="5"/>
    <x v="817"/>
    <x v="19"/>
    <x v="0"/>
    <x v="0"/>
    <x v="2"/>
    <x v="1"/>
    <x v="1"/>
    <x v="658"/>
    <x v="398"/>
    <n v="410"/>
    <x v="128"/>
    <s v="Chevrolet"/>
    <s v="Malibu"/>
    <n v="2009"/>
    <x v="1"/>
    <n v="0"/>
  </r>
  <r>
    <n v="356"/>
    <x v="26"/>
    <x v="818"/>
    <d v="2005-08-23T00:00:00"/>
    <x v="1"/>
    <s v="250/500"/>
    <n v="2000"/>
    <x v="814"/>
    <n v="0"/>
    <x v="814"/>
    <x v="0"/>
    <x v="5"/>
    <x v="5"/>
    <x v="7"/>
    <s v="husband"/>
    <x v="1"/>
    <x v="0"/>
    <x v="43"/>
    <x v="0"/>
    <x v="0"/>
    <x v="1"/>
    <x v="3"/>
    <x v="0"/>
    <x v="0"/>
    <x v="818"/>
    <x v="0"/>
    <x v="0"/>
    <x v="0"/>
    <x v="1"/>
    <x v="2"/>
    <x v="1"/>
    <x v="241"/>
    <x v="227"/>
    <n v="11180"/>
    <x v="236"/>
    <s v="Dodge"/>
    <s v="RAM"/>
    <n v="2009"/>
    <x v="1"/>
    <n v="0"/>
  </r>
  <r>
    <n v="65"/>
    <x v="2"/>
    <x v="819"/>
    <d v="1990-08-09T00:00:00"/>
    <x v="2"/>
    <s v="250/500"/>
    <n v="1000"/>
    <x v="815"/>
    <n v="0"/>
    <x v="815"/>
    <x v="0"/>
    <x v="5"/>
    <x v="6"/>
    <x v="16"/>
    <s v="own-child"/>
    <x v="1"/>
    <x v="0"/>
    <x v="21"/>
    <x v="1"/>
    <x v="1"/>
    <x v="3"/>
    <x v="1"/>
    <x v="1"/>
    <x v="4"/>
    <x v="819"/>
    <x v="8"/>
    <x v="0"/>
    <x v="1"/>
    <x v="1"/>
    <x v="1"/>
    <x v="1"/>
    <x v="205"/>
    <x v="565"/>
    <n v="1440"/>
    <x v="13"/>
    <s v="Audi"/>
    <s v="A5"/>
    <n v="1999"/>
    <x v="1"/>
    <n v="0"/>
  </r>
  <r>
    <n v="187"/>
    <x v="6"/>
    <x v="820"/>
    <d v="2003-03-28T00:00:00"/>
    <x v="1"/>
    <s v="500/1000"/>
    <n v="500"/>
    <x v="816"/>
    <n v="0"/>
    <x v="816"/>
    <x v="1"/>
    <x v="1"/>
    <x v="1"/>
    <x v="18"/>
    <s v="not-in-family"/>
    <x v="291"/>
    <x v="0"/>
    <x v="2"/>
    <x v="2"/>
    <x v="0"/>
    <x v="1"/>
    <x v="2"/>
    <x v="2"/>
    <x v="2"/>
    <x v="820"/>
    <x v="2"/>
    <x v="1"/>
    <x v="1"/>
    <x v="1"/>
    <x v="1"/>
    <x v="1"/>
    <x v="659"/>
    <x v="566"/>
    <n v="4100"/>
    <x v="634"/>
    <s v="Nissan"/>
    <s v="Pathfinder"/>
    <n v="2011"/>
    <x v="1"/>
    <n v="0"/>
  </r>
  <r>
    <n v="386"/>
    <x v="38"/>
    <x v="821"/>
    <d v="2007-10-23T00:00:00"/>
    <x v="0"/>
    <s v="250/500"/>
    <n v="500"/>
    <x v="817"/>
    <n v="0"/>
    <x v="817"/>
    <x v="0"/>
    <x v="6"/>
    <x v="0"/>
    <x v="7"/>
    <s v="not-in-family"/>
    <x v="292"/>
    <x v="0"/>
    <x v="28"/>
    <x v="0"/>
    <x v="3"/>
    <x v="1"/>
    <x v="0"/>
    <x v="4"/>
    <x v="5"/>
    <x v="821"/>
    <x v="16"/>
    <x v="0"/>
    <x v="1"/>
    <x v="2"/>
    <x v="2"/>
    <x v="0"/>
    <x v="604"/>
    <x v="567"/>
    <n v="6060"/>
    <x v="635"/>
    <s v="Honda"/>
    <s v="Civic"/>
    <n v="2006"/>
    <x v="1"/>
    <n v="0"/>
  </r>
  <r>
    <n v="197"/>
    <x v="3"/>
    <x v="822"/>
    <d v="1996-06-27T00:00:00"/>
    <x v="0"/>
    <s v="500/1000"/>
    <n v="1000"/>
    <x v="818"/>
    <n v="0"/>
    <x v="818"/>
    <x v="1"/>
    <x v="1"/>
    <x v="5"/>
    <x v="16"/>
    <s v="not-in-family"/>
    <x v="1"/>
    <x v="270"/>
    <x v="3"/>
    <x v="0"/>
    <x v="3"/>
    <x v="0"/>
    <x v="0"/>
    <x v="5"/>
    <x v="6"/>
    <x v="822"/>
    <x v="13"/>
    <x v="0"/>
    <x v="2"/>
    <x v="2"/>
    <x v="0"/>
    <x v="0"/>
    <x v="473"/>
    <x v="417"/>
    <n v="7640"/>
    <x v="453"/>
    <s v="Volkswagen"/>
    <s v="Jetta"/>
    <n v="1997"/>
    <x v="0"/>
    <n v="0"/>
  </r>
  <r>
    <n v="166"/>
    <x v="7"/>
    <x v="823"/>
    <d v="1994-12-11T00:00:00"/>
    <x v="1"/>
    <s v="250/500"/>
    <n v="500"/>
    <x v="819"/>
    <n v="0"/>
    <x v="819"/>
    <x v="1"/>
    <x v="0"/>
    <x v="0"/>
    <x v="15"/>
    <s v="not-in-family"/>
    <x v="1"/>
    <x v="0"/>
    <x v="0"/>
    <x v="0"/>
    <x v="2"/>
    <x v="2"/>
    <x v="4"/>
    <x v="7"/>
    <x v="1"/>
    <x v="823"/>
    <x v="15"/>
    <x v="0"/>
    <x v="0"/>
    <x v="0"/>
    <x v="3"/>
    <x v="2"/>
    <x v="81"/>
    <x v="568"/>
    <n v="10600"/>
    <x v="636"/>
    <s v="Ford"/>
    <s v="F150"/>
    <n v="2001"/>
    <x v="1"/>
    <n v="0"/>
  </r>
  <r>
    <n v="293"/>
    <x v="24"/>
    <x v="824"/>
    <d v="1995-12-05T00:00:00"/>
    <x v="2"/>
    <s v="100/300"/>
    <n v="2000"/>
    <x v="820"/>
    <n v="0"/>
    <x v="820"/>
    <x v="1"/>
    <x v="6"/>
    <x v="10"/>
    <x v="9"/>
    <s v="husband"/>
    <x v="293"/>
    <x v="0"/>
    <x v="3"/>
    <x v="0"/>
    <x v="3"/>
    <x v="2"/>
    <x v="0"/>
    <x v="0"/>
    <x v="1"/>
    <x v="824"/>
    <x v="4"/>
    <x v="0"/>
    <x v="1"/>
    <x v="0"/>
    <x v="3"/>
    <x v="1"/>
    <x v="660"/>
    <x v="569"/>
    <n v="10420"/>
    <x v="637"/>
    <s v="Volkswagen"/>
    <s v="Passat"/>
    <n v="2002"/>
    <x v="1"/>
    <n v="0"/>
  </r>
  <r>
    <n v="179"/>
    <x v="30"/>
    <x v="825"/>
    <d v="1996-12-15T00:00:00"/>
    <x v="0"/>
    <s v="500/1000"/>
    <n v="2000"/>
    <x v="821"/>
    <n v="0"/>
    <x v="821"/>
    <x v="1"/>
    <x v="1"/>
    <x v="7"/>
    <x v="10"/>
    <s v="own-child"/>
    <x v="1"/>
    <x v="0"/>
    <x v="21"/>
    <x v="0"/>
    <x v="3"/>
    <x v="1"/>
    <x v="2"/>
    <x v="2"/>
    <x v="2"/>
    <x v="825"/>
    <x v="15"/>
    <x v="0"/>
    <x v="1"/>
    <x v="1"/>
    <x v="3"/>
    <x v="1"/>
    <x v="33"/>
    <x v="225"/>
    <n v="5900"/>
    <x v="638"/>
    <s v="Suburu"/>
    <s v="Impreza"/>
    <n v="2006"/>
    <x v="1"/>
    <n v="0"/>
  </r>
  <r>
    <n v="76"/>
    <x v="39"/>
    <x v="826"/>
    <d v="2011-06-06T00:00:00"/>
    <x v="0"/>
    <s v="250/500"/>
    <n v="1000"/>
    <x v="822"/>
    <n v="0"/>
    <x v="822"/>
    <x v="1"/>
    <x v="0"/>
    <x v="7"/>
    <x v="13"/>
    <s v="husband"/>
    <x v="1"/>
    <x v="0"/>
    <x v="32"/>
    <x v="2"/>
    <x v="0"/>
    <x v="2"/>
    <x v="4"/>
    <x v="4"/>
    <x v="1"/>
    <x v="826"/>
    <x v="13"/>
    <x v="1"/>
    <x v="2"/>
    <x v="0"/>
    <x v="3"/>
    <x v="1"/>
    <x v="104"/>
    <x v="518"/>
    <n v="7470"/>
    <x v="106"/>
    <s v="Suburu"/>
    <s v="Forrestor"/>
    <n v="1997"/>
    <x v="1"/>
    <n v="0"/>
  </r>
  <r>
    <n v="105"/>
    <x v="23"/>
    <x v="827"/>
    <d v="1995-12-13T00:00:00"/>
    <x v="0"/>
    <s v="250/500"/>
    <n v="500"/>
    <x v="823"/>
    <n v="0"/>
    <x v="823"/>
    <x v="1"/>
    <x v="2"/>
    <x v="5"/>
    <x v="6"/>
    <s v="own-child"/>
    <x v="1"/>
    <x v="0"/>
    <x v="27"/>
    <x v="2"/>
    <x v="2"/>
    <x v="0"/>
    <x v="2"/>
    <x v="0"/>
    <x v="1"/>
    <x v="827"/>
    <x v="11"/>
    <x v="1"/>
    <x v="2"/>
    <x v="2"/>
    <x v="0"/>
    <x v="2"/>
    <x v="536"/>
    <x v="273"/>
    <n v="6050"/>
    <x v="639"/>
    <s v="Audi"/>
    <s v="A5"/>
    <n v="1995"/>
    <x v="1"/>
    <n v="0"/>
  </r>
  <r>
    <n v="97"/>
    <x v="13"/>
    <x v="828"/>
    <d v="1997-10-28T00:00:00"/>
    <x v="0"/>
    <s v="250/500"/>
    <n v="1000"/>
    <x v="824"/>
    <n v="0"/>
    <x v="824"/>
    <x v="0"/>
    <x v="4"/>
    <x v="9"/>
    <x v="14"/>
    <s v="unmarried"/>
    <x v="1"/>
    <x v="310"/>
    <x v="39"/>
    <x v="2"/>
    <x v="0"/>
    <x v="2"/>
    <x v="3"/>
    <x v="5"/>
    <x v="1"/>
    <x v="828"/>
    <x v="15"/>
    <x v="1"/>
    <x v="0"/>
    <x v="2"/>
    <x v="2"/>
    <x v="2"/>
    <x v="661"/>
    <x v="570"/>
    <n v="15440"/>
    <x v="640"/>
    <s v="Jeep"/>
    <s v="Wrangler"/>
    <n v="2006"/>
    <x v="0"/>
    <n v="0"/>
  </r>
  <r>
    <n v="148"/>
    <x v="31"/>
    <x v="829"/>
    <d v="1996-01-04T00:00:00"/>
    <x v="2"/>
    <s v="500/1000"/>
    <n v="1000"/>
    <x v="825"/>
    <n v="5000000"/>
    <x v="825"/>
    <x v="1"/>
    <x v="0"/>
    <x v="12"/>
    <x v="11"/>
    <s v="own-child"/>
    <x v="205"/>
    <x v="0"/>
    <x v="3"/>
    <x v="0"/>
    <x v="0"/>
    <x v="2"/>
    <x v="0"/>
    <x v="7"/>
    <x v="6"/>
    <x v="829"/>
    <x v="5"/>
    <x v="0"/>
    <x v="2"/>
    <x v="2"/>
    <x v="1"/>
    <x v="2"/>
    <x v="662"/>
    <x v="167"/>
    <n v="11100"/>
    <x v="641"/>
    <s v="Dodge"/>
    <s v="Neon"/>
    <n v="2009"/>
    <x v="1"/>
    <n v="0"/>
  </r>
  <r>
    <n v="77"/>
    <x v="13"/>
    <x v="830"/>
    <d v="2008-05-09T00:00:00"/>
    <x v="2"/>
    <s v="250/500"/>
    <n v="2000"/>
    <x v="826"/>
    <n v="0"/>
    <x v="826"/>
    <x v="0"/>
    <x v="6"/>
    <x v="8"/>
    <x v="10"/>
    <s v="other-relative"/>
    <x v="23"/>
    <x v="0"/>
    <x v="22"/>
    <x v="2"/>
    <x v="2"/>
    <x v="0"/>
    <x v="0"/>
    <x v="2"/>
    <x v="4"/>
    <x v="830"/>
    <x v="11"/>
    <x v="1"/>
    <x v="0"/>
    <x v="2"/>
    <x v="1"/>
    <x v="1"/>
    <x v="663"/>
    <x v="571"/>
    <n v="6280"/>
    <x v="45"/>
    <s v="Audi"/>
    <s v="A5"/>
    <n v="2009"/>
    <x v="0"/>
    <n v="0"/>
  </r>
  <r>
    <n v="295"/>
    <x v="35"/>
    <x v="831"/>
    <d v="2009-12-05T00:00:00"/>
    <x v="1"/>
    <s v="250/500"/>
    <n v="500"/>
    <x v="827"/>
    <n v="0"/>
    <x v="827"/>
    <x v="1"/>
    <x v="6"/>
    <x v="5"/>
    <x v="13"/>
    <s v="own-child"/>
    <x v="196"/>
    <x v="74"/>
    <x v="29"/>
    <x v="1"/>
    <x v="1"/>
    <x v="1"/>
    <x v="1"/>
    <x v="1"/>
    <x v="2"/>
    <x v="831"/>
    <x v="15"/>
    <x v="0"/>
    <x v="0"/>
    <x v="0"/>
    <x v="2"/>
    <x v="0"/>
    <x v="664"/>
    <x v="572"/>
    <n v="380"/>
    <x v="642"/>
    <s v="Nissan"/>
    <s v="Pathfinder"/>
    <n v="2007"/>
    <x v="1"/>
    <n v="0"/>
  </r>
  <r>
    <n v="126"/>
    <x v="23"/>
    <x v="832"/>
    <d v="1992-01-05T00:00:00"/>
    <x v="1"/>
    <s v="250/500"/>
    <n v="500"/>
    <x v="828"/>
    <n v="0"/>
    <x v="828"/>
    <x v="1"/>
    <x v="6"/>
    <x v="1"/>
    <x v="9"/>
    <s v="other-relative"/>
    <x v="1"/>
    <x v="0"/>
    <x v="17"/>
    <x v="2"/>
    <x v="2"/>
    <x v="2"/>
    <x v="0"/>
    <x v="4"/>
    <x v="5"/>
    <x v="832"/>
    <x v="19"/>
    <x v="2"/>
    <x v="2"/>
    <x v="1"/>
    <x v="3"/>
    <x v="1"/>
    <x v="665"/>
    <x v="573"/>
    <n v="11300"/>
    <x v="643"/>
    <s v="Ford"/>
    <s v="F150"/>
    <n v="2011"/>
    <x v="1"/>
    <n v="0"/>
  </r>
  <r>
    <n v="132"/>
    <x v="30"/>
    <x v="833"/>
    <d v="1997-11-15T00:00:00"/>
    <x v="0"/>
    <s v="250/500"/>
    <n v="2000"/>
    <x v="829"/>
    <n v="0"/>
    <x v="829"/>
    <x v="0"/>
    <x v="1"/>
    <x v="6"/>
    <x v="1"/>
    <s v="wife"/>
    <x v="294"/>
    <x v="311"/>
    <x v="22"/>
    <x v="1"/>
    <x v="1"/>
    <x v="1"/>
    <x v="0"/>
    <x v="0"/>
    <x v="1"/>
    <x v="833"/>
    <x v="7"/>
    <x v="0"/>
    <x v="0"/>
    <x v="0"/>
    <x v="3"/>
    <x v="0"/>
    <x v="94"/>
    <x v="13"/>
    <n v="560"/>
    <x v="148"/>
    <s v="Suburu"/>
    <s v="Legacy"/>
    <n v="2005"/>
    <x v="1"/>
    <n v="0"/>
  </r>
  <r>
    <n v="370"/>
    <x v="16"/>
    <x v="834"/>
    <d v="2012-12-22T00:00:00"/>
    <x v="1"/>
    <s v="500/1000"/>
    <n v="2000"/>
    <x v="830"/>
    <n v="7000000"/>
    <x v="830"/>
    <x v="0"/>
    <x v="6"/>
    <x v="6"/>
    <x v="16"/>
    <s v="wife"/>
    <x v="1"/>
    <x v="312"/>
    <x v="4"/>
    <x v="1"/>
    <x v="1"/>
    <x v="1"/>
    <x v="1"/>
    <x v="5"/>
    <x v="6"/>
    <x v="834"/>
    <x v="13"/>
    <x v="0"/>
    <x v="1"/>
    <x v="1"/>
    <x v="0"/>
    <x v="1"/>
    <x v="666"/>
    <x v="90"/>
    <n v="1800"/>
    <x v="589"/>
    <s v="Mercedes"/>
    <s v="ML350"/>
    <n v="2015"/>
    <x v="1"/>
    <n v="0"/>
  </r>
  <r>
    <n v="257"/>
    <x v="18"/>
    <x v="835"/>
    <d v="1992-05-19T00:00:00"/>
    <x v="1"/>
    <s v="100/300"/>
    <n v="1000"/>
    <x v="831"/>
    <n v="0"/>
    <x v="831"/>
    <x v="1"/>
    <x v="6"/>
    <x v="10"/>
    <x v="15"/>
    <s v="other-relative"/>
    <x v="119"/>
    <x v="0"/>
    <x v="33"/>
    <x v="0"/>
    <x v="2"/>
    <x v="2"/>
    <x v="0"/>
    <x v="1"/>
    <x v="5"/>
    <x v="835"/>
    <x v="5"/>
    <x v="0"/>
    <x v="2"/>
    <x v="1"/>
    <x v="3"/>
    <x v="0"/>
    <x v="667"/>
    <x v="574"/>
    <n v="7110"/>
    <x v="644"/>
    <s v="Nissan"/>
    <s v="Pathfinder"/>
    <n v="2006"/>
    <x v="1"/>
    <n v="0"/>
  </r>
  <r>
    <n v="9"/>
    <x v="39"/>
    <x v="836"/>
    <d v="2002-05-25T00:00:00"/>
    <x v="2"/>
    <s v="100/300"/>
    <n v="2000"/>
    <x v="832"/>
    <n v="0"/>
    <x v="832"/>
    <x v="1"/>
    <x v="1"/>
    <x v="1"/>
    <x v="6"/>
    <s v="other-relative"/>
    <x v="187"/>
    <x v="130"/>
    <x v="50"/>
    <x v="1"/>
    <x v="1"/>
    <x v="3"/>
    <x v="1"/>
    <x v="5"/>
    <x v="2"/>
    <x v="836"/>
    <x v="13"/>
    <x v="0"/>
    <x v="2"/>
    <x v="1"/>
    <x v="2"/>
    <x v="0"/>
    <x v="160"/>
    <x v="575"/>
    <n v="1080"/>
    <x v="260"/>
    <s v="Audi"/>
    <s v="A5"/>
    <n v="2001"/>
    <x v="0"/>
    <n v="0"/>
  </r>
  <r>
    <n v="185"/>
    <x v="6"/>
    <x v="837"/>
    <d v="2010-04-21T00:00:00"/>
    <x v="0"/>
    <s v="250/500"/>
    <n v="500"/>
    <x v="833"/>
    <n v="0"/>
    <x v="833"/>
    <x v="1"/>
    <x v="1"/>
    <x v="3"/>
    <x v="10"/>
    <s v="husband"/>
    <x v="1"/>
    <x v="0"/>
    <x v="7"/>
    <x v="2"/>
    <x v="0"/>
    <x v="0"/>
    <x v="2"/>
    <x v="0"/>
    <x v="2"/>
    <x v="837"/>
    <x v="3"/>
    <x v="1"/>
    <x v="0"/>
    <x v="0"/>
    <x v="3"/>
    <x v="1"/>
    <x v="668"/>
    <x v="576"/>
    <n v="4670"/>
    <x v="645"/>
    <s v="BMW"/>
    <s v="M5"/>
    <n v="2000"/>
    <x v="0"/>
    <n v="0"/>
  </r>
  <r>
    <n v="234"/>
    <x v="18"/>
    <x v="838"/>
    <d v="1990-03-26T00:00:00"/>
    <x v="0"/>
    <s v="250/500"/>
    <n v="500"/>
    <x v="834"/>
    <n v="0"/>
    <x v="834"/>
    <x v="0"/>
    <x v="2"/>
    <x v="9"/>
    <x v="1"/>
    <s v="own-child"/>
    <x v="1"/>
    <x v="313"/>
    <x v="44"/>
    <x v="0"/>
    <x v="2"/>
    <x v="0"/>
    <x v="0"/>
    <x v="0"/>
    <x v="6"/>
    <x v="838"/>
    <x v="14"/>
    <x v="0"/>
    <x v="2"/>
    <x v="2"/>
    <x v="0"/>
    <x v="0"/>
    <x v="669"/>
    <x v="577"/>
    <n v="5160"/>
    <x v="646"/>
    <s v="Dodge"/>
    <s v="Neon"/>
    <n v="2011"/>
    <x v="1"/>
    <n v="0"/>
  </r>
  <r>
    <n v="253"/>
    <x v="4"/>
    <x v="839"/>
    <d v="2007-05-12T00:00:00"/>
    <x v="0"/>
    <s v="100/300"/>
    <n v="2000"/>
    <x v="835"/>
    <n v="0"/>
    <x v="835"/>
    <x v="1"/>
    <x v="5"/>
    <x v="13"/>
    <x v="6"/>
    <s v="own-child"/>
    <x v="295"/>
    <x v="0"/>
    <x v="56"/>
    <x v="3"/>
    <x v="1"/>
    <x v="3"/>
    <x v="1"/>
    <x v="0"/>
    <x v="2"/>
    <x v="839"/>
    <x v="10"/>
    <x v="0"/>
    <x v="2"/>
    <x v="1"/>
    <x v="2"/>
    <x v="1"/>
    <x v="93"/>
    <x v="251"/>
    <n v="600"/>
    <x v="96"/>
    <s v="Chevrolet"/>
    <s v="Malibu"/>
    <n v="1998"/>
    <x v="1"/>
    <n v="0"/>
  </r>
  <r>
    <n v="233"/>
    <x v="5"/>
    <x v="840"/>
    <d v="2001-01-02T00:00:00"/>
    <x v="0"/>
    <s v="500/1000"/>
    <n v="2000"/>
    <x v="836"/>
    <n v="0"/>
    <x v="836"/>
    <x v="0"/>
    <x v="6"/>
    <x v="0"/>
    <x v="1"/>
    <s v="unmarried"/>
    <x v="1"/>
    <x v="0"/>
    <x v="13"/>
    <x v="2"/>
    <x v="2"/>
    <x v="1"/>
    <x v="2"/>
    <x v="0"/>
    <x v="6"/>
    <x v="840"/>
    <x v="3"/>
    <x v="1"/>
    <x v="1"/>
    <x v="0"/>
    <x v="1"/>
    <x v="0"/>
    <x v="670"/>
    <x v="578"/>
    <n v="5430"/>
    <x v="75"/>
    <s v="Saab"/>
    <n v="95"/>
    <n v="1999"/>
    <x v="1"/>
    <n v="0"/>
  </r>
  <r>
    <n v="274"/>
    <x v="4"/>
    <x v="841"/>
    <d v="2006-08-10T00:00:00"/>
    <x v="1"/>
    <s v="500/1000"/>
    <n v="500"/>
    <x v="837"/>
    <n v="0"/>
    <x v="837"/>
    <x v="1"/>
    <x v="6"/>
    <x v="4"/>
    <x v="1"/>
    <s v="husband"/>
    <x v="1"/>
    <x v="0"/>
    <x v="53"/>
    <x v="1"/>
    <x v="1"/>
    <x v="1"/>
    <x v="0"/>
    <x v="4"/>
    <x v="3"/>
    <x v="841"/>
    <x v="2"/>
    <x v="0"/>
    <x v="2"/>
    <x v="2"/>
    <x v="3"/>
    <x v="1"/>
    <x v="671"/>
    <x v="63"/>
    <n v="860"/>
    <x v="647"/>
    <s v="BMW"/>
    <s v="X5"/>
    <n v="2000"/>
    <x v="1"/>
    <n v="0"/>
  </r>
  <r>
    <n v="297"/>
    <x v="0"/>
    <x v="842"/>
    <d v="2014-07-28T00:00:00"/>
    <x v="2"/>
    <s v="500/1000"/>
    <n v="1000"/>
    <x v="838"/>
    <n v="0"/>
    <x v="838"/>
    <x v="0"/>
    <x v="4"/>
    <x v="9"/>
    <x v="7"/>
    <s v="wife"/>
    <x v="1"/>
    <x v="314"/>
    <x v="41"/>
    <x v="2"/>
    <x v="3"/>
    <x v="0"/>
    <x v="3"/>
    <x v="2"/>
    <x v="3"/>
    <x v="842"/>
    <x v="22"/>
    <x v="1"/>
    <x v="1"/>
    <x v="1"/>
    <x v="0"/>
    <x v="1"/>
    <x v="672"/>
    <x v="408"/>
    <n v="0"/>
    <x v="648"/>
    <s v="Toyota"/>
    <s v="Corolla"/>
    <n v="2002"/>
    <x v="0"/>
    <n v="0"/>
  </r>
  <r>
    <n v="273"/>
    <x v="26"/>
    <x v="843"/>
    <d v="2011-09-27T00:00:00"/>
    <x v="0"/>
    <s v="500/1000"/>
    <n v="1000"/>
    <x v="839"/>
    <n v="0"/>
    <x v="839"/>
    <x v="1"/>
    <x v="2"/>
    <x v="5"/>
    <x v="17"/>
    <s v="own-child"/>
    <x v="37"/>
    <x v="0"/>
    <x v="27"/>
    <x v="2"/>
    <x v="0"/>
    <x v="1"/>
    <x v="0"/>
    <x v="1"/>
    <x v="6"/>
    <x v="843"/>
    <x v="5"/>
    <x v="1"/>
    <x v="2"/>
    <x v="0"/>
    <x v="2"/>
    <x v="1"/>
    <x v="673"/>
    <x v="579"/>
    <n v="3980"/>
    <x v="649"/>
    <s v="Jeep"/>
    <s v="Wrangler"/>
    <n v="2014"/>
    <x v="1"/>
    <n v="0"/>
  </r>
  <r>
    <n v="147"/>
    <x v="7"/>
    <x v="844"/>
    <d v="2013-04-20T00:00:00"/>
    <x v="1"/>
    <s v="500/1000"/>
    <n v="2000"/>
    <x v="840"/>
    <n v="0"/>
    <x v="840"/>
    <x v="1"/>
    <x v="4"/>
    <x v="3"/>
    <x v="14"/>
    <s v="own-child"/>
    <x v="1"/>
    <x v="0"/>
    <x v="50"/>
    <x v="2"/>
    <x v="0"/>
    <x v="0"/>
    <x v="4"/>
    <x v="0"/>
    <x v="0"/>
    <x v="844"/>
    <x v="20"/>
    <x v="1"/>
    <x v="1"/>
    <x v="1"/>
    <x v="3"/>
    <x v="1"/>
    <x v="573"/>
    <x v="500"/>
    <n v="6240"/>
    <x v="650"/>
    <s v="Ford"/>
    <s v="Fusion"/>
    <n v="2015"/>
    <x v="0"/>
    <n v="0"/>
  </r>
  <r>
    <n v="285"/>
    <x v="1"/>
    <x v="845"/>
    <d v="1991-03-20T00:00:00"/>
    <x v="1"/>
    <s v="100/300"/>
    <n v="500"/>
    <x v="830"/>
    <n v="0"/>
    <x v="841"/>
    <x v="0"/>
    <x v="2"/>
    <x v="7"/>
    <x v="6"/>
    <s v="not-in-family"/>
    <x v="98"/>
    <x v="315"/>
    <x v="49"/>
    <x v="0"/>
    <x v="0"/>
    <x v="2"/>
    <x v="2"/>
    <x v="1"/>
    <x v="4"/>
    <x v="845"/>
    <x v="21"/>
    <x v="0"/>
    <x v="2"/>
    <x v="1"/>
    <x v="2"/>
    <x v="1"/>
    <x v="269"/>
    <x v="580"/>
    <n v="10540"/>
    <x v="651"/>
    <s v="Toyota"/>
    <s v="Corolla"/>
    <n v="2005"/>
    <x v="1"/>
    <n v="0"/>
  </r>
  <r>
    <n v="289"/>
    <x v="18"/>
    <x v="846"/>
    <d v="2002-12-21T00:00:00"/>
    <x v="0"/>
    <s v="500/1000"/>
    <n v="1000"/>
    <x v="841"/>
    <n v="0"/>
    <x v="842"/>
    <x v="1"/>
    <x v="2"/>
    <x v="2"/>
    <x v="5"/>
    <s v="not-in-family"/>
    <x v="1"/>
    <x v="0"/>
    <x v="19"/>
    <x v="2"/>
    <x v="0"/>
    <x v="1"/>
    <x v="2"/>
    <x v="2"/>
    <x v="1"/>
    <x v="846"/>
    <x v="4"/>
    <x v="1"/>
    <x v="0"/>
    <x v="0"/>
    <x v="2"/>
    <x v="1"/>
    <x v="674"/>
    <x v="581"/>
    <n v="7620"/>
    <x v="652"/>
    <s v="Jeep"/>
    <s v="Wrangler"/>
    <n v="2010"/>
    <x v="1"/>
    <n v="0"/>
  </r>
  <r>
    <n v="427"/>
    <x v="33"/>
    <x v="847"/>
    <d v="2005-12-03T00:00:00"/>
    <x v="1"/>
    <s v="100/300"/>
    <n v="1000"/>
    <x v="842"/>
    <n v="7000000"/>
    <x v="843"/>
    <x v="0"/>
    <x v="0"/>
    <x v="0"/>
    <x v="2"/>
    <s v="own-child"/>
    <x v="1"/>
    <x v="316"/>
    <x v="41"/>
    <x v="0"/>
    <x v="0"/>
    <x v="0"/>
    <x v="4"/>
    <x v="2"/>
    <x v="3"/>
    <x v="847"/>
    <x v="6"/>
    <x v="0"/>
    <x v="0"/>
    <x v="0"/>
    <x v="0"/>
    <x v="0"/>
    <x v="675"/>
    <x v="196"/>
    <n v="19470"/>
    <x v="653"/>
    <s v="Volkswagen"/>
    <s v="Jetta"/>
    <n v="2004"/>
    <x v="0"/>
    <n v="0"/>
  </r>
  <r>
    <n v="380"/>
    <x v="38"/>
    <x v="848"/>
    <d v="2011-05-25T00:00:00"/>
    <x v="2"/>
    <s v="250/500"/>
    <n v="2000"/>
    <x v="843"/>
    <n v="6000000"/>
    <x v="844"/>
    <x v="0"/>
    <x v="2"/>
    <x v="7"/>
    <x v="4"/>
    <s v="wife"/>
    <x v="1"/>
    <x v="0"/>
    <x v="20"/>
    <x v="3"/>
    <x v="1"/>
    <x v="3"/>
    <x v="0"/>
    <x v="5"/>
    <x v="5"/>
    <x v="848"/>
    <x v="6"/>
    <x v="0"/>
    <x v="2"/>
    <x v="1"/>
    <x v="2"/>
    <x v="2"/>
    <x v="676"/>
    <x v="582"/>
    <n v="570"/>
    <x v="654"/>
    <s v="Saab"/>
    <n v="93"/>
    <n v="2001"/>
    <x v="1"/>
    <n v="0"/>
  </r>
  <r>
    <n v="13"/>
    <x v="42"/>
    <x v="849"/>
    <d v="2006-10-18T00:00:00"/>
    <x v="1"/>
    <s v="100/300"/>
    <n v="1000"/>
    <x v="844"/>
    <n v="0"/>
    <x v="845"/>
    <x v="0"/>
    <x v="2"/>
    <x v="5"/>
    <x v="6"/>
    <s v="not-in-family"/>
    <x v="1"/>
    <x v="317"/>
    <x v="16"/>
    <x v="2"/>
    <x v="0"/>
    <x v="2"/>
    <x v="0"/>
    <x v="2"/>
    <x v="4"/>
    <x v="849"/>
    <x v="4"/>
    <x v="1"/>
    <x v="0"/>
    <x v="2"/>
    <x v="1"/>
    <x v="0"/>
    <x v="677"/>
    <x v="362"/>
    <n v="8630"/>
    <x v="385"/>
    <s v="Accura"/>
    <s v="RSX"/>
    <n v="2014"/>
    <x v="1"/>
    <n v="0"/>
  </r>
  <r>
    <n v="282"/>
    <x v="18"/>
    <x v="850"/>
    <d v="2006-07-19T00:00:00"/>
    <x v="0"/>
    <s v="250/500"/>
    <n v="500"/>
    <x v="845"/>
    <n v="0"/>
    <x v="846"/>
    <x v="0"/>
    <x v="0"/>
    <x v="13"/>
    <x v="17"/>
    <s v="not-in-family"/>
    <x v="148"/>
    <x v="0"/>
    <x v="13"/>
    <x v="0"/>
    <x v="0"/>
    <x v="0"/>
    <x v="4"/>
    <x v="0"/>
    <x v="5"/>
    <x v="850"/>
    <x v="4"/>
    <x v="0"/>
    <x v="2"/>
    <x v="0"/>
    <x v="0"/>
    <x v="2"/>
    <x v="127"/>
    <x v="118"/>
    <n v="9360"/>
    <x v="126"/>
    <s v="Audi"/>
    <s v="A5"/>
    <n v="2007"/>
    <x v="0"/>
    <n v="0"/>
  </r>
  <r>
    <n v="312"/>
    <x v="26"/>
    <x v="851"/>
    <d v="2002-06-08T00:00:00"/>
    <x v="0"/>
    <s v="500/1000"/>
    <n v="1000"/>
    <x v="846"/>
    <n v="0"/>
    <x v="847"/>
    <x v="1"/>
    <x v="0"/>
    <x v="8"/>
    <x v="18"/>
    <s v="wife"/>
    <x v="296"/>
    <x v="134"/>
    <x v="44"/>
    <x v="2"/>
    <x v="0"/>
    <x v="2"/>
    <x v="2"/>
    <x v="2"/>
    <x v="5"/>
    <x v="851"/>
    <x v="18"/>
    <x v="1"/>
    <x v="2"/>
    <x v="2"/>
    <x v="2"/>
    <x v="2"/>
    <x v="678"/>
    <x v="392"/>
    <n v="7040"/>
    <x v="587"/>
    <s v="Mercedes"/>
    <s v="ML350"/>
    <n v="2000"/>
    <x v="1"/>
    <n v="0"/>
  </r>
  <r>
    <n v="266"/>
    <x v="35"/>
    <x v="852"/>
    <d v="2009-02-12T00:00:00"/>
    <x v="0"/>
    <s v="100/300"/>
    <n v="2000"/>
    <x v="847"/>
    <n v="0"/>
    <x v="848"/>
    <x v="0"/>
    <x v="2"/>
    <x v="11"/>
    <x v="14"/>
    <s v="husband"/>
    <x v="1"/>
    <x v="113"/>
    <x v="1"/>
    <x v="0"/>
    <x v="3"/>
    <x v="1"/>
    <x v="2"/>
    <x v="4"/>
    <x v="4"/>
    <x v="852"/>
    <x v="22"/>
    <x v="0"/>
    <x v="2"/>
    <x v="0"/>
    <x v="2"/>
    <x v="0"/>
    <x v="679"/>
    <x v="583"/>
    <n v="15180"/>
    <x v="655"/>
    <s v="Nissan"/>
    <s v="Pathfinder"/>
    <n v="1996"/>
    <x v="1"/>
    <n v="0"/>
  </r>
  <r>
    <n v="30"/>
    <x v="31"/>
    <x v="853"/>
    <d v="2001-05-14T00:00:00"/>
    <x v="1"/>
    <s v="500/1000"/>
    <n v="500"/>
    <x v="848"/>
    <n v="0"/>
    <x v="849"/>
    <x v="1"/>
    <x v="3"/>
    <x v="1"/>
    <x v="6"/>
    <s v="wife"/>
    <x v="1"/>
    <x v="318"/>
    <x v="24"/>
    <x v="2"/>
    <x v="0"/>
    <x v="2"/>
    <x v="0"/>
    <x v="4"/>
    <x v="6"/>
    <x v="853"/>
    <x v="18"/>
    <x v="1"/>
    <x v="2"/>
    <x v="2"/>
    <x v="0"/>
    <x v="1"/>
    <x v="629"/>
    <x v="16"/>
    <n v="5790"/>
    <x v="349"/>
    <s v="Saab"/>
    <n v="95"/>
    <n v="2008"/>
    <x v="1"/>
    <n v="0"/>
  </r>
  <r>
    <n v="198"/>
    <x v="31"/>
    <x v="854"/>
    <d v="2001-02-16T00:00:00"/>
    <x v="1"/>
    <s v="250/500"/>
    <n v="1000"/>
    <x v="849"/>
    <n v="0"/>
    <x v="850"/>
    <x v="0"/>
    <x v="5"/>
    <x v="3"/>
    <x v="15"/>
    <s v="own-child"/>
    <x v="1"/>
    <x v="0"/>
    <x v="48"/>
    <x v="2"/>
    <x v="2"/>
    <x v="2"/>
    <x v="2"/>
    <x v="0"/>
    <x v="3"/>
    <x v="854"/>
    <x v="20"/>
    <x v="1"/>
    <x v="1"/>
    <x v="0"/>
    <x v="2"/>
    <x v="0"/>
    <x v="680"/>
    <x v="159"/>
    <n v="5490"/>
    <x v="656"/>
    <s v="Audi"/>
    <s v="A3"/>
    <n v="2015"/>
    <x v="1"/>
    <n v="0"/>
  </r>
  <r>
    <n v="290"/>
    <x v="19"/>
    <x v="855"/>
    <d v="1993-11-18T00:00:00"/>
    <x v="0"/>
    <s v="500/1000"/>
    <n v="2000"/>
    <x v="12"/>
    <n v="0"/>
    <x v="851"/>
    <x v="0"/>
    <x v="2"/>
    <x v="4"/>
    <x v="1"/>
    <s v="own-child"/>
    <x v="297"/>
    <x v="0"/>
    <x v="50"/>
    <x v="2"/>
    <x v="0"/>
    <x v="1"/>
    <x v="2"/>
    <x v="4"/>
    <x v="5"/>
    <x v="855"/>
    <x v="9"/>
    <x v="1"/>
    <x v="1"/>
    <x v="1"/>
    <x v="3"/>
    <x v="2"/>
    <x v="342"/>
    <x v="308"/>
    <n v="6620"/>
    <x v="114"/>
    <s v="Suburu"/>
    <s v="Impreza"/>
    <n v="2012"/>
    <x v="1"/>
    <n v="0"/>
  </r>
  <r>
    <n v="260"/>
    <x v="35"/>
    <x v="856"/>
    <d v="1990-02-18T00:00:00"/>
    <x v="0"/>
    <s v="100/300"/>
    <n v="2000"/>
    <x v="850"/>
    <n v="0"/>
    <x v="852"/>
    <x v="0"/>
    <x v="0"/>
    <x v="7"/>
    <x v="1"/>
    <s v="husband"/>
    <x v="286"/>
    <x v="0"/>
    <x v="41"/>
    <x v="0"/>
    <x v="3"/>
    <x v="1"/>
    <x v="2"/>
    <x v="2"/>
    <x v="0"/>
    <x v="856"/>
    <x v="2"/>
    <x v="0"/>
    <x v="2"/>
    <x v="1"/>
    <x v="3"/>
    <x v="2"/>
    <x v="254"/>
    <x v="134"/>
    <n v="10680"/>
    <x v="256"/>
    <s v="Toyota"/>
    <s v="Camry"/>
    <n v="2005"/>
    <x v="1"/>
    <n v="0"/>
  </r>
  <r>
    <n v="233"/>
    <x v="18"/>
    <x v="857"/>
    <d v="2000-05-21T00:00:00"/>
    <x v="0"/>
    <s v="250/500"/>
    <n v="1000"/>
    <x v="851"/>
    <n v="0"/>
    <x v="853"/>
    <x v="1"/>
    <x v="3"/>
    <x v="4"/>
    <x v="8"/>
    <s v="other-relative"/>
    <x v="1"/>
    <x v="0"/>
    <x v="4"/>
    <x v="2"/>
    <x v="0"/>
    <x v="1"/>
    <x v="3"/>
    <x v="0"/>
    <x v="6"/>
    <x v="857"/>
    <x v="18"/>
    <x v="1"/>
    <x v="1"/>
    <x v="2"/>
    <x v="2"/>
    <x v="0"/>
    <x v="478"/>
    <x v="117"/>
    <n v="4250"/>
    <x v="657"/>
    <s v="Nissan"/>
    <s v="Pathfinder"/>
    <n v="2000"/>
    <x v="1"/>
    <n v="0"/>
  </r>
  <r>
    <n v="130"/>
    <x v="22"/>
    <x v="858"/>
    <d v="2012-08-26T00:00:00"/>
    <x v="2"/>
    <s v="500/1000"/>
    <n v="2000"/>
    <x v="852"/>
    <n v="0"/>
    <x v="854"/>
    <x v="0"/>
    <x v="1"/>
    <x v="8"/>
    <x v="4"/>
    <s v="own-child"/>
    <x v="1"/>
    <x v="319"/>
    <x v="40"/>
    <x v="2"/>
    <x v="0"/>
    <x v="2"/>
    <x v="3"/>
    <x v="0"/>
    <x v="0"/>
    <x v="858"/>
    <x v="16"/>
    <x v="1"/>
    <x v="2"/>
    <x v="2"/>
    <x v="2"/>
    <x v="1"/>
    <x v="335"/>
    <x v="397"/>
    <n v="4450"/>
    <x v="311"/>
    <s v="Suburu"/>
    <s v="Legacy"/>
    <n v="2005"/>
    <x v="1"/>
    <n v="0"/>
  </r>
  <r>
    <n v="230"/>
    <x v="1"/>
    <x v="859"/>
    <d v="2004-11-16T00:00:00"/>
    <x v="1"/>
    <s v="100/300"/>
    <n v="1000"/>
    <x v="853"/>
    <n v="0"/>
    <x v="855"/>
    <x v="1"/>
    <x v="0"/>
    <x v="12"/>
    <x v="6"/>
    <s v="own-child"/>
    <x v="1"/>
    <x v="170"/>
    <x v="38"/>
    <x v="2"/>
    <x v="2"/>
    <x v="1"/>
    <x v="3"/>
    <x v="2"/>
    <x v="5"/>
    <x v="859"/>
    <x v="21"/>
    <x v="1"/>
    <x v="2"/>
    <x v="0"/>
    <x v="0"/>
    <x v="0"/>
    <x v="681"/>
    <x v="492"/>
    <n v="10700"/>
    <x v="658"/>
    <s v="Accura"/>
    <s v="MDX"/>
    <n v="1999"/>
    <x v="1"/>
    <n v="0"/>
  </r>
  <r>
    <n v="212"/>
    <x v="17"/>
    <x v="860"/>
    <d v="2003-01-23T00:00:00"/>
    <x v="2"/>
    <s v="500/1000"/>
    <n v="1000"/>
    <x v="679"/>
    <n v="0"/>
    <x v="856"/>
    <x v="1"/>
    <x v="4"/>
    <x v="6"/>
    <x v="6"/>
    <s v="husband"/>
    <x v="298"/>
    <x v="0"/>
    <x v="36"/>
    <x v="2"/>
    <x v="0"/>
    <x v="1"/>
    <x v="3"/>
    <x v="2"/>
    <x v="6"/>
    <x v="860"/>
    <x v="18"/>
    <x v="1"/>
    <x v="0"/>
    <x v="1"/>
    <x v="0"/>
    <x v="0"/>
    <x v="682"/>
    <x v="584"/>
    <n v="8240"/>
    <x v="659"/>
    <s v="Nissan"/>
    <s v="Pathfinder"/>
    <n v="2006"/>
    <x v="1"/>
    <n v="0"/>
  </r>
  <r>
    <n v="299"/>
    <x v="4"/>
    <x v="861"/>
    <d v="2008-11-07T00:00:00"/>
    <x v="0"/>
    <s v="500/1000"/>
    <n v="1000"/>
    <x v="854"/>
    <n v="0"/>
    <x v="857"/>
    <x v="1"/>
    <x v="3"/>
    <x v="6"/>
    <x v="4"/>
    <s v="other-relative"/>
    <x v="1"/>
    <x v="313"/>
    <x v="0"/>
    <x v="0"/>
    <x v="2"/>
    <x v="1"/>
    <x v="4"/>
    <x v="4"/>
    <x v="3"/>
    <x v="861"/>
    <x v="19"/>
    <x v="0"/>
    <x v="0"/>
    <x v="2"/>
    <x v="1"/>
    <x v="1"/>
    <x v="148"/>
    <x v="188"/>
    <n v="6780"/>
    <x v="660"/>
    <s v="Suburu"/>
    <s v="Impreza"/>
    <n v="2009"/>
    <x v="1"/>
    <n v="0"/>
  </r>
  <r>
    <n v="91"/>
    <x v="13"/>
    <x v="862"/>
    <d v="1999-10-19T00:00:00"/>
    <x v="2"/>
    <s v="250/500"/>
    <n v="1000"/>
    <x v="855"/>
    <n v="0"/>
    <x v="858"/>
    <x v="1"/>
    <x v="2"/>
    <x v="3"/>
    <x v="17"/>
    <s v="other-relative"/>
    <x v="42"/>
    <x v="0"/>
    <x v="43"/>
    <x v="2"/>
    <x v="3"/>
    <x v="1"/>
    <x v="3"/>
    <x v="0"/>
    <x v="2"/>
    <x v="862"/>
    <x v="12"/>
    <x v="1"/>
    <x v="1"/>
    <x v="1"/>
    <x v="0"/>
    <x v="1"/>
    <x v="102"/>
    <x v="97"/>
    <n v="7420"/>
    <x v="661"/>
    <s v="Jeep"/>
    <s v="Wrangler"/>
    <n v="1996"/>
    <x v="1"/>
    <n v="0"/>
  </r>
  <r>
    <n v="398"/>
    <x v="38"/>
    <x v="863"/>
    <d v="1990-12-20T00:00:00"/>
    <x v="2"/>
    <s v="100/300"/>
    <n v="2000"/>
    <x v="856"/>
    <n v="0"/>
    <x v="859"/>
    <x v="1"/>
    <x v="2"/>
    <x v="7"/>
    <x v="5"/>
    <s v="unmarried"/>
    <x v="299"/>
    <x v="0"/>
    <x v="15"/>
    <x v="0"/>
    <x v="3"/>
    <x v="2"/>
    <x v="2"/>
    <x v="4"/>
    <x v="4"/>
    <x v="863"/>
    <x v="16"/>
    <x v="0"/>
    <x v="0"/>
    <x v="2"/>
    <x v="3"/>
    <x v="1"/>
    <x v="683"/>
    <x v="580"/>
    <n v="5270"/>
    <x v="651"/>
    <s v="Toyota"/>
    <s v="Camry"/>
    <n v="2000"/>
    <x v="1"/>
    <n v="0"/>
  </r>
  <r>
    <n v="218"/>
    <x v="18"/>
    <x v="864"/>
    <d v="1996-02-14T00:00:00"/>
    <x v="2"/>
    <s v="250/500"/>
    <n v="500"/>
    <x v="857"/>
    <n v="0"/>
    <x v="860"/>
    <x v="1"/>
    <x v="2"/>
    <x v="7"/>
    <x v="18"/>
    <s v="other-relative"/>
    <x v="300"/>
    <x v="270"/>
    <x v="5"/>
    <x v="0"/>
    <x v="2"/>
    <x v="0"/>
    <x v="2"/>
    <x v="0"/>
    <x v="4"/>
    <x v="864"/>
    <x v="22"/>
    <x v="0"/>
    <x v="1"/>
    <x v="0"/>
    <x v="2"/>
    <x v="0"/>
    <x v="623"/>
    <x v="585"/>
    <n v="6820"/>
    <x v="662"/>
    <s v="Dodge"/>
    <s v="RAM"/>
    <n v="2003"/>
    <x v="0"/>
    <n v="0"/>
  </r>
  <r>
    <n v="152"/>
    <x v="8"/>
    <x v="865"/>
    <d v="2001-06-10T00:00:00"/>
    <x v="1"/>
    <s v="100/300"/>
    <n v="1000"/>
    <x v="858"/>
    <n v="0"/>
    <x v="861"/>
    <x v="1"/>
    <x v="6"/>
    <x v="3"/>
    <x v="20"/>
    <s v="husband"/>
    <x v="1"/>
    <x v="0"/>
    <x v="38"/>
    <x v="0"/>
    <x v="3"/>
    <x v="1"/>
    <x v="2"/>
    <x v="2"/>
    <x v="4"/>
    <x v="865"/>
    <x v="22"/>
    <x v="0"/>
    <x v="2"/>
    <x v="0"/>
    <x v="1"/>
    <x v="2"/>
    <x v="618"/>
    <x v="586"/>
    <n v="7100"/>
    <x v="663"/>
    <s v="Accura"/>
    <s v="TL"/>
    <n v="2014"/>
    <x v="1"/>
    <n v="0"/>
  </r>
  <r>
    <n v="212"/>
    <x v="5"/>
    <x v="866"/>
    <d v="2010-03-17T00:00:00"/>
    <x v="0"/>
    <s v="100/300"/>
    <n v="1000"/>
    <x v="859"/>
    <n v="0"/>
    <x v="862"/>
    <x v="1"/>
    <x v="6"/>
    <x v="9"/>
    <x v="9"/>
    <s v="not-in-family"/>
    <x v="113"/>
    <x v="87"/>
    <x v="30"/>
    <x v="2"/>
    <x v="2"/>
    <x v="2"/>
    <x v="4"/>
    <x v="2"/>
    <x v="1"/>
    <x v="866"/>
    <x v="9"/>
    <x v="3"/>
    <x v="2"/>
    <x v="1"/>
    <x v="2"/>
    <x v="0"/>
    <x v="684"/>
    <x v="587"/>
    <n v="5930"/>
    <x v="419"/>
    <s v="Dodge"/>
    <s v="RAM"/>
    <n v="2008"/>
    <x v="1"/>
    <n v="0"/>
  </r>
  <r>
    <n v="242"/>
    <x v="4"/>
    <x v="867"/>
    <d v="2003-07-30T00:00:00"/>
    <x v="2"/>
    <s v="500/1000"/>
    <n v="2000"/>
    <x v="860"/>
    <n v="6000000"/>
    <x v="863"/>
    <x v="1"/>
    <x v="3"/>
    <x v="7"/>
    <x v="14"/>
    <s v="other-relative"/>
    <x v="1"/>
    <x v="320"/>
    <x v="57"/>
    <x v="2"/>
    <x v="3"/>
    <x v="1"/>
    <x v="3"/>
    <x v="0"/>
    <x v="3"/>
    <x v="867"/>
    <x v="12"/>
    <x v="1"/>
    <x v="2"/>
    <x v="0"/>
    <x v="0"/>
    <x v="0"/>
    <x v="685"/>
    <x v="486"/>
    <n v="13380"/>
    <x v="531"/>
    <s v="Suburu"/>
    <s v="Forrestor"/>
    <n v="1999"/>
    <x v="0"/>
    <n v="0"/>
  </r>
  <r>
    <n v="80"/>
    <x v="28"/>
    <x v="868"/>
    <d v="2014-09-17T00:00:00"/>
    <x v="0"/>
    <s v="500/1000"/>
    <n v="500"/>
    <x v="861"/>
    <n v="0"/>
    <x v="864"/>
    <x v="0"/>
    <x v="6"/>
    <x v="13"/>
    <x v="9"/>
    <s v="husband"/>
    <x v="1"/>
    <x v="5"/>
    <x v="26"/>
    <x v="2"/>
    <x v="2"/>
    <x v="0"/>
    <x v="0"/>
    <x v="3"/>
    <x v="2"/>
    <x v="868"/>
    <x v="16"/>
    <x v="1"/>
    <x v="0"/>
    <x v="0"/>
    <x v="2"/>
    <x v="1"/>
    <x v="686"/>
    <x v="588"/>
    <n v="7420"/>
    <x v="664"/>
    <s v="Ford"/>
    <s v="F150"/>
    <n v="2000"/>
    <x v="0"/>
    <n v="0"/>
  </r>
  <r>
    <n v="260"/>
    <x v="18"/>
    <x v="869"/>
    <d v="2009-06-03T00:00:00"/>
    <x v="1"/>
    <s v="100/300"/>
    <n v="500"/>
    <x v="862"/>
    <n v="0"/>
    <x v="865"/>
    <x v="1"/>
    <x v="6"/>
    <x v="8"/>
    <x v="9"/>
    <s v="not-in-family"/>
    <x v="190"/>
    <x v="310"/>
    <x v="26"/>
    <x v="0"/>
    <x v="3"/>
    <x v="2"/>
    <x v="2"/>
    <x v="2"/>
    <x v="1"/>
    <x v="869"/>
    <x v="22"/>
    <x v="0"/>
    <x v="1"/>
    <x v="0"/>
    <x v="1"/>
    <x v="1"/>
    <x v="228"/>
    <x v="371"/>
    <n v="7540"/>
    <x v="222"/>
    <s v="Honda"/>
    <s v="CRV"/>
    <n v="2011"/>
    <x v="1"/>
    <n v="0"/>
  </r>
  <r>
    <n v="133"/>
    <x v="6"/>
    <x v="870"/>
    <d v="1994-10-11T00:00:00"/>
    <x v="1"/>
    <s v="500/1000"/>
    <n v="500"/>
    <x v="107"/>
    <n v="0"/>
    <x v="866"/>
    <x v="1"/>
    <x v="6"/>
    <x v="5"/>
    <x v="4"/>
    <s v="husband"/>
    <x v="301"/>
    <x v="321"/>
    <x v="21"/>
    <x v="3"/>
    <x v="1"/>
    <x v="1"/>
    <x v="1"/>
    <x v="4"/>
    <x v="5"/>
    <x v="870"/>
    <x v="1"/>
    <x v="0"/>
    <x v="2"/>
    <x v="2"/>
    <x v="1"/>
    <x v="0"/>
    <x v="567"/>
    <x v="589"/>
    <n v="840"/>
    <x v="458"/>
    <s v="Jeep"/>
    <s v="Wrangler"/>
    <n v="2013"/>
    <x v="1"/>
    <n v="0"/>
  </r>
  <r>
    <n v="290"/>
    <x v="19"/>
    <x v="871"/>
    <d v="1991-07-18T00:00:00"/>
    <x v="0"/>
    <s v="100/300"/>
    <n v="1000"/>
    <x v="863"/>
    <n v="0"/>
    <x v="867"/>
    <x v="1"/>
    <x v="2"/>
    <x v="1"/>
    <x v="14"/>
    <s v="wife"/>
    <x v="302"/>
    <x v="0"/>
    <x v="3"/>
    <x v="2"/>
    <x v="0"/>
    <x v="0"/>
    <x v="4"/>
    <x v="2"/>
    <x v="4"/>
    <x v="871"/>
    <x v="6"/>
    <x v="1"/>
    <x v="0"/>
    <x v="1"/>
    <x v="1"/>
    <x v="0"/>
    <x v="687"/>
    <x v="240"/>
    <n v="5850"/>
    <x v="367"/>
    <s v="Ford"/>
    <s v="F150"/>
    <n v="2001"/>
    <x v="0"/>
    <n v="0"/>
  </r>
  <r>
    <n v="322"/>
    <x v="24"/>
    <x v="872"/>
    <d v="2001-09-24T00:00:00"/>
    <x v="2"/>
    <s v="250/500"/>
    <n v="2000"/>
    <x v="864"/>
    <n v="0"/>
    <x v="868"/>
    <x v="1"/>
    <x v="1"/>
    <x v="3"/>
    <x v="15"/>
    <s v="own-child"/>
    <x v="1"/>
    <x v="2"/>
    <x v="16"/>
    <x v="0"/>
    <x v="2"/>
    <x v="0"/>
    <x v="4"/>
    <x v="4"/>
    <x v="4"/>
    <x v="872"/>
    <x v="22"/>
    <x v="0"/>
    <x v="1"/>
    <x v="1"/>
    <x v="0"/>
    <x v="0"/>
    <x v="688"/>
    <x v="327"/>
    <n v="7680"/>
    <x v="576"/>
    <s v="Chevrolet"/>
    <s v="Malibu"/>
    <n v="2007"/>
    <x v="1"/>
    <n v="0"/>
  </r>
  <r>
    <n v="228"/>
    <x v="5"/>
    <x v="873"/>
    <d v="2012-09-19T00:00:00"/>
    <x v="1"/>
    <s v="500/1000"/>
    <n v="500"/>
    <x v="865"/>
    <n v="0"/>
    <x v="869"/>
    <x v="1"/>
    <x v="6"/>
    <x v="2"/>
    <x v="1"/>
    <s v="husband"/>
    <x v="303"/>
    <x v="0"/>
    <x v="16"/>
    <x v="0"/>
    <x v="0"/>
    <x v="1"/>
    <x v="3"/>
    <x v="5"/>
    <x v="1"/>
    <x v="873"/>
    <x v="15"/>
    <x v="0"/>
    <x v="0"/>
    <x v="0"/>
    <x v="1"/>
    <x v="0"/>
    <x v="689"/>
    <x v="590"/>
    <n v="6610"/>
    <x v="665"/>
    <s v="Mercedes"/>
    <s v="ML350"/>
    <n v="1995"/>
    <x v="1"/>
    <n v="0"/>
  </r>
  <r>
    <n v="195"/>
    <x v="7"/>
    <x v="874"/>
    <d v="1991-07-11T00:00:00"/>
    <x v="2"/>
    <s v="100/300"/>
    <n v="1000"/>
    <x v="866"/>
    <n v="8000000"/>
    <x v="870"/>
    <x v="0"/>
    <x v="0"/>
    <x v="4"/>
    <x v="5"/>
    <s v="unmarried"/>
    <x v="1"/>
    <x v="0"/>
    <x v="21"/>
    <x v="0"/>
    <x v="0"/>
    <x v="0"/>
    <x v="4"/>
    <x v="0"/>
    <x v="2"/>
    <x v="874"/>
    <x v="11"/>
    <x v="0"/>
    <x v="2"/>
    <x v="1"/>
    <x v="0"/>
    <x v="2"/>
    <x v="345"/>
    <x v="310"/>
    <n v="4420"/>
    <x v="322"/>
    <s v="Jeep"/>
    <s v="Wrangler"/>
    <n v="2002"/>
    <x v="0"/>
    <n v="0"/>
  </r>
  <r>
    <n v="247"/>
    <x v="5"/>
    <x v="875"/>
    <d v="1991-10-29T00:00:00"/>
    <x v="1"/>
    <s v="100/300"/>
    <n v="500"/>
    <x v="31"/>
    <n v="0"/>
    <x v="871"/>
    <x v="1"/>
    <x v="4"/>
    <x v="9"/>
    <x v="1"/>
    <s v="unmarried"/>
    <x v="1"/>
    <x v="263"/>
    <x v="55"/>
    <x v="1"/>
    <x v="1"/>
    <x v="3"/>
    <x v="0"/>
    <x v="4"/>
    <x v="3"/>
    <x v="875"/>
    <x v="0"/>
    <x v="0"/>
    <x v="0"/>
    <x v="0"/>
    <x v="0"/>
    <x v="1"/>
    <x v="690"/>
    <x v="591"/>
    <n v="1540"/>
    <x v="666"/>
    <s v="Saab"/>
    <n v="93"/>
    <n v="2000"/>
    <x v="1"/>
    <n v="0"/>
  </r>
  <r>
    <n v="405"/>
    <x v="37"/>
    <x v="876"/>
    <d v="1999-12-28T00:00:00"/>
    <x v="1"/>
    <s v="500/1000"/>
    <n v="1000"/>
    <x v="867"/>
    <n v="4000000"/>
    <x v="872"/>
    <x v="0"/>
    <x v="0"/>
    <x v="7"/>
    <x v="20"/>
    <s v="other-relative"/>
    <x v="70"/>
    <x v="0"/>
    <x v="13"/>
    <x v="2"/>
    <x v="3"/>
    <x v="2"/>
    <x v="3"/>
    <x v="2"/>
    <x v="5"/>
    <x v="876"/>
    <x v="7"/>
    <x v="1"/>
    <x v="1"/>
    <x v="2"/>
    <x v="2"/>
    <x v="1"/>
    <x v="691"/>
    <x v="592"/>
    <n v="10240"/>
    <x v="667"/>
    <s v="Saab"/>
    <n v="93"/>
    <n v="2008"/>
    <x v="1"/>
    <n v="0"/>
  </r>
  <r>
    <n v="144"/>
    <x v="7"/>
    <x v="877"/>
    <d v="2012-10-11T00:00:00"/>
    <x v="0"/>
    <s v="250/500"/>
    <n v="2000"/>
    <x v="868"/>
    <n v="0"/>
    <x v="873"/>
    <x v="1"/>
    <x v="1"/>
    <x v="11"/>
    <x v="0"/>
    <s v="not-in-family"/>
    <x v="304"/>
    <x v="0"/>
    <x v="27"/>
    <x v="2"/>
    <x v="2"/>
    <x v="0"/>
    <x v="2"/>
    <x v="0"/>
    <x v="0"/>
    <x v="877"/>
    <x v="18"/>
    <x v="1"/>
    <x v="0"/>
    <x v="0"/>
    <x v="2"/>
    <x v="2"/>
    <x v="196"/>
    <x v="180"/>
    <n v="10880"/>
    <x v="668"/>
    <s v="Chevrolet"/>
    <s v="Silverado"/>
    <n v="2015"/>
    <x v="0"/>
    <n v="0"/>
  </r>
  <r>
    <n v="338"/>
    <x v="26"/>
    <x v="878"/>
    <d v="1995-08-19T00:00:00"/>
    <x v="2"/>
    <s v="500/1000"/>
    <n v="500"/>
    <x v="869"/>
    <n v="4000000"/>
    <x v="874"/>
    <x v="0"/>
    <x v="0"/>
    <x v="7"/>
    <x v="18"/>
    <s v="other-relative"/>
    <x v="1"/>
    <x v="0"/>
    <x v="32"/>
    <x v="0"/>
    <x v="3"/>
    <x v="2"/>
    <x v="3"/>
    <x v="5"/>
    <x v="2"/>
    <x v="878"/>
    <x v="14"/>
    <x v="0"/>
    <x v="0"/>
    <x v="2"/>
    <x v="3"/>
    <x v="1"/>
    <x v="692"/>
    <x v="472"/>
    <n v="9760"/>
    <x v="462"/>
    <s v="Mercedes"/>
    <s v="E400"/>
    <n v="2002"/>
    <x v="1"/>
    <n v="0"/>
  </r>
  <r>
    <n v="121"/>
    <x v="6"/>
    <x v="879"/>
    <d v="1991-02-11T00:00:00"/>
    <x v="1"/>
    <s v="500/1000"/>
    <n v="500"/>
    <x v="870"/>
    <n v="0"/>
    <x v="875"/>
    <x v="0"/>
    <x v="0"/>
    <x v="7"/>
    <x v="17"/>
    <s v="wife"/>
    <x v="1"/>
    <x v="0"/>
    <x v="1"/>
    <x v="0"/>
    <x v="3"/>
    <x v="0"/>
    <x v="2"/>
    <x v="1"/>
    <x v="6"/>
    <x v="879"/>
    <x v="20"/>
    <x v="0"/>
    <x v="2"/>
    <x v="0"/>
    <x v="3"/>
    <x v="2"/>
    <x v="693"/>
    <x v="345"/>
    <n v="6730"/>
    <x v="497"/>
    <s v="Dodge"/>
    <s v="RAM"/>
    <n v="2000"/>
    <x v="0"/>
    <n v="0"/>
  </r>
  <r>
    <n v="398"/>
    <x v="16"/>
    <x v="880"/>
    <d v="1991-07-02T00:00:00"/>
    <x v="0"/>
    <s v="250/500"/>
    <n v="2000"/>
    <x v="871"/>
    <n v="0"/>
    <x v="876"/>
    <x v="0"/>
    <x v="0"/>
    <x v="13"/>
    <x v="9"/>
    <s v="wife"/>
    <x v="305"/>
    <x v="322"/>
    <x v="13"/>
    <x v="0"/>
    <x v="2"/>
    <x v="0"/>
    <x v="2"/>
    <x v="1"/>
    <x v="4"/>
    <x v="880"/>
    <x v="22"/>
    <x v="0"/>
    <x v="1"/>
    <x v="0"/>
    <x v="2"/>
    <x v="0"/>
    <x v="694"/>
    <x v="593"/>
    <n v="6680"/>
    <x v="669"/>
    <s v="BMW"/>
    <s v="X5"/>
    <n v="1998"/>
    <x v="0"/>
    <n v="0"/>
  </r>
  <r>
    <n v="9"/>
    <x v="22"/>
    <x v="881"/>
    <d v="1994-04-10T00:00:00"/>
    <x v="2"/>
    <s v="100/300"/>
    <n v="1000"/>
    <x v="49"/>
    <n v="0"/>
    <x v="877"/>
    <x v="1"/>
    <x v="5"/>
    <x v="1"/>
    <x v="8"/>
    <s v="not-in-family"/>
    <x v="1"/>
    <x v="0"/>
    <x v="40"/>
    <x v="0"/>
    <x v="2"/>
    <x v="2"/>
    <x v="0"/>
    <x v="2"/>
    <x v="6"/>
    <x v="881"/>
    <x v="11"/>
    <x v="0"/>
    <x v="1"/>
    <x v="1"/>
    <x v="1"/>
    <x v="2"/>
    <x v="695"/>
    <x v="95"/>
    <n v="15580"/>
    <x v="670"/>
    <s v="BMW"/>
    <s v="3 Series"/>
    <n v="2011"/>
    <x v="1"/>
    <n v="0"/>
  </r>
  <r>
    <n v="115"/>
    <x v="14"/>
    <x v="882"/>
    <d v="2005-12-04T00:00:00"/>
    <x v="0"/>
    <s v="500/1000"/>
    <n v="1000"/>
    <x v="872"/>
    <n v="0"/>
    <x v="878"/>
    <x v="1"/>
    <x v="2"/>
    <x v="8"/>
    <x v="4"/>
    <s v="not-in-family"/>
    <x v="1"/>
    <x v="0"/>
    <x v="44"/>
    <x v="2"/>
    <x v="0"/>
    <x v="0"/>
    <x v="4"/>
    <x v="4"/>
    <x v="1"/>
    <x v="882"/>
    <x v="22"/>
    <x v="1"/>
    <x v="0"/>
    <x v="1"/>
    <x v="2"/>
    <x v="2"/>
    <x v="696"/>
    <x v="20"/>
    <n v="4270"/>
    <x v="671"/>
    <s v="Audi"/>
    <s v="A5"/>
    <n v="2005"/>
    <x v="0"/>
    <n v="0"/>
  </r>
  <r>
    <n v="280"/>
    <x v="0"/>
    <x v="883"/>
    <d v="2014-07-16T00:00:00"/>
    <x v="2"/>
    <s v="250/500"/>
    <n v="1000"/>
    <x v="873"/>
    <n v="0"/>
    <x v="879"/>
    <x v="0"/>
    <x v="6"/>
    <x v="10"/>
    <x v="13"/>
    <s v="not-in-family"/>
    <x v="1"/>
    <x v="323"/>
    <x v="57"/>
    <x v="0"/>
    <x v="3"/>
    <x v="1"/>
    <x v="2"/>
    <x v="4"/>
    <x v="4"/>
    <x v="883"/>
    <x v="16"/>
    <x v="0"/>
    <x v="2"/>
    <x v="2"/>
    <x v="0"/>
    <x v="1"/>
    <x v="697"/>
    <x v="155"/>
    <n v="10220"/>
    <x v="85"/>
    <s v="BMW"/>
    <s v="M5"/>
    <n v="1998"/>
    <x v="1"/>
    <n v="0"/>
  </r>
  <r>
    <n v="254"/>
    <x v="19"/>
    <x v="884"/>
    <d v="2003-09-17T00:00:00"/>
    <x v="2"/>
    <s v="250/500"/>
    <n v="500"/>
    <x v="874"/>
    <n v="0"/>
    <x v="880"/>
    <x v="0"/>
    <x v="6"/>
    <x v="6"/>
    <x v="13"/>
    <s v="husband"/>
    <x v="306"/>
    <x v="0"/>
    <x v="7"/>
    <x v="2"/>
    <x v="2"/>
    <x v="2"/>
    <x v="0"/>
    <x v="5"/>
    <x v="0"/>
    <x v="884"/>
    <x v="4"/>
    <x v="1"/>
    <x v="0"/>
    <x v="1"/>
    <x v="1"/>
    <x v="1"/>
    <x v="698"/>
    <x v="594"/>
    <n v="13280"/>
    <x v="672"/>
    <s v="BMW"/>
    <s v="3 Series"/>
    <n v="2004"/>
    <x v="1"/>
    <n v="0"/>
  </r>
  <r>
    <n v="141"/>
    <x v="22"/>
    <x v="885"/>
    <d v="2000-07-15T00:00:00"/>
    <x v="2"/>
    <s v="250/500"/>
    <n v="1000"/>
    <x v="875"/>
    <n v="0"/>
    <x v="881"/>
    <x v="1"/>
    <x v="5"/>
    <x v="0"/>
    <x v="20"/>
    <s v="other-relative"/>
    <x v="307"/>
    <x v="0"/>
    <x v="47"/>
    <x v="0"/>
    <x v="3"/>
    <x v="2"/>
    <x v="2"/>
    <x v="0"/>
    <x v="1"/>
    <x v="885"/>
    <x v="21"/>
    <x v="0"/>
    <x v="2"/>
    <x v="0"/>
    <x v="1"/>
    <x v="0"/>
    <x v="520"/>
    <x v="453"/>
    <n v="6860"/>
    <x v="454"/>
    <s v="Audi"/>
    <s v="A3"/>
    <n v="2002"/>
    <x v="1"/>
    <n v="0"/>
  </r>
  <r>
    <n v="441"/>
    <x v="16"/>
    <x v="886"/>
    <d v="2009-07-29T00:00:00"/>
    <x v="1"/>
    <s v="250/500"/>
    <n v="500"/>
    <x v="876"/>
    <n v="4000000"/>
    <x v="882"/>
    <x v="0"/>
    <x v="3"/>
    <x v="3"/>
    <x v="20"/>
    <s v="husband"/>
    <x v="103"/>
    <x v="324"/>
    <x v="46"/>
    <x v="3"/>
    <x v="1"/>
    <x v="1"/>
    <x v="1"/>
    <x v="1"/>
    <x v="2"/>
    <x v="886"/>
    <x v="14"/>
    <x v="0"/>
    <x v="2"/>
    <x v="1"/>
    <x v="1"/>
    <x v="2"/>
    <x v="264"/>
    <x v="214"/>
    <n v="640"/>
    <x v="177"/>
    <s v="Honda"/>
    <s v="Civic"/>
    <n v="2002"/>
    <x v="1"/>
    <n v="0"/>
  </r>
  <r>
    <n v="381"/>
    <x v="16"/>
    <x v="887"/>
    <d v="1991-04-13T00:00:00"/>
    <x v="0"/>
    <s v="500/1000"/>
    <n v="500"/>
    <x v="877"/>
    <n v="0"/>
    <x v="883"/>
    <x v="1"/>
    <x v="0"/>
    <x v="6"/>
    <x v="14"/>
    <s v="wife"/>
    <x v="308"/>
    <x v="0"/>
    <x v="37"/>
    <x v="0"/>
    <x v="2"/>
    <x v="0"/>
    <x v="2"/>
    <x v="0"/>
    <x v="6"/>
    <x v="887"/>
    <x v="1"/>
    <x v="0"/>
    <x v="0"/>
    <x v="0"/>
    <x v="0"/>
    <x v="0"/>
    <x v="378"/>
    <x v="567"/>
    <n v="6060"/>
    <x v="359"/>
    <s v="Accura"/>
    <s v="TL"/>
    <n v="2011"/>
    <x v="1"/>
    <n v="0"/>
  </r>
  <r>
    <n v="191"/>
    <x v="11"/>
    <x v="888"/>
    <d v="2005-11-20T00:00:00"/>
    <x v="2"/>
    <s v="100/300"/>
    <n v="2000"/>
    <x v="878"/>
    <n v="0"/>
    <x v="884"/>
    <x v="1"/>
    <x v="4"/>
    <x v="0"/>
    <x v="0"/>
    <s v="not-in-family"/>
    <x v="1"/>
    <x v="0"/>
    <x v="58"/>
    <x v="2"/>
    <x v="0"/>
    <x v="0"/>
    <x v="4"/>
    <x v="1"/>
    <x v="4"/>
    <x v="888"/>
    <x v="4"/>
    <x v="1"/>
    <x v="2"/>
    <x v="2"/>
    <x v="1"/>
    <x v="2"/>
    <x v="678"/>
    <x v="592"/>
    <n v="5120"/>
    <x v="667"/>
    <s v="Volkswagen"/>
    <s v="Jetta"/>
    <n v="2007"/>
    <x v="1"/>
    <n v="0"/>
  </r>
  <r>
    <n v="145"/>
    <x v="6"/>
    <x v="889"/>
    <d v="1990-05-20T00:00:00"/>
    <x v="1"/>
    <s v="100/300"/>
    <n v="1000"/>
    <x v="879"/>
    <n v="0"/>
    <x v="885"/>
    <x v="1"/>
    <x v="6"/>
    <x v="7"/>
    <x v="0"/>
    <s v="other-relative"/>
    <x v="1"/>
    <x v="0"/>
    <x v="6"/>
    <x v="0"/>
    <x v="0"/>
    <x v="2"/>
    <x v="4"/>
    <x v="5"/>
    <x v="5"/>
    <x v="889"/>
    <x v="22"/>
    <x v="0"/>
    <x v="0"/>
    <x v="2"/>
    <x v="1"/>
    <x v="2"/>
    <x v="699"/>
    <x v="484"/>
    <n v="4750"/>
    <x v="673"/>
    <s v="Suburu"/>
    <s v="Legacy"/>
    <n v="2012"/>
    <x v="1"/>
    <n v="0"/>
  </r>
  <r>
    <n v="479"/>
    <x v="33"/>
    <x v="890"/>
    <d v="2002-11-28T00:00:00"/>
    <x v="2"/>
    <s v="500/1000"/>
    <n v="1000"/>
    <x v="880"/>
    <n v="0"/>
    <x v="886"/>
    <x v="1"/>
    <x v="0"/>
    <x v="8"/>
    <x v="7"/>
    <s v="other-relative"/>
    <x v="1"/>
    <x v="272"/>
    <x v="23"/>
    <x v="2"/>
    <x v="2"/>
    <x v="2"/>
    <x v="3"/>
    <x v="0"/>
    <x v="2"/>
    <x v="890"/>
    <x v="10"/>
    <x v="3"/>
    <x v="1"/>
    <x v="1"/>
    <x v="2"/>
    <x v="1"/>
    <x v="700"/>
    <x v="595"/>
    <n v="10780"/>
    <x v="674"/>
    <s v="Saab"/>
    <n v="95"/>
    <n v="2006"/>
    <x v="1"/>
    <n v="0"/>
  </r>
  <r>
    <n v="215"/>
    <x v="21"/>
    <x v="891"/>
    <d v="2004-06-15T00:00:00"/>
    <x v="2"/>
    <s v="500/1000"/>
    <n v="1000"/>
    <x v="881"/>
    <n v="0"/>
    <x v="887"/>
    <x v="0"/>
    <x v="4"/>
    <x v="12"/>
    <x v="12"/>
    <s v="husband"/>
    <x v="309"/>
    <x v="325"/>
    <x v="14"/>
    <x v="1"/>
    <x v="1"/>
    <x v="3"/>
    <x v="1"/>
    <x v="4"/>
    <x v="0"/>
    <x v="891"/>
    <x v="13"/>
    <x v="0"/>
    <x v="1"/>
    <x v="2"/>
    <x v="3"/>
    <x v="2"/>
    <x v="51"/>
    <x v="596"/>
    <n v="440"/>
    <x v="675"/>
    <s v="Jeep"/>
    <s v="Wrangler"/>
    <n v="2001"/>
    <x v="1"/>
    <n v="0"/>
  </r>
  <r>
    <n v="41"/>
    <x v="8"/>
    <x v="892"/>
    <d v="2010-09-26T00:00:00"/>
    <x v="0"/>
    <s v="250/500"/>
    <n v="500"/>
    <x v="882"/>
    <n v="0"/>
    <x v="888"/>
    <x v="0"/>
    <x v="5"/>
    <x v="10"/>
    <x v="0"/>
    <s v="husband"/>
    <x v="1"/>
    <x v="0"/>
    <x v="43"/>
    <x v="1"/>
    <x v="1"/>
    <x v="1"/>
    <x v="1"/>
    <x v="5"/>
    <x v="2"/>
    <x v="892"/>
    <x v="1"/>
    <x v="0"/>
    <x v="0"/>
    <x v="1"/>
    <x v="1"/>
    <x v="1"/>
    <x v="701"/>
    <x v="597"/>
    <n v="1380"/>
    <x v="676"/>
    <s v="Dodge"/>
    <s v="Neon"/>
    <n v="2011"/>
    <x v="1"/>
    <n v="0"/>
  </r>
  <r>
    <n v="45"/>
    <x v="14"/>
    <x v="893"/>
    <d v="1990-09-15T00:00:00"/>
    <x v="1"/>
    <s v="100/300"/>
    <n v="500"/>
    <x v="883"/>
    <n v="0"/>
    <x v="889"/>
    <x v="0"/>
    <x v="0"/>
    <x v="7"/>
    <x v="10"/>
    <s v="not-in-family"/>
    <x v="1"/>
    <x v="0"/>
    <x v="4"/>
    <x v="3"/>
    <x v="1"/>
    <x v="1"/>
    <x v="1"/>
    <x v="2"/>
    <x v="3"/>
    <x v="893"/>
    <x v="13"/>
    <x v="0"/>
    <x v="1"/>
    <x v="0"/>
    <x v="2"/>
    <x v="1"/>
    <x v="702"/>
    <x v="338"/>
    <n v="1000"/>
    <x v="489"/>
    <s v="Suburu"/>
    <s v="Impreza"/>
    <n v="2000"/>
    <x v="1"/>
    <n v="0"/>
  </r>
  <r>
    <n v="156"/>
    <x v="11"/>
    <x v="894"/>
    <d v="2009-09-16T00:00:00"/>
    <x v="2"/>
    <s v="100/300"/>
    <n v="500"/>
    <x v="884"/>
    <n v="0"/>
    <x v="890"/>
    <x v="0"/>
    <x v="5"/>
    <x v="3"/>
    <x v="2"/>
    <s v="own-child"/>
    <x v="310"/>
    <x v="0"/>
    <x v="4"/>
    <x v="2"/>
    <x v="3"/>
    <x v="0"/>
    <x v="2"/>
    <x v="4"/>
    <x v="5"/>
    <x v="894"/>
    <x v="6"/>
    <x v="1"/>
    <x v="1"/>
    <x v="1"/>
    <x v="2"/>
    <x v="1"/>
    <x v="609"/>
    <x v="235"/>
    <n v="5520"/>
    <x v="677"/>
    <s v="Saab"/>
    <s v="92x"/>
    <n v="1998"/>
    <x v="0"/>
    <n v="0"/>
  </r>
  <r>
    <n v="246"/>
    <x v="19"/>
    <x v="895"/>
    <d v="1999-08-12T00:00:00"/>
    <x v="1"/>
    <s v="250/500"/>
    <n v="500"/>
    <x v="885"/>
    <n v="0"/>
    <x v="891"/>
    <x v="0"/>
    <x v="2"/>
    <x v="8"/>
    <x v="2"/>
    <s v="own-child"/>
    <x v="1"/>
    <x v="0"/>
    <x v="23"/>
    <x v="3"/>
    <x v="1"/>
    <x v="3"/>
    <x v="1"/>
    <x v="0"/>
    <x v="1"/>
    <x v="895"/>
    <x v="21"/>
    <x v="0"/>
    <x v="2"/>
    <x v="1"/>
    <x v="2"/>
    <x v="0"/>
    <x v="48"/>
    <x v="75"/>
    <n v="1320"/>
    <x v="49"/>
    <s v="Saab"/>
    <s v="92x"/>
    <n v="2008"/>
    <x v="1"/>
    <n v="0"/>
  </r>
  <r>
    <n v="178"/>
    <x v="5"/>
    <x v="896"/>
    <d v="2009-03-08T00:00:00"/>
    <x v="2"/>
    <s v="100/300"/>
    <n v="500"/>
    <x v="886"/>
    <n v="0"/>
    <x v="892"/>
    <x v="1"/>
    <x v="6"/>
    <x v="8"/>
    <x v="0"/>
    <s v="own-child"/>
    <x v="1"/>
    <x v="0"/>
    <x v="34"/>
    <x v="2"/>
    <x v="3"/>
    <x v="1"/>
    <x v="0"/>
    <x v="2"/>
    <x v="3"/>
    <x v="896"/>
    <x v="19"/>
    <x v="1"/>
    <x v="2"/>
    <x v="2"/>
    <x v="1"/>
    <x v="1"/>
    <x v="703"/>
    <x v="399"/>
    <n v="11760"/>
    <x v="425"/>
    <s v="Jeep"/>
    <s v="Wrangler"/>
    <n v="2010"/>
    <x v="1"/>
    <n v="0"/>
  </r>
  <r>
    <n v="237"/>
    <x v="18"/>
    <x v="897"/>
    <d v="2009-04-27T00:00:00"/>
    <x v="0"/>
    <s v="250/500"/>
    <n v="500"/>
    <x v="887"/>
    <n v="0"/>
    <x v="893"/>
    <x v="1"/>
    <x v="1"/>
    <x v="2"/>
    <x v="16"/>
    <s v="husband"/>
    <x v="17"/>
    <x v="0"/>
    <x v="54"/>
    <x v="0"/>
    <x v="2"/>
    <x v="0"/>
    <x v="0"/>
    <x v="4"/>
    <x v="6"/>
    <x v="897"/>
    <x v="6"/>
    <x v="0"/>
    <x v="2"/>
    <x v="1"/>
    <x v="3"/>
    <x v="2"/>
    <x v="704"/>
    <x v="20"/>
    <n v="11840"/>
    <x v="678"/>
    <s v="Chevrolet"/>
    <s v="Malibu"/>
    <n v="1998"/>
    <x v="1"/>
    <n v="0"/>
  </r>
  <r>
    <n v="127"/>
    <x v="6"/>
    <x v="898"/>
    <d v="2006-08-02T00:00:00"/>
    <x v="0"/>
    <s v="500/1000"/>
    <n v="500"/>
    <x v="888"/>
    <n v="0"/>
    <x v="894"/>
    <x v="1"/>
    <x v="2"/>
    <x v="0"/>
    <x v="13"/>
    <s v="own-child"/>
    <x v="304"/>
    <x v="0"/>
    <x v="10"/>
    <x v="1"/>
    <x v="1"/>
    <x v="1"/>
    <x v="1"/>
    <x v="5"/>
    <x v="2"/>
    <x v="898"/>
    <x v="1"/>
    <x v="0"/>
    <x v="0"/>
    <x v="0"/>
    <x v="2"/>
    <x v="1"/>
    <x v="84"/>
    <x v="125"/>
    <n v="940"/>
    <x v="86"/>
    <s v="Saab"/>
    <s v="92x"/>
    <n v="1998"/>
    <x v="1"/>
    <n v="0"/>
  </r>
  <r>
    <n v="1"/>
    <x v="8"/>
    <x v="899"/>
    <d v="1995-12-06T00:00:00"/>
    <x v="0"/>
    <s v="250/500"/>
    <n v="2000"/>
    <x v="889"/>
    <n v="0"/>
    <x v="895"/>
    <x v="0"/>
    <x v="2"/>
    <x v="2"/>
    <x v="17"/>
    <s v="husband"/>
    <x v="311"/>
    <x v="0"/>
    <x v="33"/>
    <x v="0"/>
    <x v="0"/>
    <x v="2"/>
    <x v="3"/>
    <x v="2"/>
    <x v="0"/>
    <x v="899"/>
    <x v="6"/>
    <x v="0"/>
    <x v="0"/>
    <x v="1"/>
    <x v="2"/>
    <x v="2"/>
    <x v="500"/>
    <x v="315"/>
    <n v="6940"/>
    <x v="679"/>
    <s v="Mercedes"/>
    <s v="C300"/>
    <n v="2000"/>
    <x v="1"/>
    <n v="0"/>
  </r>
  <r>
    <n v="5"/>
    <x v="42"/>
    <x v="900"/>
    <d v="2002-11-13T00:00:00"/>
    <x v="1"/>
    <s v="250/500"/>
    <n v="500"/>
    <x v="890"/>
    <n v="5000000"/>
    <x v="896"/>
    <x v="1"/>
    <x v="5"/>
    <x v="8"/>
    <x v="0"/>
    <s v="own-child"/>
    <x v="1"/>
    <x v="0"/>
    <x v="36"/>
    <x v="0"/>
    <x v="0"/>
    <x v="2"/>
    <x v="0"/>
    <x v="2"/>
    <x v="6"/>
    <x v="900"/>
    <x v="6"/>
    <x v="0"/>
    <x v="0"/>
    <x v="1"/>
    <x v="1"/>
    <x v="2"/>
    <x v="705"/>
    <x v="598"/>
    <n v="4050"/>
    <x v="680"/>
    <s v="Nissan"/>
    <s v="Pathfinder"/>
    <n v="1998"/>
    <x v="1"/>
    <n v="0"/>
  </r>
  <r>
    <n v="64"/>
    <x v="23"/>
    <x v="901"/>
    <d v="1991-11-09T00:00:00"/>
    <x v="2"/>
    <s v="500/1000"/>
    <n v="1000"/>
    <x v="891"/>
    <n v="0"/>
    <x v="897"/>
    <x v="0"/>
    <x v="6"/>
    <x v="11"/>
    <x v="9"/>
    <s v="other-relative"/>
    <x v="312"/>
    <x v="134"/>
    <x v="56"/>
    <x v="2"/>
    <x v="0"/>
    <x v="1"/>
    <x v="2"/>
    <x v="0"/>
    <x v="1"/>
    <x v="901"/>
    <x v="10"/>
    <x v="1"/>
    <x v="2"/>
    <x v="2"/>
    <x v="3"/>
    <x v="2"/>
    <x v="706"/>
    <x v="439"/>
    <n v="10000"/>
    <x v="681"/>
    <s v="Honda"/>
    <s v="Accord"/>
    <n v="1997"/>
    <x v="1"/>
    <n v="0"/>
  </r>
  <r>
    <n v="142"/>
    <x v="22"/>
    <x v="902"/>
    <d v="1998-01-14T00:00:00"/>
    <x v="1"/>
    <s v="500/1000"/>
    <n v="500"/>
    <x v="892"/>
    <n v="0"/>
    <x v="898"/>
    <x v="0"/>
    <x v="1"/>
    <x v="3"/>
    <x v="16"/>
    <s v="wife"/>
    <x v="99"/>
    <x v="308"/>
    <x v="3"/>
    <x v="0"/>
    <x v="0"/>
    <x v="1"/>
    <x v="3"/>
    <x v="4"/>
    <x v="1"/>
    <x v="902"/>
    <x v="9"/>
    <x v="0"/>
    <x v="0"/>
    <x v="2"/>
    <x v="2"/>
    <x v="2"/>
    <x v="504"/>
    <x v="599"/>
    <n v="11220"/>
    <x v="682"/>
    <s v="Volkswagen"/>
    <s v="Jetta"/>
    <n v="1996"/>
    <x v="1"/>
    <n v="0"/>
  </r>
  <r>
    <n v="97"/>
    <x v="28"/>
    <x v="903"/>
    <d v="2002-04-25T00:00:00"/>
    <x v="0"/>
    <s v="500/1000"/>
    <n v="500"/>
    <x v="893"/>
    <n v="0"/>
    <x v="899"/>
    <x v="1"/>
    <x v="5"/>
    <x v="4"/>
    <x v="10"/>
    <s v="husband"/>
    <x v="151"/>
    <x v="263"/>
    <x v="27"/>
    <x v="2"/>
    <x v="0"/>
    <x v="2"/>
    <x v="3"/>
    <x v="1"/>
    <x v="1"/>
    <x v="903"/>
    <x v="9"/>
    <x v="1"/>
    <x v="0"/>
    <x v="2"/>
    <x v="3"/>
    <x v="0"/>
    <x v="707"/>
    <x v="600"/>
    <n v="8410"/>
    <x v="464"/>
    <s v="Saab"/>
    <n v="95"/>
    <n v="2014"/>
    <x v="1"/>
    <n v="0"/>
  </r>
  <r>
    <n v="121"/>
    <x v="14"/>
    <x v="904"/>
    <d v="1991-07-20T00:00:00"/>
    <x v="1"/>
    <s v="100/300"/>
    <n v="1000"/>
    <x v="894"/>
    <n v="0"/>
    <x v="900"/>
    <x v="0"/>
    <x v="2"/>
    <x v="12"/>
    <x v="13"/>
    <s v="other-relative"/>
    <x v="260"/>
    <x v="0"/>
    <x v="11"/>
    <x v="2"/>
    <x v="0"/>
    <x v="0"/>
    <x v="2"/>
    <x v="1"/>
    <x v="5"/>
    <x v="904"/>
    <x v="12"/>
    <x v="1"/>
    <x v="2"/>
    <x v="0"/>
    <x v="0"/>
    <x v="1"/>
    <x v="708"/>
    <x v="601"/>
    <n v="6430"/>
    <x v="683"/>
    <s v="Chevrolet"/>
    <s v="Silverado"/>
    <n v="2002"/>
    <x v="0"/>
    <n v="0"/>
  </r>
  <r>
    <n v="225"/>
    <x v="18"/>
    <x v="905"/>
    <d v="2004-08-13T00:00:00"/>
    <x v="0"/>
    <s v="100/300"/>
    <n v="1000"/>
    <x v="895"/>
    <n v="0"/>
    <x v="901"/>
    <x v="0"/>
    <x v="6"/>
    <x v="7"/>
    <x v="7"/>
    <s v="own-child"/>
    <x v="1"/>
    <x v="326"/>
    <x v="25"/>
    <x v="2"/>
    <x v="2"/>
    <x v="0"/>
    <x v="0"/>
    <x v="0"/>
    <x v="0"/>
    <x v="905"/>
    <x v="16"/>
    <x v="1"/>
    <x v="2"/>
    <x v="2"/>
    <x v="1"/>
    <x v="0"/>
    <x v="599"/>
    <x v="517"/>
    <n v="6440"/>
    <x v="577"/>
    <s v="BMW"/>
    <s v="X5"/>
    <n v="2011"/>
    <x v="1"/>
    <n v="0"/>
  </r>
  <r>
    <n v="425"/>
    <x v="38"/>
    <x v="906"/>
    <d v="1990-06-24T00:00:00"/>
    <x v="0"/>
    <s v="250/500"/>
    <n v="2000"/>
    <x v="896"/>
    <n v="0"/>
    <x v="902"/>
    <x v="1"/>
    <x v="5"/>
    <x v="7"/>
    <x v="13"/>
    <s v="husband"/>
    <x v="95"/>
    <x v="205"/>
    <x v="50"/>
    <x v="2"/>
    <x v="3"/>
    <x v="1"/>
    <x v="2"/>
    <x v="4"/>
    <x v="5"/>
    <x v="906"/>
    <x v="18"/>
    <x v="1"/>
    <x v="1"/>
    <x v="0"/>
    <x v="0"/>
    <x v="1"/>
    <x v="39"/>
    <x v="39"/>
    <n v="16180"/>
    <x v="39"/>
    <s v="Saab"/>
    <s v="92x"/>
    <n v="2005"/>
    <x v="1"/>
    <n v="0"/>
  </r>
  <r>
    <n v="285"/>
    <x v="4"/>
    <x v="907"/>
    <d v="1991-08-21T00:00:00"/>
    <x v="0"/>
    <s v="250/500"/>
    <n v="2000"/>
    <x v="897"/>
    <n v="0"/>
    <x v="903"/>
    <x v="0"/>
    <x v="0"/>
    <x v="7"/>
    <x v="5"/>
    <s v="not-in-family"/>
    <x v="53"/>
    <x v="0"/>
    <x v="57"/>
    <x v="1"/>
    <x v="1"/>
    <x v="1"/>
    <x v="0"/>
    <x v="4"/>
    <x v="6"/>
    <x v="907"/>
    <x v="19"/>
    <x v="0"/>
    <x v="0"/>
    <x v="0"/>
    <x v="1"/>
    <x v="1"/>
    <x v="179"/>
    <x v="448"/>
    <n v="500"/>
    <x v="684"/>
    <s v="Honda"/>
    <s v="Civic"/>
    <n v="2010"/>
    <x v="1"/>
    <n v="0"/>
  </r>
  <r>
    <n v="192"/>
    <x v="11"/>
    <x v="908"/>
    <d v="2011-02-25T00:00:00"/>
    <x v="1"/>
    <s v="500/1000"/>
    <n v="1000"/>
    <x v="898"/>
    <n v="0"/>
    <x v="904"/>
    <x v="1"/>
    <x v="4"/>
    <x v="10"/>
    <x v="9"/>
    <s v="not-in-family"/>
    <x v="313"/>
    <x v="35"/>
    <x v="8"/>
    <x v="2"/>
    <x v="2"/>
    <x v="2"/>
    <x v="3"/>
    <x v="0"/>
    <x v="5"/>
    <x v="908"/>
    <x v="15"/>
    <x v="1"/>
    <x v="1"/>
    <x v="1"/>
    <x v="0"/>
    <x v="2"/>
    <x v="647"/>
    <x v="555"/>
    <n v="6140"/>
    <x v="624"/>
    <s v="Jeep"/>
    <s v="Wrangler"/>
    <n v="2010"/>
    <x v="1"/>
    <n v="0"/>
  </r>
  <r>
    <n v="285"/>
    <x v="0"/>
    <x v="909"/>
    <d v="2013-02-04T00:00:00"/>
    <x v="2"/>
    <s v="100/300"/>
    <n v="2000"/>
    <x v="899"/>
    <n v="0"/>
    <x v="905"/>
    <x v="1"/>
    <x v="3"/>
    <x v="2"/>
    <x v="8"/>
    <s v="wife"/>
    <x v="281"/>
    <x v="0"/>
    <x v="7"/>
    <x v="0"/>
    <x v="0"/>
    <x v="1"/>
    <x v="0"/>
    <x v="7"/>
    <x v="3"/>
    <x v="909"/>
    <x v="10"/>
    <x v="0"/>
    <x v="2"/>
    <x v="0"/>
    <x v="0"/>
    <x v="0"/>
    <x v="566"/>
    <x v="494"/>
    <n v="3720"/>
    <x v="542"/>
    <s v="Nissan"/>
    <s v="Pathfinder"/>
    <n v="2012"/>
    <x v="1"/>
    <n v="0"/>
  </r>
  <r>
    <n v="98"/>
    <x v="13"/>
    <x v="910"/>
    <d v="2001-02-20T00:00:00"/>
    <x v="1"/>
    <s v="500/1000"/>
    <n v="2000"/>
    <x v="900"/>
    <n v="0"/>
    <x v="906"/>
    <x v="0"/>
    <x v="6"/>
    <x v="8"/>
    <x v="15"/>
    <s v="other-relative"/>
    <x v="1"/>
    <x v="327"/>
    <x v="53"/>
    <x v="2"/>
    <x v="3"/>
    <x v="2"/>
    <x v="0"/>
    <x v="4"/>
    <x v="5"/>
    <x v="910"/>
    <x v="21"/>
    <x v="3"/>
    <x v="1"/>
    <x v="1"/>
    <x v="3"/>
    <x v="0"/>
    <x v="709"/>
    <x v="602"/>
    <n v="7270"/>
    <x v="397"/>
    <s v="Jeep"/>
    <s v="Wrangler"/>
    <n v="2001"/>
    <x v="1"/>
    <n v="0"/>
  </r>
  <r>
    <n v="175"/>
    <x v="31"/>
    <x v="911"/>
    <d v="1992-03-03T00:00:00"/>
    <x v="0"/>
    <s v="500/1000"/>
    <n v="500"/>
    <x v="901"/>
    <n v="0"/>
    <x v="907"/>
    <x v="0"/>
    <x v="4"/>
    <x v="8"/>
    <x v="15"/>
    <s v="not-in-family"/>
    <x v="173"/>
    <x v="328"/>
    <x v="8"/>
    <x v="2"/>
    <x v="2"/>
    <x v="0"/>
    <x v="0"/>
    <x v="5"/>
    <x v="5"/>
    <x v="911"/>
    <x v="12"/>
    <x v="1"/>
    <x v="0"/>
    <x v="2"/>
    <x v="3"/>
    <x v="0"/>
    <x v="710"/>
    <x v="603"/>
    <n v="7760"/>
    <x v="247"/>
    <s v="Accura"/>
    <s v="RSX"/>
    <n v="2006"/>
    <x v="0"/>
    <n v="0"/>
  </r>
  <r>
    <n v="259"/>
    <x v="19"/>
    <x v="912"/>
    <d v="2006-12-21T00:00:00"/>
    <x v="2"/>
    <s v="500/1000"/>
    <n v="2000"/>
    <x v="902"/>
    <n v="0"/>
    <x v="908"/>
    <x v="0"/>
    <x v="0"/>
    <x v="0"/>
    <x v="10"/>
    <s v="not-in-family"/>
    <x v="314"/>
    <x v="0"/>
    <x v="28"/>
    <x v="0"/>
    <x v="0"/>
    <x v="1"/>
    <x v="2"/>
    <x v="4"/>
    <x v="3"/>
    <x v="912"/>
    <x v="6"/>
    <x v="0"/>
    <x v="1"/>
    <x v="0"/>
    <x v="3"/>
    <x v="2"/>
    <x v="711"/>
    <x v="604"/>
    <n v="7980"/>
    <x v="685"/>
    <s v="Honda"/>
    <s v="CRV"/>
    <n v="2011"/>
    <x v="1"/>
    <n v="0"/>
  </r>
  <r>
    <n v="140"/>
    <x v="31"/>
    <x v="913"/>
    <d v="2000-07-14T00:00:00"/>
    <x v="0"/>
    <s v="500/1000"/>
    <n v="2000"/>
    <x v="903"/>
    <n v="0"/>
    <x v="909"/>
    <x v="1"/>
    <x v="6"/>
    <x v="10"/>
    <x v="19"/>
    <s v="own-child"/>
    <x v="1"/>
    <x v="329"/>
    <x v="44"/>
    <x v="2"/>
    <x v="3"/>
    <x v="0"/>
    <x v="2"/>
    <x v="2"/>
    <x v="1"/>
    <x v="913"/>
    <x v="23"/>
    <x v="2"/>
    <x v="0"/>
    <x v="1"/>
    <x v="0"/>
    <x v="0"/>
    <x v="712"/>
    <x v="605"/>
    <n v="14560"/>
    <x v="650"/>
    <s v="Honda"/>
    <s v="Accord"/>
    <n v="1998"/>
    <x v="1"/>
    <n v="0"/>
  </r>
  <r>
    <n v="231"/>
    <x v="7"/>
    <x v="914"/>
    <d v="1991-12-12T00:00:00"/>
    <x v="0"/>
    <s v="250/500"/>
    <n v="500"/>
    <x v="904"/>
    <n v="0"/>
    <x v="910"/>
    <x v="1"/>
    <x v="5"/>
    <x v="2"/>
    <x v="14"/>
    <s v="wife"/>
    <x v="1"/>
    <x v="0"/>
    <x v="56"/>
    <x v="0"/>
    <x v="2"/>
    <x v="0"/>
    <x v="2"/>
    <x v="0"/>
    <x v="4"/>
    <x v="914"/>
    <x v="8"/>
    <x v="0"/>
    <x v="0"/>
    <x v="2"/>
    <x v="1"/>
    <x v="1"/>
    <x v="713"/>
    <x v="20"/>
    <n v="7910"/>
    <x v="10"/>
    <s v="Mercedes"/>
    <s v="C300"/>
    <n v="1997"/>
    <x v="0"/>
    <n v="0"/>
  </r>
  <r>
    <n v="186"/>
    <x v="11"/>
    <x v="915"/>
    <d v="2013-07-01T00:00:00"/>
    <x v="0"/>
    <s v="100/300"/>
    <n v="500"/>
    <x v="905"/>
    <n v="0"/>
    <x v="911"/>
    <x v="0"/>
    <x v="5"/>
    <x v="12"/>
    <x v="6"/>
    <s v="husband"/>
    <x v="181"/>
    <x v="330"/>
    <x v="54"/>
    <x v="1"/>
    <x v="1"/>
    <x v="3"/>
    <x v="1"/>
    <x v="2"/>
    <x v="4"/>
    <x v="915"/>
    <x v="2"/>
    <x v="0"/>
    <x v="1"/>
    <x v="0"/>
    <x v="3"/>
    <x v="0"/>
    <x v="332"/>
    <x v="466"/>
    <n v="400"/>
    <x v="686"/>
    <s v="Honda"/>
    <s v="Civic"/>
    <n v="1999"/>
    <x v="1"/>
    <n v="0"/>
  </r>
  <r>
    <n v="229"/>
    <x v="3"/>
    <x v="916"/>
    <d v="1998-12-16T00:00:00"/>
    <x v="0"/>
    <s v="250/500"/>
    <n v="2000"/>
    <x v="906"/>
    <n v="3000000"/>
    <x v="912"/>
    <x v="0"/>
    <x v="1"/>
    <x v="4"/>
    <x v="14"/>
    <s v="not-in-family"/>
    <x v="315"/>
    <x v="0"/>
    <x v="49"/>
    <x v="0"/>
    <x v="0"/>
    <x v="0"/>
    <x v="3"/>
    <x v="2"/>
    <x v="0"/>
    <x v="916"/>
    <x v="6"/>
    <x v="0"/>
    <x v="2"/>
    <x v="0"/>
    <x v="2"/>
    <x v="2"/>
    <x v="714"/>
    <x v="560"/>
    <n v="10440"/>
    <x v="179"/>
    <s v="Mercedes"/>
    <s v="C300"/>
    <n v="2009"/>
    <x v="1"/>
    <n v="0"/>
  </r>
  <r>
    <n v="180"/>
    <x v="31"/>
    <x v="917"/>
    <d v="2015-01-03T00:00:00"/>
    <x v="2"/>
    <s v="100/300"/>
    <n v="500"/>
    <x v="907"/>
    <n v="0"/>
    <x v="913"/>
    <x v="0"/>
    <x v="3"/>
    <x v="5"/>
    <x v="20"/>
    <s v="wife"/>
    <x v="1"/>
    <x v="0"/>
    <x v="46"/>
    <x v="2"/>
    <x v="3"/>
    <x v="1"/>
    <x v="4"/>
    <x v="2"/>
    <x v="6"/>
    <x v="917"/>
    <x v="2"/>
    <x v="1"/>
    <x v="0"/>
    <x v="2"/>
    <x v="3"/>
    <x v="1"/>
    <x v="715"/>
    <x v="381"/>
    <n v="6330"/>
    <x v="608"/>
    <s v="Toyota"/>
    <s v="Corolla"/>
    <n v="1998"/>
    <x v="1"/>
    <n v="0"/>
  </r>
  <r>
    <n v="188"/>
    <x v="8"/>
    <x v="918"/>
    <d v="1994-04-01T00:00:00"/>
    <x v="2"/>
    <s v="250/500"/>
    <n v="1000"/>
    <x v="908"/>
    <n v="0"/>
    <x v="914"/>
    <x v="0"/>
    <x v="5"/>
    <x v="9"/>
    <x v="14"/>
    <s v="own-child"/>
    <x v="1"/>
    <x v="331"/>
    <x v="42"/>
    <x v="2"/>
    <x v="2"/>
    <x v="1"/>
    <x v="0"/>
    <x v="2"/>
    <x v="4"/>
    <x v="918"/>
    <x v="1"/>
    <x v="1"/>
    <x v="0"/>
    <x v="0"/>
    <x v="1"/>
    <x v="1"/>
    <x v="716"/>
    <x v="606"/>
    <n v="6910"/>
    <x v="211"/>
    <s v="Dodge"/>
    <s v="RAM"/>
    <n v="1995"/>
    <x v="0"/>
    <n v="0"/>
  </r>
  <r>
    <n v="214"/>
    <x v="17"/>
    <x v="919"/>
    <d v="2000-08-15T00:00:00"/>
    <x v="0"/>
    <s v="100/300"/>
    <n v="1000"/>
    <x v="909"/>
    <n v="0"/>
    <x v="915"/>
    <x v="0"/>
    <x v="6"/>
    <x v="10"/>
    <x v="5"/>
    <s v="not-in-family"/>
    <x v="316"/>
    <x v="332"/>
    <x v="57"/>
    <x v="0"/>
    <x v="2"/>
    <x v="2"/>
    <x v="3"/>
    <x v="4"/>
    <x v="6"/>
    <x v="919"/>
    <x v="18"/>
    <x v="0"/>
    <x v="2"/>
    <x v="0"/>
    <x v="1"/>
    <x v="0"/>
    <x v="717"/>
    <x v="607"/>
    <n v="4020"/>
    <x v="687"/>
    <s v="Accura"/>
    <s v="MDX"/>
    <n v="2000"/>
    <x v="1"/>
    <n v="0"/>
  </r>
  <r>
    <n v="178"/>
    <x v="11"/>
    <x v="920"/>
    <d v="2014-11-13T00:00:00"/>
    <x v="2"/>
    <s v="250/500"/>
    <n v="500"/>
    <x v="910"/>
    <n v="0"/>
    <x v="916"/>
    <x v="1"/>
    <x v="3"/>
    <x v="6"/>
    <x v="7"/>
    <s v="wife"/>
    <x v="1"/>
    <x v="0"/>
    <x v="2"/>
    <x v="2"/>
    <x v="2"/>
    <x v="1"/>
    <x v="3"/>
    <x v="2"/>
    <x v="6"/>
    <x v="920"/>
    <x v="15"/>
    <x v="1"/>
    <x v="2"/>
    <x v="1"/>
    <x v="2"/>
    <x v="2"/>
    <x v="718"/>
    <x v="608"/>
    <n v="10400"/>
    <x v="688"/>
    <s v="BMW"/>
    <s v="M5"/>
    <n v="2011"/>
    <x v="1"/>
    <n v="0"/>
  </r>
  <r>
    <n v="55"/>
    <x v="21"/>
    <x v="921"/>
    <d v="2011-02-04T00:00:00"/>
    <x v="2"/>
    <s v="500/1000"/>
    <n v="500"/>
    <x v="911"/>
    <n v="8000000"/>
    <x v="917"/>
    <x v="0"/>
    <x v="0"/>
    <x v="7"/>
    <x v="18"/>
    <s v="wife"/>
    <x v="1"/>
    <x v="0"/>
    <x v="45"/>
    <x v="1"/>
    <x v="1"/>
    <x v="1"/>
    <x v="0"/>
    <x v="4"/>
    <x v="0"/>
    <x v="921"/>
    <x v="10"/>
    <x v="0"/>
    <x v="2"/>
    <x v="1"/>
    <x v="2"/>
    <x v="2"/>
    <x v="249"/>
    <x v="139"/>
    <n v="560"/>
    <x v="182"/>
    <s v="Nissan"/>
    <s v="Ultima"/>
    <n v="1998"/>
    <x v="1"/>
    <n v="0"/>
  </r>
  <r>
    <n v="90"/>
    <x v="14"/>
    <x v="922"/>
    <d v="1990-06-24T00:00:00"/>
    <x v="0"/>
    <s v="250/500"/>
    <n v="2000"/>
    <x v="912"/>
    <n v="0"/>
    <x v="918"/>
    <x v="1"/>
    <x v="1"/>
    <x v="6"/>
    <x v="11"/>
    <s v="not-in-family"/>
    <x v="317"/>
    <x v="0"/>
    <x v="10"/>
    <x v="0"/>
    <x v="2"/>
    <x v="2"/>
    <x v="3"/>
    <x v="0"/>
    <x v="4"/>
    <x v="922"/>
    <x v="23"/>
    <x v="0"/>
    <x v="0"/>
    <x v="0"/>
    <x v="1"/>
    <x v="0"/>
    <x v="719"/>
    <x v="609"/>
    <n v="6890"/>
    <x v="689"/>
    <s v="Accura"/>
    <s v="RSX"/>
    <n v="2007"/>
    <x v="1"/>
    <n v="0"/>
  </r>
  <r>
    <n v="135"/>
    <x v="22"/>
    <x v="923"/>
    <d v="2009-01-21T00:00:00"/>
    <x v="1"/>
    <s v="500/1000"/>
    <n v="2000"/>
    <x v="913"/>
    <n v="0"/>
    <x v="919"/>
    <x v="1"/>
    <x v="0"/>
    <x v="13"/>
    <x v="9"/>
    <s v="wife"/>
    <x v="318"/>
    <x v="24"/>
    <x v="16"/>
    <x v="2"/>
    <x v="2"/>
    <x v="1"/>
    <x v="4"/>
    <x v="4"/>
    <x v="1"/>
    <x v="923"/>
    <x v="22"/>
    <x v="1"/>
    <x v="2"/>
    <x v="1"/>
    <x v="3"/>
    <x v="2"/>
    <x v="720"/>
    <x v="173"/>
    <n v="2970"/>
    <x v="690"/>
    <s v="Honda"/>
    <s v="Accord"/>
    <n v="2003"/>
    <x v="1"/>
    <n v="0"/>
  </r>
  <r>
    <n v="277"/>
    <x v="35"/>
    <x v="924"/>
    <d v="1992-11-07T00:00:00"/>
    <x v="2"/>
    <s v="250/500"/>
    <n v="2000"/>
    <x v="914"/>
    <n v="0"/>
    <x v="920"/>
    <x v="1"/>
    <x v="2"/>
    <x v="12"/>
    <x v="17"/>
    <s v="husband"/>
    <x v="1"/>
    <x v="333"/>
    <x v="27"/>
    <x v="1"/>
    <x v="1"/>
    <x v="1"/>
    <x v="0"/>
    <x v="1"/>
    <x v="2"/>
    <x v="924"/>
    <x v="14"/>
    <x v="0"/>
    <x v="1"/>
    <x v="2"/>
    <x v="2"/>
    <x v="2"/>
    <x v="721"/>
    <x v="49"/>
    <n v="860"/>
    <x v="67"/>
    <s v="Jeep"/>
    <s v="Wrangler"/>
    <n v="2010"/>
    <x v="1"/>
    <n v="0"/>
  </r>
  <r>
    <n v="211"/>
    <x v="11"/>
    <x v="925"/>
    <d v="1997-05-15T00:00:00"/>
    <x v="1"/>
    <s v="250/500"/>
    <n v="1000"/>
    <x v="915"/>
    <n v="0"/>
    <x v="921"/>
    <x v="1"/>
    <x v="4"/>
    <x v="10"/>
    <x v="17"/>
    <s v="own-child"/>
    <x v="1"/>
    <x v="0"/>
    <x v="35"/>
    <x v="0"/>
    <x v="3"/>
    <x v="2"/>
    <x v="2"/>
    <x v="2"/>
    <x v="0"/>
    <x v="925"/>
    <x v="11"/>
    <x v="0"/>
    <x v="1"/>
    <x v="1"/>
    <x v="2"/>
    <x v="0"/>
    <x v="722"/>
    <x v="610"/>
    <n v="16640"/>
    <x v="691"/>
    <s v="BMW"/>
    <s v="X6"/>
    <n v="2005"/>
    <x v="0"/>
    <n v="0"/>
  </r>
  <r>
    <n v="156"/>
    <x v="30"/>
    <x v="926"/>
    <d v="1992-03-20T00:00:00"/>
    <x v="2"/>
    <s v="250/500"/>
    <n v="500"/>
    <x v="916"/>
    <n v="0"/>
    <x v="922"/>
    <x v="0"/>
    <x v="4"/>
    <x v="5"/>
    <x v="4"/>
    <s v="unmarried"/>
    <x v="1"/>
    <x v="0"/>
    <x v="6"/>
    <x v="0"/>
    <x v="3"/>
    <x v="0"/>
    <x v="3"/>
    <x v="2"/>
    <x v="6"/>
    <x v="926"/>
    <x v="12"/>
    <x v="0"/>
    <x v="0"/>
    <x v="0"/>
    <x v="2"/>
    <x v="0"/>
    <x v="723"/>
    <x v="611"/>
    <n v="13580"/>
    <x v="692"/>
    <s v="Dodge"/>
    <s v="RAM"/>
    <n v="2008"/>
    <x v="0"/>
    <n v="0"/>
  </r>
  <r>
    <n v="84"/>
    <x v="22"/>
    <x v="927"/>
    <d v="1995-07-17T00:00:00"/>
    <x v="1"/>
    <s v="500/1000"/>
    <n v="2000"/>
    <x v="917"/>
    <n v="0"/>
    <x v="923"/>
    <x v="0"/>
    <x v="2"/>
    <x v="7"/>
    <x v="18"/>
    <s v="other-relative"/>
    <x v="1"/>
    <x v="334"/>
    <x v="14"/>
    <x v="1"/>
    <x v="1"/>
    <x v="3"/>
    <x v="0"/>
    <x v="1"/>
    <x v="3"/>
    <x v="927"/>
    <x v="10"/>
    <x v="0"/>
    <x v="0"/>
    <x v="0"/>
    <x v="2"/>
    <x v="1"/>
    <x v="480"/>
    <x v="589"/>
    <n v="840"/>
    <x v="102"/>
    <s v="Audi"/>
    <s v="A5"/>
    <n v="1998"/>
    <x v="1"/>
    <n v="0"/>
  </r>
  <r>
    <n v="136"/>
    <x v="30"/>
    <x v="928"/>
    <d v="2000-12-27T00:00:00"/>
    <x v="1"/>
    <s v="100/300"/>
    <n v="500"/>
    <x v="918"/>
    <n v="0"/>
    <x v="924"/>
    <x v="1"/>
    <x v="6"/>
    <x v="2"/>
    <x v="12"/>
    <s v="not-in-family"/>
    <x v="1"/>
    <x v="0"/>
    <x v="57"/>
    <x v="0"/>
    <x v="0"/>
    <x v="0"/>
    <x v="0"/>
    <x v="0"/>
    <x v="2"/>
    <x v="928"/>
    <x v="13"/>
    <x v="0"/>
    <x v="0"/>
    <x v="1"/>
    <x v="1"/>
    <x v="2"/>
    <x v="501"/>
    <x v="452"/>
    <n v="10000"/>
    <x v="492"/>
    <s v="Toyota"/>
    <s v="Camry"/>
    <n v="2008"/>
    <x v="0"/>
    <n v="0"/>
  </r>
  <r>
    <n v="310"/>
    <x v="0"/>
    <x v="929"/>
    <d v="1999-08-06T00:00:00"/>
    <x v="1"/>
    <s v="100/300"/>
    <n v="500"/>
    <x v="919"/>
    <n v="0"/>
    <x v="925"/>
    <x v="1"/>
    <x v="6"/>
    <x v="12"/>
    <x v="0"/>
    <s v="unmarried"/>
    <x v="319"/>
    <x v="0"/>
    <x v="59"/>
    <x v="2"/>
    <x v="2"/>
    <x v="0"/>
    <x v="0"/>
    <x v="0"/>
    <x v="3"/>
    <x v="929"/>
    <x v="20"/>
    <x v="2"/>
    <x v="0"/>
    <x v="1"/>
    <x v="0"/>
    <x v="2"/>
    <x v="190"/>
    <x v="612"/>
    <n v="6600"/>
    <x v="524"/>
    <s v="Saab"/>
    <n v="93"/>
    <n v="1996"/>
    <x v="0"/>
    <n v="0"/>
  </r>
  <r>
    <n v="123"/>
    <x v="6"/>
    <x v="930"/>
    <d v="2007-03-03T00:00:00"/>
    <x v="0"/>
    <s v="500/1000"/>
    <n v="2000"/>
    <x v="920"/>
    <n v="0"/>
    <x v="926"/>
    <x v="1"/>
    <x v="3"/>
    <x v="2"/>
    <x v="0"/>
    <s v="husband"/>
    <x v="320"/>
    <x v="335"/>
    <x v="45"/>
    <x v="2"/>
    <x v="0"/>
    <x v="2"/>
    <x v="2"/>
    <x v="7"/>
    <x v="0"/>
    <x v="930"/>
    <x v="21"/>
    <x v="1"/>
    <x v="2"/>
    <x v="0"/>
    <x v="3"/>
    <x v="1"/>
    <x v="724"/>
    <x v="413"/>
    <n v="0"/>
    <x v="447"/>
    <s v="Nissan"/>
    <s v="Ultima"/>
    <n v="2000"/>
    <x v="1"/>
    <n v="0"/>
  </r>
  <r>
    <n v="243"/>
    <x v="4"/>
    <x v="931"/>
    <d v="1997-12-25T00:00:00"/>
    <x v="2"/>
    <s v="250/500"/>
    <n v="500"/>
    <x v="921"/>
    <n v="0"/>
    <x v="927"/>
    <x v="0"/>
    <x v="6"/>
    <x v="0"/>
    <x v="18"/>
    <s v="other-relative"/>
    <x v="321"/>
    <x v="0"/>
    <x v="35"/>
    <x v="2"/>
    <x v="0"/>
    <x v="1"/>
    <x v="3"/>
    <x v="5"/>
    <x v="3"/>
    <x v="931"/>
    <x v="14"/>
    <x v="1"/>
    <x v="1"/>
    <x v="2"/>
    <x v="3"/>
    <x v="0"/>
    <x v="725"/>
    <x v="613"/>
    <n v="10280"/>
    <x v="693"/>
    <s v="Honda"/>
    <s v="Civic"/>
    <n v="1996"/>
    <x v="1"/>
    <n v="0"/>
  </r>
  <r>
    <n v="36"/>
    <x v="7"/>
    <x v="932"/>
    <d v="2013-11-06T00:00:00"/>
    <x v="2"/>
    <s v="500/1000"/>
    <n v="1000"/>
    <x v="922"/>
    <n v="0"/>
    <x v="928"/>
    <x v="1"/>
    <x v="4"/>
    <x v="1"/>
    <x v="1"/>
    <s v="husband"/>
    <x v="1"/>
    <x v="336"/>
    <x v="26"/>
    <x v="2"/>
    <x v="0"/>
    <x v="1"/>
    <x v="4"/>
    <x v="2"/>
    <x v="0"/>
    <x v="932"/>
    <x v="3"/>
    <x v="1"/>
    <x v="0"/>
    <x v="0"/>
    <x v="2"/>
    <x v="1"/>
    <x v="726"/>
    <x v="614"/>
    <n v="10840"/>
    <x v="694"/>
    <s v="Dodge"/>
    <s v="Neon"/>
    <n v="2008"/>
    <x v="1"/>
    <n v="0"/>
  </r>
  <r>
    <n v="146"/>
    <x v="14"/>
    <x v="933"/>
    <d v="1990-09-21T00:00:00"/>
    <x v="0"/>
    <s v="100/300"/>
    <n v="1000"/>
    <x v="923"/>
    <n v="5000000"/>
    <x v="929"/>
    <x v="1"/>
    <x v="3"/>
    <x v="3"/>
    <x v="7"/>
    <s v="own-child"/>
    <x v="1"/>
    <x v="0"/>
    <x v="51"/>
    <x v="2"/>
    <x v="2"/>
    <x v="0"/>
    <x v="4"/>
    <x v="1"/>
    <x v="1"/>
    <x v="933"/>
    <x v="5"/>
    <x v="1"/>
    <x v="2"/>
    <x v="0"/>
    <x v="2"/>
    <x v="1"/>
    <x v="727"/>
    <x v="344"/>
    <n v="5820"/>
    <x v="695"/>
    <s v="Toyota"/>
    <s v="Highlander"/>
    <n v="2010"/>
    <x v="1"/>
    <n v="0"/>
  </r>
  <r>
    <n v="154"/>
    <x v="6"/>
    <x v="934"/>
    <d v="1999-10-05T00:00:00"/>
    <x v="0"/>
    <s v="100/300"/>
    <n v="1000"/>
    <x v="924"/>
    <n v="0"/>
    <x v="930"/>
    <x v="1"/>
    <x v="6"/>
    <x v="7"/>
    <x v="19"/>
    <s v="husband"/>
    <x v="126"/>
    <x v="337"/>
    <x v="48"/>
    <x v="2"/>
    <x v="0"/>
    <x v="2"/>
    <x v="3"/>
    <x v="4"/>
    <x v="4"/>
    <x v="934"/>
    <x v="22"/>
    <x v="2"/>
    <x v="1"/>
    <x v="2"/>
    <x v="2"/>
    <x v="0"/>
    <x v="339"/>
    <x v="305"/>
    <n v="13520"/>
    <x v="357"/>
    <s v="Toyota"/>
    <s v="Highlander"/>
    <n v="2005"/>
    <x v="0"/>
    <n v="0"/>
  </r>
  <r>
    <n v="204"/>
    <x v="17"/>
    <x v="935"/>
    <d v="1992-04-07T00:00:00"/>
    <x v="0"/>
    <s v="250/500"/>
    <n v="1000"/>
    <x v="925"/>
    <n v="7000000"/>
    <x v="931"/>
    <x v="0"/>
    <x v="5"/>
    <x v="9"/>
    <x v="18"/>
    <s v="other-relative"/>
    <x v="137"/>
    <x v="44"/>
    <x v="25"/>
    <x v="0"/>
    <x v="3"/>
    <x v="1"/>
    <x v="0"/>
    <x v="2"/>
    <x v="6"/>
    <x v="935"/>
    <x v="13"/>
    <x v="0"/>
    <x v="1"/>
    <x v="0"/>
    <x v="1"/>
    <x v="1"/>
    <x v="271"/>
    <x v="248"/>
    <n v="5340"/>
    <x v="256"/>
    <s v="Honda"/>
    <s v="CRV"/>
    <n v="2003"/>
    <x v="1"/>
    <n v="0"/>
  </r>
  <r>
    <n v="458"/>
    <x v="27"/>
    <x v="936"/>
    <d v="2009-03-05T00:00:00"/>
    <x v="1"/>
    <s v="100/300"/>
    <n v="1000"/>
    <x v="926"/>
    <n v="0"/>
    <x v="932"/>
    <x v="1"/>
    <x v="5"/>
    <x v="9"/>
    <x v="11"/>
    <s v="wife"/>
    <x v="322"/>
    <x v="0"/>
    <x v="4"/>
    <x v="0"/>
    <x v="3"/>
    <x v="2"/>
    <x v="0"/>
    <x v="1"/>
    <x v="4"/>
    <x v="936"/>
    <x v="6"/>
    <x v="0"/>
    <x v="1"/>
    <x v="2"/>
    <x v="0"/>
    <x v="0"/>
    <x v="728"/>
    <x v="615"/>
    <n v="14360"/>
    <x v="696"/>
    <s v="Jeep"/>
    <s v="Grand Cherokee"/>
    <n v="1995"/>
    <x v="1"/>
    <n v="0"/>
  </r>
  <r>
    <n v="147"/>
    <x v="14"/>
    <x v="937"/>
    <d v="1997-02-10T00:00:00"/>
    <x v="1"/>
    <s v="250/500"/>
    <n v="500"/>
    <x v="927"/>
    <n v="6000000"/>
    <x v="933"/>
    <x v="1"/>
    <x v="1"/>
    <x v="5"/>
    <x v="20"/>
    <s v="own-child"/>
    <x v="323"/>
    <x v="0"/>
    <x v="29"/>
    <x v="0"/>
    <x v="3"/>
    <x v="0"/>
    <x v="3"/>
    <x v="2"/>
    <x v="6"/>
    <x v="937"/>
    <x v="14"/>
    <x v="0"/>
    <x v="1"/>
    <x v="1"/>
    <x v="1"/>
    <x v="1"/>
    <x v="729"/>
    <x v="616"/>
    <n v="0"/>
    <x v="241"/>
    <s v="Toyota"/>
    <s v="Corolla"/>
    <n v="2013"/>
    <x v="0"/>
    <n v="0"/>
  </r>
  <r>
    <n v="279"/>
    <x v="19"/>
    <x v="938"/>
    <d v="1992-01-28T00:00:00"/>
    <x v="1"/>
    <s v="250/500"/>
    <n v="2000"/>
    <x v="928"/>
    <n v="6000000"/>
    <x v="934"/>
    <x v="1"/>
    <x v="0"/>
    <x v="6"/>
    <x v="4"/>
    <s v="unmarried"/>
    <x v="300"/>
    <x v="338"/>
    <x v="37"/>
    <x v="2"/>
    <x v="2"/>
    <x v="0"/>
    <x v="3"/>
    <x v="0"/>
    <x v="2"/>
    <x v="938"/>
    <x v="7"/>
    <x v="1"/>
    <x v="1"/>
    <x v="0"/>
    <x v="1"/>
    <x v="1"/>
    <x v="662"/>
    <x v="149"/>
    <n v="11100"/>
    <x v="176"/>
    <s v="Dodge"/>
    <s v="RAM"/>
    <n v="2011"/>
    <x v="0"/>
    <n v="0"/>
  </r>
  <r>
    <n v="308"/>
    <x v="26"/>
    <x v="939"/>
    <d v="2013-09-16T00:00:00"/>
    <x v="0"/>
    <s v="100/300"/>
    <n v="1000"/>
    <x v="929"/>
    <n v="6000000"/>
    <x v="935"/>
    <x v="1"/>
    <x v="2"/>
    <x v="0"/>
    <x v="10"/>
    <s v="own-child"/>
    <x v="161"/>
    <x v="113"/>
    <x v="28"/>
    <x v="3"/>
    <x v="1"/>
    <x v="1"/>
    <x v="1"/>
    <x v="2"/>
    <x v="3"/>
    <x v="939"/>
    <x v="2"/>
    <x v="0"/>
    <x v="1"/>
    <x v="0"/>
    <x v="3"/>
    <x v="0"/>
    <x v="671"/>
    <x v="63"/>
    <n v="860"/>
    <x v="647"/>
    <s v="Suburu"/>
    <s v="Impreza"/>
    <n v="2002"/>
    <x v="1"/>
    <n v="0"/>
  </r>
  <r>
    <n v="284"/>
    <x v="0"/>
    <x v="940"/>
    <d v="2008-05-16T00:00:00"/>
    <x v="2"/>
    <s v="500/1000"/>
    <n v="500"/>
    <x v="930"/>
    <n v="0"/>
    <x v="936"/>
    <x v="1"/>
    <x v="1"/>
    <x v="1"/>
    <x v="20"/>
    <s v="husband"/>
    <x v="153"/>
    <x v="0"/>
    <x v="12"/>
    <x v="2"/>
    <x v="0"/>
    <x v="0"/>
    <x v="2"/>
    <x v="2"/>
    <x v="0"/>
    <x v="940"/>
    <x v="4"/>
    <x v="1"/>
    <x v="1"/>
    <x v="1"/>
    <x v="1"/>
    <x v="1"/>
    <x v="730"/>
    <x v="617"/>
    <n v="8520"/>
    <x v="697"/>
    <s v="Volkswagen"/>
    <s v="Passat"/>
    <n v="1998"/>
    <x v="1"/>
    <n v="0"/>
  </r>
  <r>
    <n v="108"/>
    <x v="14"/>
    <x v="941"/>
    <d v="2002-01-04T00:00:00"/>
    <x v="1"/>
    <s v="250/500"/>
    <n v="2000"/>
    <x v="931"/>
    <n v="6000000"/>
    <x v="937"/>
    <x v="1"/>
    <x v="1"/>
    <x v="6"/>
    <x v="5"/>
    <s v="own-child"/>
    <x v="6"/>
    <x v="160"/>
    <x v="6"/>
    <x v="3"/>
    <x v="1"/>
    <x v="1"/>
    <x v="1"/>
    <x v="0"/>
    <x v="2"/>
    <x v="941"/>
    <x v="0"/>
    <x v="0"/>
    <x v="2"/>
    <x v="0"/>
    <x v="2"/>
    <x v="2"/>
    <x v="401"/>
    <x v="1"/>
    <n v="780"/>
    <x v="530"/>
    <s v="Volkswagen"/>
    <s v="Passat"/>
    <n v="1998"/>
    <x v="1"/>
    <n v="0"/>
  </r>
  <r>
    <n v="421"/>
    <x v="37"/>
    <x v="942"/>
    <d v="2002-04-02T00:00:00"/>
    <x v="1"/>
    <s v="250/500"/>
    <n v="2000"/>
    <x v="932"/>
    <n v="0"/>
    <x v="938"/>
    <x v="1"/>
    <x v="2"/>
    <x v="3"/>
    <x v="4"/>
    <s v="own-child"/>
    <x v="324"/>
    <x v="0"/>
    <x v="50"/>
    <x v="2"/>
    <x v="3"/>
    <x v="1"/>
    <x v="0"/>
    <x v="5"/>
    <x v="2"/>
    <x v="942"/>
    <x v="9"/>
    <x v="1"/>
    <x v="0"/>
    <x v="1"/>
    <x v="1"/>
    <x v="2"/>
    <x v="731"/>
    <x v="618"/>
    <n v="7850"/>
    <x v="698"/>
    <s v="Audi"/>
    <s v="A3"/>
    <n v="2015"/>
    <x v="1"/>
    <n v="0"/>
  </r>
  <r>
    <n v="266"/>
    <x v="1"/>
    <x v="943"/>
    <d v="1998-07-16T00:00:00"/>
    <x v="2"/>
    <s v="500/1000"/>
    <n v="1000"/>
    <x v="933"/>
    <n v="0"/>
    <x v="939"/>
    <x v="0"/>
    <x v="2"/>
    <x v="5"/>
    <x v="10"/>
    <s v="own-child"/>
    <x v="325"/>
    <x v="322"/>
    <x v="57"/>
    <x v="0"/>
    <x v="0"/>
    <x v="2"/>
    <x v="0"/>
    <x v="0"/>
    <x v="6"/>
    <x v="943"/>
    <x v="11"/>
    <x v="0"/>
    <x v="0"/>
    <x v="0"/>
    <x v="2"/>
    <x v="0"/>
    <x v="732"/>
    <x v="619"/>
    <n v="7870"/>
    <x v="699"/>
    <s v="Jeep"/>
    <s v="Grand Cherokee"/>
    <n v="2005"/>
    <x v="1"/>
    <n v="0"/>
  </r>
  <r>
    <n v="412"/>
    <x v="29"/>
    <x v="944"/>
    <d v="2002-08-15T00:00:00"/>
    <x v="2"/>
    <s v="250/500"/>
    <n v="500"/>
    <x v="934"/>
    <n v="0"/>
    <x v="940"/>
    <x v="0"/>
    <x v="5"/>
    <x v="11"/>
    <x v="12"/>
    <s v="own-child"/>
    <x v="1"/>
    <x v="339"/>
    <x v="39"/>
    <x v="2"/>
    <x v="3"/>
    <x v="2"/>
    <x v="0"/>
    <x v="0"/>
    <x v="3"/>
    <x v="944"/>
    <x v="4"/>
    <x v="1"/>
    <x v="2"/>
    <x v="1"/>
    <x v="0"/>
    <x v="2"/>
    <x v="733"/>
    <x v="620"/>
    <n v="7560"/>
    <x v="154"/>
    <s v="Suburu"/>
    <s v="Forrestor"/>
    <n v="1997"/>
    <x v="1"/>
    <n v="0"/>
  </r>
  <r>
    <n v="31"/>
    <x v="30"/>
    <x v="945"/>
    <d v="1999-09-07T00:00:00"/>
    <x v="2"/>
    <s v="100/300"/>
    <n v="2000"/>
    <x v="935"/>
    <n v="4000000"/>
    <x v="941"/>
    <x v="1"/>
    <x v="6"/>
    <x v="6"/>
    <x v="11"/>
    <s v="wife"/>
    <x v="284"/>
    <x v="340"/>
    <x v="58"/>
    <x v="0"/>
    <x v="0"/>
    <x v="0"/>
    <x v="2"/>
    <x v="4"/>
    <x v="4"/>
    <x v="945"/>
    <x v="15"/>
    <x v="0"/>
    <x v="1"/>
    <x v="2"/>
    <x v="1"/>
    <x v="1"/>
    <x v="295"/>
    <x v="621"/>
    <n v="10600"/>
    <x v="700"/>
    <s v="Audi"/>
    <s v="A5"/>
    <n v="1997"/>
    <x v="0"/>
    <n v="0"/>
  </r>
  <r>
    <n v="465"/>
    <x v="43"/>
    <x v="946"/>
    <d v="2012-01-12T00:00:00"/>
    <x v="2"/>
    <s v="250/500"/>
    <n v="500"/>
    <x v="936"/>
    <n v="6000000"/>
    <x v="942"/>
    <x v="1"/>
    <x v="4"/>
    <x v="2"/>
    <x v="2"/>
    <s v="own-child"/>
    <x v="1"/>
    <x v="0"/>
    <x v="53"/>
    <x v="0"/>
    <x v="0"/>
    <x v="1"/>
    <x v="3"/>
    <x v="4"/>
    <x v="0"/>
    <x v="946"/>
    <x v="2"/>
    <x v="0"/>
    <x v="2"/>
    <x v="1"/>
    <x v="2"/>
    <x v="1"/>
    <x v="734"/>
    <x v="622"/>
    <n v="4840"/>
    <x v="330"/>
    <s v="Suburu"/>
    <s v="Legacy"/>
    <n v="2015"/>
    <x v="1"/>
    <n v="0"/>
  </r>
  <r>
    <n v="126"/>
    <x v="14"/>
    <x v="947"/>
    <d v="1996-08-18T00:00:00"/>
    <x v="0"/>
    <s v="250/500"/>
    <n v="1000"/>
    <x v="937"/>
    <n v="0"/>
    <x v="943"/>
    <x v="0"/>
    <x v="4"/>
    <x v="2"/>
    <x v="20"/>
    <s v="not-in-family"/>
    <x v="326"/>
    <x v="27"/>
    <x v="5"/>
    <x v="0"/>
    <x v="3"/>
    <x v="2"/>
    <x v="0"/>
    <x v="4"/>
    <x v="4"/>
    <x v="947"/>
    <x v="18"/>
    <x v="0"/>
    <x v="2"/>
    <x v="0"/>
    <x v="3"/>
    <x v="2"/>
    <x v="735"/>
    <x v="305"/>
    <n v="6760"/>
    <x v="585"/>
    <s v="Suburu"/>
    <s v="Forrestor"/>
    <n v="2011"/>
    <x v="1"/>
    <n v="0"/>
  </r>
  <r>
    <n v="407"/>
    <x v="16"/>
    <x v="948"/>
    <d v="1996-03-11T00:00:00"/>
    <x v="0"/>
    <s v="100/300"/>
    <n v="1000"/>
    <x v="938"/>
    <n v="5000000"/>
    <x v="944"/>
    <x v="1"/>
    <x v="1"/>
    <x v="4"/>
    <x v="4"/>
    <s v="wife"/>
    <x v="1"/>
    <x v="91"/>
    <x v="42"/>
    <x v="2"/>
    <x v="0"/>
    <x v="2"/>
    <x v="0"/>
    <x v="4"/>
    <x v="2"/>
    <x v="948"/>
    <x v="5"/>
    <x v="1"/>
    <x v="1"/>
    <x v="2"/>
    <x v="2"/>
    <x v="0"/>
    <x v="736"/>
    <x v="623"/>
    <n v="11360"/>
    <x v="701"/>
    <s v="Ford"/>
    <s v="Escape"/>
    <n v="2010"/>
    <x v="1"/>
    <n v="0"/>
  </r>
  <r>
    <n v="101"/>
    <x v="28"/>
    <x v="949"/>
    <d v="1997-11-23T00:00:00"/>
    <x v="2"/>
    <s v="500/1000"/>
    <n v="500"/>
    <x v="939"/>
    <n v="6000000"/>
    <x v="945"/>
    <x v="1"/>
    <x v="3"/>
    <x v="10"/>
    <x v="17"/>
    <s v="unmarried"/>
    <x v="327"/>
    <x v="182"/>
    <x v="6"/>
    <x v="3"/>
    <x v="1"/>
    <x v="1"/>
    <x v="1"/>
    <x v="0"/>
    <x v="2"/>
    <x v="949"/>
    <x v="10"/>
    <x v="0"/>
    <x v="2"/>
    <x v="0"/>
    <x v="1"/>
    <x v="2"/>
    <x v="135"/>
    <x v="82"/>
    <n v="470"/>
    <x v="133"/>
    <s v="Toyota"/>
    <s v="Camry"/>
    <n v="2001"/>
    <x v="1"/>
    <n v="0"/>
  </r>
  <r>
    <n v="187"/>
    <x v="7"/>
    <x v="950"/>
    <d v="2013-08-08T00:00:00"/>
    <x v="1"/>
    <s v="500/1000"/>
    <n v="1000"/>
    <x v="940"/>
    <n v="5000000"/>
    <x v="946"/>
    <x v="1"/>
    <x v="4"/>
    <x v="9"/>
    <x v="1"/>
    <s v="not-in-family"/>
    <x v="328"/>
    <x v="0"/>
    <x v="29"/>
    <x v="0"/>
    <x v="0"/>
    <x v="2"/>
    <x v="4"/>
    <x v="5"/>
    <x v="1"/>
    <x v="950"/>
    <x v="7"/>
    <x v="0"/>
    <x v="1"/>
    <x v="1"/>
    <x v="2"/>
    <x v="1"/>
    <x v="488"/>
    <x v="501"/>
    <n v="5770"/>
    <x v="553"/>
    <s v="Nissan"/>
    <s v="Maxima"/>
    <n v="2000"/>
    <x v="1"/>
    <n v="0"/>
  </r>
  <r>
    <n v="252"/>
    <x v="35"/>
    <x v="951"/>
    <d v="1996-11-30T00:00:00"/>
    <x v="1"/>
    <s v="500/1000"/>
    <n v="2000"/>
    <x v="11"/>
    <n v="0"/>
    <x v="947"/>
    <x v="1"/>
    <x v="6"/>
    <x v="11"/>
    <x v="0"/>
    <s v="own-child"/>
    <x v="1"/>
    <x v="0"/>
    <x v="8"/>
    <x v="2"/>
    <x v="3"/>
    <x v="2"/>
    <x v="3"/>
    <x v="1"/>
    <x v="5"/>
    <x v="951"/>
    <x v="9"/>
    <x v="1"/>
    <x v="2"/>
    <x v="1"/>
    <x v="0"/>
    <x v="2"/>
    <x v="737"/>
    <x v="533"/>
    <n v="14920"/>
    <x v="599"/>
    <s v="Audi"/>
    <s v="A3"/>
    <n v="2014"/>
    <x v="1"/>
    <n v="1"/>
  </r>
  <r>
    <n v="229"/>
    <x v="18"/>
    <x v="952"/>
    <d v="1997-06-18T00:00:00"/>
    <x v="1"/>
    <s v="250/500"/>
    <n v="2000"/>
    <x v="941"/>
    <n v="0"/>
    <x v="948"/>
    <x v="0"/>
    <x v="5"/>
    <x v="9"/>
    <x v="1"/>
    <s v="not-in-family"/>
    <x v="329"/>
    <x v="290"/>
    <x v="33"/>
    <x v="1"/>
    <x v="1"/>
    <x v="1"/>
    <x v="1"/>
    <x v="4"/>
    <x v="4"/>
    <x v="952"/>
    <x v="19"/>
    <x v="0"/>
    <x v="2"/>
    <x v="0"/>
    <x v="1"/>
    <x v="0"/>
    <x v="480"/>
    <x v="589"/>
    <n v="840"/>
    <x v="102"/>
    <s v="Volkswagen"/>
    <s v="Jetta"/>
    <n v="2012"/>
    <x v="1"/>
    <n v="0"/>
  </r>
  <r>
    <n v="246"/>
    <x v="5"/>
    <x v="953"/>
    <d v="2007-04-19T00:00:00"/>
    <x v="1"/>
    <s v="250/500"/>
    <n v="1000"/>
    <x v="942"/>
    <n v="0"/>
    <x v="949"/>
    <x v="1"/>
    <x v="6"/>
    <x v="0"/>
    <x v="12"/>
    <s v="other-relative"/>
    <x v="1"/>
    <x v="171"/>
    <x v="35"/>
    <x v="0"/>
    <x v="2"/>
    <x v="1"/>
    <x v="4"/>
    <x v="4"/>
    <x v="6"/>
    <x v="953"/>
    <x v="16"/>
    <x v="0"/>
    <x v="0"/>
    <x v="1"/>
    <x v="2"/>
    <x v="1"/>
    <x v="738"/>
    <x v="169"/>
    <n v="5020"/>
    <x v="178"/>
    <s v="Honda"/>
    <s v="CRV"/>
    <n v="2004"/>
    <x v="1"/>
    <n v="0"/>
  </r>
  <r>
    <n v="190"/>
    <x v="11"/>
    <x v="954"/>
    <d v="2007-09-19T00:00:00"/>
    <x v="0"/>
    <s v="250/500"/>
    <n v="500"/>
    <x v="943"/>
    <n v="0"/>
    <x v="950"/>
    <x v="0"/>
    <x v="6"/>
    <x v="0"/>
    <x v="10"/>
    <s v="unmarried"/>
    <x v="330"/>
    <x v="34"/>
    <x v="21"/>
    <x v="0"/>
    <x v="0"/>
    <x v="2"/>
    <x v="3"/>
    <x v="2"/>
    <x v="1"/>
    <x v="954"/>
    <x v="8"/>
    <x v="0"/>
    <x v="0"/>
    <x v="1"/>
    <x v="1"/>
    <x v="2"/>
    <x v="659"/>
    <x v="624"/>
    <n v="4510"/>
    <x v="702"/>
    <s v="Nissan"/>
    <s v="Maxima"/>
    <n v="2013"/>
    <x v="1"/>
    <n v="0"/>
  </r>
  <r>
    <n v="95"/>
    <x v="30"/>
    <x v="955"/>
    <d v="1996-12-21T00:00:00"/>
    <x v="1"/>
    <s v="500/1000"/>
    <n v="2000"/>
    <x v="944"/>
    <n v="0"/>
    <x v="951"/>
    <x v="0"/>
    <x v="4"/>
    <x v="1"/>
    <x v="6"/>
    <s v="not-in-family"/>
    <x v="275"/>
    <x v="341"/>
    <x v="43"/>
    <x v="2"/>
    <x v="0"/>
    <x v="2"/>
    <x v="0"/>
    <x v="0"/>
    <x v="3"/>
    <x v="955"/>
    <x v="7"/>
    <x v="1"/>
    <x v="0"/>
    <x v="1"/>
    <x v="2"/>
    <x v="0"/>
    <x v="468"/>
    <x v="620"/>
    <n v="15120"/>
    <x v="703"/>
    <s v="Toyota"/>
    <s v="Camry"/>
    <n v="2003"/>
    <x v="1"/>
    <n v="0"/>
  </r>
  <r>
    <n v="205"/>
    <x v="1"/>
    <x v="956"/>
    <d v="2008-02-03T00:00:00"/>
    <x v="2"/>
    <s v="100/300"/>
    <n v="2000"/>
    <x v="945"/>
    <n v="4000000"/>
    <x v="952"/>
    <x v="1"/>
    <x v="5"/>
    <x v="7"/>
    <x v="9"/>
    <s v="other-relative"/>
    <x v="1"/>
    <x v="0"/>
    <x v="23"/>
    <x v="0"/>
    <x v="2"/>
    <x v="1"/>
    <x v="0"/>
    <x v="4"/>
    <x v="0"/>
    <x v="956"/>
    <x v="4"/>
    <x v="0"/>
    <x v="2"/>
    <x v="2"/>
    <x v="3"/>
    <x v="2"/>
    <x v="601"/>
    <x v="231"/>
    <n v="15660"/>
    <x v="239"/>
    <s v="Chevrolet"/>
    <s v="Silverado"/>
    <n v="1995"/>
    <x v="1"/>
    <n v="0"/>
  </r>
  <r>
    <n v="41"/>
    <x v="20"/>
    <x v="957"/>
    <d v="2003-07-16T00:00:00"/>
    <x v="0"/>
    <s v="100/300"/>
    <n v="1000"/>
    <x v="946"/>
    <n v="0"/>
    <x v="953"/>
    <x v="0"/>
    <x v="4"/>
    <x v="7"/>
    <x v="0"/>
    <s v="wife"/>
    <x v="147"/>
    <x v="0"/>
    <x v="11"/>
    <x v="2"/>
    <x v="3"/>
    <x v="0"/>
    <x v="2"/>
    <x v="5"/>
    <x v="4"/>
    <x v="957"/>
    <x v="21"/>
    <x v="1"/>
    <x v="2"/>
    <x v="0"/>
    <x v="2"/>
    <x v="2"/>
    <x v="651"/>
    <x v="369"/>
    <n v="4800"/>
    <x v="14"/>
    <s v="Dodge"/>
    <s v="RAM"/>
    <n v="1995"/>
    <x v="1"/>
    <n v="0"/>
  </r>
  <r>
    <n v="137"/>
    <x v="21"/>
    <x v="958"/>
    <d v="1991-05-05T00:00:00"/>
    <x v="0"/>
    <s v="500/1000"/>
    <n v="500"/>
    <x v="947"/>
    <n v="0"/>
    <x v="954"/>
    <x v="1"/>
    <x v="5"/>
    <x v="9"/>
    <x v="10"/>
    <s v="husband"/>
    <x v="1"/>
    <x v="170"/>
    <x v="57"/>
    <x v="1"/>
    <x v="1"/>
    <x v="1"/>
    <x v="0"/>
    <x v="1"/>
    <x v="4"/>
    <x v="958"/>
    <x v="7"/>
    <x v="0"/>
    <x v="2"/>
    <x v="1"/>
    <x v="1"/>
    <x v="0"/>
    <x v="274"/>
    <x v="251"/>
    <n v="600"/>
    <x v="439"/>
    <s v="Saab"/>
    <s v="92x"/>
    <n v="2008"/>
    <x v="1"/>
    <n v="0"/>
  </r>
  <r>
    <n v="194"/>
    <x v="6"/>
    <x v="959"/>
    <d v="1991-06-16T00:00:00"/>
    <x v="2"/>
    <s v="100/300"/>
    <n v="500"/>
    <x v="948"/>
    <n v="0"/>
    <x v="955"/>
    <x v="1"/>
    <x v="6"/>
    <x v="9"/>
    <x v="2"/>
    <s v="husband"/>
    <x v="275"/>
    <x v="0"/>
    <x v="37"/>
    <x v="2"/>
    <x v="2"/>
    <x v="1"/>
    <x v="4"/>
    <x v="2"/>
    <x v="5"/>
    <x v="959"/>
    <x v="20"/>
    <x v="1"/>
    <x v="2"/>
    <x v="0"/>
    <x v="0"/>
    <x v="0"/>
    <x v="718"/>
    <x v="55"/>
    <n v="5720"/>
    <x v="331"/>
    <s v="Toyota"/>
    <s v="Camry"/>
    <n v="2005"/>
    <x v="1"/>
    <n v="0"/>
  </r>
  <r>
    <n v="128"/>
    <x v="21"/>
    <x v="960"/>
    <d v="2001-04-03T00:00:00"/>
    <x v="1"/>
    <s v="250/500"/>
    <n v="1000"/>
    <x v="949"/>
    <n v="0"/>
    <x v="956"/>
    <x v="1"/>
    <x v="2"/>
    <x v="12"/>
    <x v="4"/>
    <s v="husband"/>
    <x v="1"/>
    <x v="313"/>
    <x v="5"/>
    <x v="1"/>
    <x v="1"/>
    <x v="3"/>
    <x v="0"/>
    <x v="1"/>
    <x v="0"/>
    <x v="960"/>
    <x v="16"/>
    <x v="0"/>
    <x v="1"/>
    <x v="2"/>
    <x v="1"/>
    <x v="1"/>
    <x v="739"/>
    <x v="597"/>
    <n v="690"/>
    <x v="704"/>
    <s v="Accura"/>
    <s v="MDX"/>
    <n v="2012"/>
    <x v="1"/>
    <n v="0"/>
  </r>
  <r>
    <n v="150"/>
    <x v="7"/>
    <x v="961"/>
    <d v="2014-03-16T00:00:00"/>
    <x v="0"/>
    <s v="500/1000"/>
    <n v="1000"/>
    <x v="950"/>
    <n v="0"/>
    <x v="957"/>
    <x v="1"/>
    <x v="1"/>
    <x v="10"/>
    <x v="2"/>
    <s v="unmarried"/>
    <x v="155"/>
    <x v="342"/>
    <x v="35"/>
    <x v="0"/>
    <x v="2"/>
    <x v="2"/>
    <x v="0"/>
    <x v="1"/>
    <x v="2"/>
    <x v="961"/>
    <x v="10"/>
    <x v="0"/>
    <x v="2"/>
    <x v="1"/>
    <x v="0"/>
    <x v="1"/>
    <x v="740"/>
    <x v="625"/>
    <n v="12320"/>
    <x v="387"/>
    <s v="Chevrolet"/>
    <s v="Silverado"/>
    <n v="2013"/>
    <x v="1"/>
    <n v="0"/>
  </r>
  <r>
    <n v="104"/>
    <x v="22"/>
    <x v="962"/>
    <d v="2010-08-03T00:00:00"/>
    <x v="0"/>
    <s v="100/300"/>
    <n v="500"/>
    <x v="951"/>
    <n v="0"/>
    <x v="958"/>
    <x v="1"/>
    <x v="0"/>
    <x v="9"/>
    <x v="9"/>
    <s v="other-relative"/>
    <x v="1"/>
    <x v="343"/>
    <x v="47"/>
    <x v="1"/>
    <x v="1"/>
    <x v="1"/>
    <x v="0"/>
    <x v="4"/>
    <x v="1"/>
    <x v="962"/>
    <x v="1"/>
    <x v="0"/>
    <x v="2"/>
    <x v="1"/>
    <x v="1"/>
    <x v="0"/>
    <x v="741"/>
    <x v="175"/>
    <n v="480"/>
    <x v="102"/>
    <s v="BMW"/>
    <s v="3 Series"/>
    <n v="2006"/>
    <x v="1"/>
    <n v="0"/>
  </r>
  <r>
    <n v="163"/>
    <x v="7"/>
    <x v="963"/>
    <d v="2009-11-25T00:00:00"/>
    <x v="1"/>
    <s v="500/1000"/>
    <n v="1000"/>
    <x v="952"/>
    <n v="4000000"/>
    <x v="959"/>
    <x v="1"/>
    <x v="5"/>
    <x v="0"/>
    <x v="19"/>
    <s v="own-child"/>
    <x v="1"/>
    <x v="344"/>
    <x v="38"/>
    <x v="1"/>
    <x v="1"/>
    <x v="1"/>
    <x v="0"/>
    <x v="4"/>
    <x v="3"/>
    <x v="963"/>
    <x v="2"/>
    <x v="0"/>
    <x v="1"/>
    <x v="2"/>
    <x v="3"/>
    <x v="0"/>
    <x v="556"/>
    <x v="626"/>
    <n v="780"/>
    <x v="530"/>
    <s v="Volkswagen"/>
    <s v="Jetta"/>
    <n v="2008"/>
    <x v="0"/>
    <n v="0"/>
  </r>
  <r>
    <n v="80"/>
    <x v="13"/>
    <x v="964"/>
    <d v="2001-05-08T00:00:00"/>
    <x v="2"/>
    <s v="100/300"/>
    <n v="1000"/>
    <x v="953"/>
    <n v="0"/>
    <x v="960"/>
    <x v="0"/>
    <x v="4"/>
    <x v="11"/>
    <x v="7"/>
    <s v="other-relative"/>
    <x v="331"/>
    <x v="0"/>
    <x v="28"/>
    <x v="0"/>
    <x v="3"/>
    <x v="1"/>
    <x v="3"/>
    <x v="0"/>
    <x v="2"/>
    <x v="964"/>
    <x v="11"/>
    <x v="0"/>
    <x v="1"/>
    <x v="1"/>
    <x v="1"/>
    <x v="2"/>
    <x v="742"/>
    <x v="137"/>
    <n v="9040"/>
    <x v="705"/>
    <s v="BMW"/>
    <s v="3 Series"/>
    <n v="1995"/>
    <x v="1"/>
    <n v="0"/>
  </r>
  <r>
    <n v="65"/>
    <x v="2"/>
    <x v="965"/>
    <d v="2004-06-14T00:00:00"/>
    <x v="0"/>
    <s v="250/500"/>
    <n v="1000"/>
    <x v="954"/>
    <n v="5000000"/>
    <x v="961"/>
    <x v="1"/>
    <x v="0"/>
    <x v="2"/>
    <x v="15"/>
    <s v="own-child"/>
    <x v="1"/>
    <x v="0"/>
    <x v="37"/>
    <x v="2"/>
    <x v="2"/>
    <x v="1"/>
    <x v="3"/>
    <x v="5"/>
    <x v="0"/>
    <x v="965"/>
    <x v="7"/>
    <x v="1"/>
    <x v="0"/>
    <x v="1"/>
    <x v="1"/>
    <x v="1"/>
    <x v="424"/>
    <x v="446"/>
    <n v="12580"/>
    <x v="401"/>
    <s v="Jeep"/>
    <s v="Grand Cherokee"/>
    <n v="1998"/>
    <x v="1"/>
    <n v="0"/>
  </r>
  <r>
    <n v="179"/>
    <x v="30"/>
    <x v="966"/>
    <d v="1994-08-07T00:00:00"/>
    <x v="0"/>
    <s v="100/300"/>
    <n v="1000"/>
    <x v="955"/>
    <n v="6000000"/>
    <x v="962"/>
    <x v="1"/>
    <x v="2"/>
    <x v="9"/>
    <x v="5"/>
    <s v="own-child"/>
    <x v="234"/>
    <x v="0"/>
    <x v="12"/>
    <x v="0"/>
    <x v="2"/>
    <x v="0"/>
    <x v="0"/>
    <x v="5"/>
    <x v="2"/>
    <x v="966"/>
    <x v="14"/>
    <x v="0"/>
    <x v="0"/>
    <x v="0"/>
    <x v="0"/>
    <x v="2"/>
    <x v="743"/>
    <x v="614"/>
    <n v="10840"/>
    <x v="706"/>
    <s v="Nissan"/>
    <s v="Ultima"/>
    <n v="2014"/>
    <x v="0"/>
    <n v="0"/>
  </r>
  <r>
    <n v="372"/>
    <x v="36"/>
    <x v="967"/>
    <d v="2004-08-26T00:00:00"/>
    <x v="0"/>
    <s v="500/1000"/>
    <n v="2000"/>
    <x v="956"/>
    <n v="0"/>
    <x v="963"/>
    <x v="1"/>
    <x v="0"/>
    <x v="4"/>
    <x v="13"/>
    <s v="other-relative"/>
    <x v="1"/>
    <x v="0"/>
    <x v="28"/>
    <x v="2"/>
    <x v="0"/>
    <x v="0"/>
    <x v="0"/>
    <x v="2"/>
    <x v="5"/>
    <x v="967"/>
    <x v="22"/>
    <x v="1"/>
    <x v="2"/>
    <x v="2"/>
    <x v="0"/>
    <x v="0"/>
    <x v="744"/>
    <x v="627"/>
    <n v="10360"/>
    <x v="707"/>
    <s v="Accura"/>
    <s v="MDX"/>
    <n v="2003"/>
    <x v="1"/>
    <n v="0"/>
  </r>
  <r>
    <n v="398"/>
    <x v="16"/>
    <x v="968"/>
    <d v="1990-05-25T00:00:00"/>
    <x v="0"/>
    <s v="250/500"/>
    <n v="500"/>
    <x v="957"/>
    <n v="0"/>
    <x v="964"/>
    <x v="0"/>
    <x v="5"/>
    <x v="12"/>
    <x v="10"/>
    <s v="unmarried"/>
    <x v="159"/>
    <x v="0"/>
    <x v="43"/>
    <x v="1"/>
    <x v="1"/>
    <x v="3"/>
    <x v="0"/>
    <x v="0"/>
    <x v="5"/>
    <x v="968"/>
    <x v="2"/>
    <x v="0"/>
    <x v="1"/>
    <x v="2"/>
    <x v="2"/>
    <x v="1"/>
    <x v="77"/>
    <x v="251"/>
    <n v="1200"/>
    <x v="708"/>
    <s v="Accura"/>
    <s v="MDX"/>
    <n v="2012"/>
    <x v="1"/>
    <n v="0"/>
  </r>
  <r>
    <n v="213"/>
    <x v="21"/>
    <x v="969"/>
    <d v="1990-09-20T00:00:00"/>
    <x v="0"/>
    <s v="250/500"/>
    <n v="500"/>
    <x v="958"/>
    <n v="0"/>
    <x v="965"/>
    <x v="0"/>
    <x v="0"/>
    <x v="4"/>
    <x v="10"/>
    <s v="husband"/>
    <x v="144"/>
    <x v="345"/>
    <x v="12"/>
    <x v="0"/>
    <x v="0"/>
    <x v="2"/>
    <x v="2"/>
    <x v="0"/>
    <x v="6"/>
    <x v="969"/>
    <x v="21"/>
    <x v="0"/>
    <x v="0"/>
    <x v="2"/>
    <x v="1"/>
    <x v="0"/>
    <x v="467"/>
    <x v="414"/>
    <n v="6740"/>
    <x v="709"/>
    <s v="Ford"/>
    <s v="Escape"/>
    <n v="2007"/>
    <x v="1"/>
    <n v="0"/>
  </r>
  <r>
    <n v="79"/>
    <x v="20"/>
    <x v="970"/>
    <d v="2000-11-05T00:00:00"/>
    <x v="0"/>
    <s v="500/1000"/>
    <n v="500"/>
    <x v="959"/>
    <n v="0"/>
    <x v="966"/>
    <x v="1"/>
    <x v="2"/>
    <x v="7"/>
    <x v="13"/>
    <s v="not-in-family"/>
    <x v="332"/>
    <x v="137"/>
    <x v="56"/>
    <x v="0"/>
    <x v="3"/>
    <x v="2"/>
    <x v="2"/>
    <x v="1"/>
    <x v="5"/>
    <x v="970"/>
    <x v="5"/>
    <x v="0"/>
    <x v="2"/>
    <x v="2"/>
    <x v="3"/>
    <x v="1"/>
    <x v="665"/>
    <x v="628"/>
    <n v="6780"/>
    <x v="710"/>
    <s v="Mercedes"/>
    <s v="C300"/>
    <n v="1995"/>
    <x v="1"/>
    <n v="0"/>
  </r>
  <r>
    <n v="232"/>
    <x v="4"/>
    <x v="971"/>
    <d v="1994-10-03T00:00:00"/>
    <x v="0"/>
    <s v="250/500"/>
    <n v="2000"/>
    <x v="960"/>
    <n v="0"/>
    <x v="967"/>
    <x v="0"/>
    <x v="3"/>
    <x v="6"/>
    <x v="20"/>
    <s v="wife"/>
    <x v="290"/>
    <x v="0"/>
    <x v="42"/>
    <x v="0"/>
    <x v="2"/>
    <x v="0"/>
    <x v="2"/>
    <x v="2"/>
    <x v="5"/>
    <x v="971"/>
    <x v="9"/>
    <x v="0"/>
    <x v="1"/>
    <x v="0"/>
    <x v="3"/>
    <x v="0"/>
    <x v="589"/>
    <x v="78"/>
    <n v="11080"/>
    <x v="568"/>
    <s v="Jeep"/>
    <s v="Grand Cherokee"/>
    <n v="2002"/>
    <x v="0"/>
    <n v="0"/>
  </r>
  <r>
    <n v="230"/>
    <x v="7"/>
    <x v="972"/>
    <d v="2005-04-11T00:00:00"/>
    <x v="2"/>
    <s v="500/1000"/>
    <n v="1000"/>
    <x v="961"/>
    <n v="0"/>
    <x v="968"/>
    <x v="0"/>
    <x v="1"/>
    <x v="4"/>
    <x v="1"/>
    <s v="own-child"/>
    <x v="1"/>
    <x v="33"/>
    <x v="25"/>
    <x v="0"/>
    <x v="2"/>
    <x v="0"/>
    <x v="4"/>
    <x v="0"/>
    <x v="0"/>
    <x v="972"/>
    <x v="12"/>
    <x v="0"/>
    <x v="0"/>
    <x v="2"/>
    <x v="2"/>
    <x v="1"/>
    <x v="745"/>
    <x v="271"/>
    <n v="4910"/>
    <x v="711"/>
    <s v="Suburu"/>
    <s v="Impreza"/>
    <n v="1996"/>
    <x v="0"/>
    <n v="0"/>
  </r>
  <r>
    <n v="234"/>
    <x v="3"/>
    <x v="973"/>
    <d v="1990-05-16T00:00:00"/>
    <x v="1"/>
    <s v="100/300"/>
    <n v="500"/>
    <x v="962"/>
    <n v="0"/>
    <x v="969"/>
    <x v="1"/>
    <x v="6"/>
    <x v="10"/>
    <x v="17"/>
    <s v="wife"/>
    <x v="333"/>
    <x v="42"/>
    <x v="42"/>
    <x v="2"/>
    <x v="0"/>
    <x v="0"/>
    <x v="0"/>
    <x v="0"/>
    <x v="1"/>
    <x v="973"/>
    <x v="19"/>
    <x v="1"/>
    <x v="2"/>
    <x v="2"/>
    <x v="3"/>
    <x v="1"/>
    <x v="746"/>
    <x v="620"/>
    <n v="7560"/>
    <x v="712"/>
    <s v="Chevrolet"/>
    <s v="Tahoe"/>
    <n v="2007"/>
    <x v="0"/>
    <n v="0"/>
  </r>
  <r>
    <n v="240"/>
    <x v="17"/>
    <x v="974"/>
    <d v="2004-09-11T00:00:00"/>
    <x v="1"/>
    <s v="100/300"/>
    <n v="500"/>
    <x v="963"/>
    <n v="9000000"/>
    <x v="970"/>
    <x v="1"/>
    <x v="6"/>
    <x v="9"/>
    <x v="18"/>
    <s v="own-child"/>
    <x v="1"/>
    <x v="330"/>
    <x v="3"/>
    <x v="2"/>
    <x v="2"/>
    <x v="2"/>
    <x v="2"/>
    <x v="1"/>
    <x v="5"/>
    <x v="974"/>
    <x v="22"/>
    <x v="3"/>
    <x v="0"/>
    <x v="1"/>
    <x v="0"/>
    <x v="1"/>
    <x v="300"/>
    <x v="449"/>
    <n v="12100"/>
    <x v="288"/>
    <s v="Ford"/>
    <s v="Escape"/>
    <n v="2008"/>
    <x v="1"/>
    <n v="0"/>
  </r>
  <r>
    <n v="143"/>
    <x v="8"/>
    <x v="975"/>
    <d v="1993-11-30T00:00:00"/>
    <x v="0"/>
    <s v="500/1000"/>
    <n v="1000"/>
    <x v="964"/>
    <n v="0"/>
    <x v="971"/>
    <x v="1"/>
    <x v="2"/>
    <x v="0"/>
    <x v="2"/>
    <s v="unmarried"/>
    <x v="5"/>
    <x v="346"/>
    <x v="48"/>
    <x v="2"/>
    <x v="0"/>
    <x v="0"/>
    <x v="2"/>
    <x v="4"/>
    <x v="2"/>
    <x v="975"/>
    <x v="18"/>
    <x v="1"/>
    <x v="1"/>
    <x v="2"/>
    <x v="0"/>
    <x v="1"/>
    <x v="111"/>
    <x v="259"/>
    <n v="7040"/>
    <x v="117"/>
    <s v="Accura"/>
    <s v="RSX"/>
    <n v="2002"/>
    <x v="1"/>
    <n v="0"/>
  </r>
  <r>
    <n v="266"/>
    <x v="1"/>
    <x v="976"/>
    <d v="2003-03-06T00:00:00"/>
    <x v="1"/>
    <s v="100/300"/>
    <n v="500"/>
    <x v="965"/>
    <n v="4000000"/>
    <x v="972"/>
    <x v="0"/>
    <x v="2"/>
    <x v="12"/>
    <x v="2"/>
    <s v="other-relative"/>
    <x v="1"/>
    <x v="347"/>
    <x v="31"/>
    <x v="2"/>
    <x v="0"/>
    <x v="0"/>
    <x v="4"/>
    <x v="4"/>
    <x v="3"/>
    <x v="976"/>
    <x v="22"/>
    <x v="1"/>
    <x v="1"/>
    <x v="0"/>
    <x v="3"/>
    <x v="2"/>
    <x v="244"/>
    <x v="629"/>
    <n v="8880"/>
    <x v="713"/>
    <s v="Suburu"/>
    <s v="Impreza"/>
    <n v="2015"/>
    <x v="0"/>
    <n v="0"/>
  </r>
  <r>
    <n v="89"/>
    <x v="30"/>
    <x v="977"/>
    <d v="1996-12-18T00:00:00"/>
    <x v="1"/>
    <s v="250/500"/>
    <n v="1000"/>
    <x v="966"/>
    <n v="0"/>
    <x v="973"/>
    <x v="1"/>
    <x v="5"/>
    <x v="0"/>
    <x v="6"/>
    <s v="unmarried"/>
    <x v="334"/>
    <x v="0"/>
    <x v="49"/>
    <x v="0"/>
    <x v="3"/>
    <x v="2"/>
    <x v="3"/>
    <x v="2"/>
    <x v="0"/>
    <x v="977"/>
    <x v="20"/>
    <x v="0"/>
    <x v="1"/>
    <x v="2"/>
    <x v="2"/>
    <x v="0"/>
    <x v="410"/>
    <x v="365"/>
    <n v="15380"/>
    <x v="714"/>
    <s v="Dodge"/>
    <s v="Neon"/>
    <n v="1999"/>
    <x v="1"/>
    <n v="0"/>
  </r>
  <r>
    <n v="229"/>
    <x v="7"/>
    <x v="978"/>
    <d v="1995-02-21T00:00:00"/>
    <x v="1"/>
    <s v="500/1000"/>
    <n v="1000"/>
    <x v="967"/>
    <n v="0"/>
    <x v="974"/>
    <x v="1"/>
    <x v="4"/>
    <x v="13"/>
    <x v="5"/>
    <s v="not-in-family"/>
    <x v="1"/>
    <x v="348"/>
    <x v="53"/>
    <x v="0"/>
    <x v="2"/>
    <x v="2"/>
    <x v="3"/>
    <x v="2"/>
    <x v="0"/>
    <x v="978"/>
    <x v="18"/>
    <x v="0"/>
    <x v="2"/>
    <x v="1"/>
    <x v="0"/>
    <x v="0"/>
    <x v="747"/>
    <x v="276"/>
    <n v="9920"/>
    <x v="715"/>
    <s v="Saab"/>
    <n v="95"/>
    <n v="2004"/>
    <x v="1"/>
    <n v="0"/>
  </r>
  <r>
    <n v="245"/>
    <x v="17"/>
    <x v="979"/>
    <d v="2009-12-11T00:00:00"/>
    <x v="2"/>
    <s v="500/1000"/>
    <n v="1000"/>
    <x v="968"/>
    <n v="0"/>
    <x v="975"/>
    <x v="0"/>
    <x v="1"/>
    <x v="11"/>
    <x v="7"/>
    <s v="unmarried"/>
    <x v="250"/>
    <x v="0"/>
    <x v="11"/>
    <x v="0"/>
    <x v="2"/>
    <x v="1"/>
    <x v="4"/>
    <x v="3"/>
    <x v="5"/>
    <x v="979"/>
    <x v="11"/>
    <x v="0"/>
    <x v="0"/>
    <x v="1"/>
    <x v="0"/>
    <x v="0"/>
    <x v="602"/>
    <x v="98"/>
    <n v="7470"/>
    <x v="716"/>
    <s v="Suburu"/>
    <s v="Forrestor"/>
    <n v="1999"/>
    <x v="1"/>
    <n v="0"/>
  </r>
  <r>
    <n v="50"/>
    <x v="4"/>
    <x v="980"/>
    <d v="2000-10-18T00:00:00"/>
    <x v="0"/>
    <s v="250/500"/>
    <n v="2000"/>
    <x v="969"/>
    <n v="0"/>
    <x v="976"/>
    <x v="0"/>
    <x v="3"/>
    <x v="11"/>
    <x v="4"/>
    <s v="unmarried"/>
    <x v="1"/>
    <x v="349"/>
    <x v="13"/>
    <x v="2"/>
    <x v="3"/>
    <x v="2"/>
    <x v="0"/>
    <x v="2"/>
    <x v="5"/>
    <x v="980"/>
    <x v="12"/>
    <x v="1"/>
    <x v="1"/>
    <x v="0"/>
    <x v="0"/>
    <x v="2"/>
    <x v="748"/>
    <x v="321"/>
    <n v="12220"/>
    <x v="456"/>
    <s v="Dodge"/>
    <s v="Neon"/>
    <n v="2008"/>
    <x v="1"/>
    <n v="0"/>
  </r>
  <r>
    <n v="230"/>
    <x v="18"/>
    <x v="981"/>
    <d v="2007-02-09T00:00:00"/>
    <x v="1"/>
    <s v="500/1000"/>
    <n v="2000"/>
    <x v="970"/>
    <n v="0"/>
    <x v="977"/>
    <x v="0"/>
    <x v="5"/>
    <x v="8"/>
    <x v="19"/>
    <s v="other-relative"/>
    <x v="335"/>
    <x v="0"/>
    <x v="17"/>
    <x v="2"/>
    <x v="3"/>
    <x v="1"/>
    <x v="0"/>
    <x v="2"/>
    <x v="2"/>
    <x v="981"/>
    <x v="5"/>
    <x v="1"/>
    <x v="1"/>
    <x v="1"/>
    <x v="2"/>
    <x v="0"/>
    <x v="749"/>
    <x v="306"/>
    <n v="10380"/>
    <x v="717"/>
    <s v="BMW"/>
    <s v="M5"/>
    <n v="2011"/>
    <x v="0"/>
    <n v="0"/>
  </r>
  <r>
    <n v="17"/>
    <x v="5"/>
    <x v="982"/>
    <d v="2006-10-28T00:00:00"/>
    <x v="2"/>
    <s v="250/500"/>
    <n v="1000"/>
    <x v="971"/>
    <n v="0"/>
    <x v="722"/>
    <x v="1"/>
    <x v="6"/>
    <x v="12"/>
    <x v="11"/>
    <s v="unmarried"/>
    <x v="287"/>
    <x v="350"/>
    <x v="33"/>
    <x v="3"/>
    <x v="1"/>
    <x v="3"/>
    <x v="0"/>
    <x v="0"/>
    <x v="2"/>
    <x v="982"/>
    <x v="10"/>
    <x v="0"/>
    <x v="1"/>
    <x v="2"/>
    <x v="3"/>
    <x v="1"/>
    <x v="750"/>
    <x v="49"/>
    <n v="430"/>
    <x v="67"/>
    <s v="Suburu"/>
    <s v="Legacy"/>
    <n v="2002"/>
    <x v="1"/>
    <n v="0"/>
  </r>
  <r>
    <n v="163"/>
    <x v="31"/>
    <x v="983"/>
    <d v="2000-01-27T00:00:00"/>
    <x v="1"/>
    <s v="250/500"/>
    <n v="1000"/>
    <x v="972"/>
    <n v="0"/>
    <x v="978"/>
    <x v="0"/>
    <x v="0"/>
    <x v="6"/>
    <x v="19"/>
    <s v="husband"/>
    <x v="8"/>
    <x v="231"/>
    <x v="24"/>
    <x v="0"/>
    <x v="0"/>
    <x v="2"/>
    <x v="4"/>
    <x v="4"/>
    <x v="3"/>
    <x v="983"/>
    <x v="17"/>
    <x v="0"/>
    <x v="0"/>
    <x v="2"/>
    <x v="3"/>
    <x v="2"/>
    <x v="586"/>
    <x v="478"/>
    <n v="11420"/>
    <x v="718"/>
    <s v="Toyota"/>
    <s v="Corolla"/>
    <n v="2013"/>
    <x v="1"/>
    <n v="0"/>
  </r>
  <r>
    <n v="29"/>
    <x v="30"/>
    <x v="984"/>
    <d v="2002-04-05T00:00:00"/>
    <x v="0"/>
    <s v="100/300"/>
    <n v="1000"/>
    <x v="973"/>
    <n v="0"/>
    <x v="979"/>
    <x v="0"/>
    <x v="5"/>
    <x v="6"/>
    <x v="5"/>
    <s v="wife"/>
    <x v="1"/>
    <x v="351"/>
    <x v="6"/>
    <x v="0"/>
    <x v="0"/>
    <x v="0"/>
    <x v="3"/>
    <x v="4"/>
    <x v="0"/>
    <x v="984"/>
    <x v="9"/>
    <x v="0"/>
    <x v="1"/>
    <x v="1"/>
    <x v="0"/>
    <x v="1"/>
    <x v="751"/>
    <x v="447"/>
    <n v="7690"/>
    <x v="389"/>
    <s v="Jeep"/>
    <s v="Wrangler"/>
    <n v="1995"/>
    <x v="1"/>
    <n v="0"/>
  </r>
  <r>
    <n v="232"/>
    <x v="1"/>
    <x v="985"/>
    <d v="2013-04-30T00:00:00"/>
    <x v="1"/>
    <s v="100/300"/>
    <n v="500"/>
    <x v="974"/>
    <n v="0"/>
    <x v="980"/>
    <x v="0"/>
    <x v="3"/>
    <x v="11"/>
    <x v="15"/>
    <s v="not-in-family"/>
    <x v="1"/>
    <x v="45"/>
    <x v="46"/>
    <x v="0"/>
    <x v="2"/>
    <x v="1"/>
    <x v="3"/>
    <x v="4"/>
    <x v="1"/>
    <x v="985"/>
    <x v="20"/>
    <x v="0"/>
    <x v="0"/>
    <x v="2"/>
    <x v="2"/>
    <x v="1"/>
    <x v="453"/>
    <x v="630"/>
    <n v="7700"/>
    <x v="719"/>
    <s v="Toyota"/>
    <s v="Highlander"/>
    <n v="2015"/>
    <x v="0"/>
    <n v="0"/>
  </r>
  <r>
    <n v="235"/>
    <x v="5"/>
    <x v="986"/>
    <d v="2013-05-01T00:00:00"/>
    <x v="2"/>
    <s v="500/1000"/>
    <n v="2000"/>
    <x v="975"/>
    <n v="4000000"/>
    <x v="981"/>
    <x v="0"/>
    <x v="6"/>
    <x v="0"/>
    <x v="12"/>
    <s v="other-relative"/>
    <x v="1"/>
    <x v="0"/>
    <x v="6"/>
    <x v="0"/>
    <x v="0"/>
    <x v="0"/>
    <x v="3"/>
    <x v="5"/>
    <x v="4"/>
    <x v="986"/>
    <x v="15"/>
    <x v="0"/>
    <x v="1"/>
    <x v="1"/>
    <x v="2"/>
    <x v="1"/>
    <x v="752"/>
    <x v="631"/>
    <n v="9280"/>
    <x v="179"/>
    <s v="Chevrolet"/>
    <s v="Tahoe"/>
    <n v="2012"/>
    <x v="0"/>
    <n v="0"/>
  </r>
  <r>
    <n v="295"/>
    <x v="35"/>
    <x v="987"/>
    <d v="1999-01-09T00:00:00"/>
    <x v="1"/>
    <s v="100/300"/>
    <n v="500"/>
    <x v="976"/>
    <n v="0"/>
    <x v="982"/>
    <x v="1"/>
    <x v="5"/>
    <x v="3"/>
    <x v="8"/>
    <s v="wife"/>
    <x v="1"/>
    <x v="0"/>
    <x v="4"/>
    <x v="0"/>
    <x v="2"/>
    <x v="1"/>
    <x v="2"/>
    <x v="2"/>
    <x v="0"/>
    <x v="987"/>
    <x v="0"/>
    <x v="0"/>
    <x v="0"/>
    <x v="0"/>
    <x v="3"/>
    <x v="2"/>
    <x v="753"/>
    <x v="468"/>
    <n v="6070"/>
    <x v="720"/>
    <s v="Honda"/>
    <s v="Civic"/>
    <n v="1997"/>
    <x v="1"/>
    <n v="0"/>
  </r>
  <r>
    <n v="22"/>
    <x v="42"/>
    <x v="988"/>
    <d v="2007-07-04T00:00:00"/>
    <x v="1"/>
    <s v="250/500"/>
    <n v="1000"/>
    <x v="977"/>
    <n v="0"/>
    <x v="983"/>
    <x v="1"/>
    <x v="5"/>
    <x v="8"/>
    <x v="10"/>
    <s v="husband"/>
    <x v="336"/>
    <x v="77"/>
    <x v="11"/>
    <x v="2"/>
    <x v="2"/>
    <x v="2"/>
    <x v="0"/>
    <x v="0"/>
    <x v="2"/>
    <x v="988"/>
    <x v="19"/>
    <x v="1"/>
    <x v="0"/>
    <x v="0"/>
    <x v="0"/>
    <x v="1"/>
    <x v="244"/>
    <x v="632"/>
    <n v="0"/>
    <x v="678"/>
    <s v="Chevrolet"/>
    <s v="Malibu"/>
    <n v="2015"/>
    <x v="1"/>
    <n v="0"/>
  </r>
  <r>
    <n v="286"/>
    <x v="18"/>
    <x v="989"/>
    <d v="1994-02-05T00:00:00"/>
    <x v="2"/>
    <s v="100/300"/>
    <n v="500"/>
    <x v="978"/>
    <n v="3000000"/>
    <x v="984"/>
    <x v="1"/>
    <x v="0"/>
    <x v="5"/>
    <x v="10"/>
    <s v="unmarried"/>
    <x v="337"/>
    <x v="6"/>
    <x v="50"/>
    <x v="0"/>
    <x v="2"/>
    <x v="1"/>
    <x v="2"/>
    <x v="2"/>
    <x v="6"/>
    <x v="989"/>
    <x v="22"/>
    <x v="0"/>
    <x v="1"/>
    <x v="2"/>
    <x v="0"/>
    <x v="0"/>
    <x v="754"/>
    <x v="633"/>
    <n v="3810"/>
    <x v="721"/>
    <s v="Jeep"/>
    <s v="Grand Cherokee"/>
    <n v="2013"/>
    <x v="1"/>
    <n v="0"/>
  </r>
  <r>
    <n v="257"/>
    <x v="4"/>
    <x v="990"/>
    <d v="2006-07-12T00:00:00"/>
    <x v="0"/>
    <s v="100/300"/>
    <n v="1000"/>
    <x v="979"/>
    <n v="0"/>
    <x v="985"/>
    <x v="0"/>
    <x v="0"/>
    <x v="6"/>
    <x v="16"/>
    <s v="other-relative"/>
    <x v="333"/>
    <x v="352"/>
    <x v="38"/>
    <x v="0"/>
    <x v="2"/>
    <x v="2"/>
    <x v="3"/>
    <x v="4"/>
    <x v="1"/>
    <x v="990"/>
    <x v="7"/>
    <x v="0"/>
    <x v="2"/>
    <x v="1"/>
    <x v="3"/>
    <x v="2"/>
    <x v="755"/>
    <x v="20"/>
    <n v="5220"/>
    <x v="179"/>
    <s v="Accura"/>
    <s v="TL"/>
    <n v="2002"/>
    <x v="1"/>
    <n v="0"/>
  </r>
  <r>
    <n v="94"/>
    <x v="13"/>
    <x v="991"/>
    <d v="2007-10-24T00:00:00"/>
    <x v="1"/>
    <s v="100/300"/>
    <n v="500"/>
    <x v="980"/>
    <n v="0"/>
    <x v="986"/>
    <x v="0"/>
    <x v="0"/>
    <x v="8"/>
    <x v="7"/>
    <s v="husband"/>
    <x v="338"/>
    <x v="0"/>
    <x v="49"/>
    <x v="2"/>
    <x v="3"/>
    <x v="0"/>
    <x v="2"/>
    <x v="3"/>
    <x v="3"/>
    <x v="991"/>
    <x v="13"/>
    <x v="1"/>
    <x v="0"/>
    <x v="0"/>
    <x v="0"/>
    <x v="0"/>
    <x v="756"/>
    <x v="634"/>
    <n v="7340"/>
    <x v="722"/>
    <s v="Nissan"/>
    <s v="Pathfinder"/>
    <n v="2010"/>
    <x v="1"/>
    <n v="0"/>
  </r>
  <r>
    <n v="124"/>
    <x v="23"/>
    <x v="992"/>
    <d v="2001-12-08T00:00:00"/>
    <x v="0"/>
    <s v="250/500"/>
    <n v="1000"/>
    <x v="981"/>
    <n v="0"/>
    <x v="987"/>
    <x v="0"/>
    <x v="0"/>
    <x v="8"/>
    <x v="7"/>
    <s v="husband"/>
    <x v="1"/>
    <x v="61"/>
    <x v="4"/>
    <x v="2"/>
    <x v="0"/>
    <x v="2"/>
    <x v="3"/>
    <x v="3"/>
    <x v="4"/>
    <x v="992"/>
    <x v="3"/>
    <x v="1"/>
    <x v="1"/>
    <x v="1"/>
    <x v="3"/>
    <x v="1"/>
    <x v="34"/>
    <x v="34"/>
    <n v="6020"/>
    <x v="34"/>
    <s v="Volkswagen"/>
    <s v="Passat"/>
    <n v="2012"/>
    <x v="1"/>
    <n v="0"/>
  </r>
  <r>
    <n v="141"/>
    <x v="22"/>
    <x v="993"/>
    <d v="2007-03-24T00:00:00"/>
    <x v="1"/>
    <s v="500/1000"/>
    <n v="1000"/>
    <x v="982"/>
    <n v="0"/>
    <x v="988"/>
    <x v="0"/>
    <x v="5"/>
    <x v="2"/>
    <x v="4"/>
    <s v="own-child"/>
    <x v="1"/>
    <x v="353"/>
    <x v="12"/>
    <x v="3"/>
    <x v="1"/>
    <x v="1"/>
    <x v="1"/>
    <x v="0"/>
    <x v="5"/>
    <x v="993"/>
    <x v="13"/>
    <x v="0"/>
    <x v="1"/>
    <x v="0"/>
    <x v="0"/>
    <x v="0"/>
    <x v="757"/>
    <x v="575"/>
    <n v="1080"/>
    <x v="723"/>
    <s v="Honda"/>
    <s v="Civic"/>
    <n v="1996"/>
    <x v="1"/>
    <n v="0"/>
  </r>
  <r>
    <n v="3"/>
    <x v="11"/>
    <x v="994"/>
    <d v="1991-07-16T00:00:00"/>
    <x v="0"/>
    <s v="500/1000"/>
    <n v="1000"/>
    <x v="983"/>
    <n v="0"/>
    <x v="989"/>
    <x v="1"/>
    <x v="4"/>
    <x v="0"/>
    <x v="13"/>
    <s v="unmarried"/>
    <x v="1"/>
    <x v="0"/>
    <x v="2"/>
    <x v="0"/>
    <x v="3"/>
    <x v="1"/>
    <x v="2"/>
    <x v="5"/>
    <x v="6"/>
    <x v="994"/>
    <x v="3"/>
    <x v="0"/>
    <x v="0"/>
    <x v="1"/>
    <x v="3"/>
    <x v="1"/>
    <x v="758"/>
    <x v="635"/>
    <n v="8720"/>
    <x v="724"/>
    <s v="Honda"/>
    <s v="Accord"/>
    <n v="2006"/>
    <x v="1"/>
    <n v="0"/>
  </r>
  <r>
    <n v="285"/>
    <x v="3"/>
    <x v="995"/>
    <d v="2014-01-05T00:00:00"/>
    <x v="2"/>
    <s v="100/300"/>
    <n v="1000"/>
    <x v="984"/>
    <n v="0"/>
    <x v="990"/>
    <x v="1"/>
    <x v="1"/>
    <x v="5"/>
    <x v="0"/>
    <s v="wife"/>
    <x v="301"/>
    <x v="0"/>
    <x v="27"/>
    <x v="0"/>
    <x v="2"/>
    <x v="0"/>
    <x v="2"/>
    <x v="0"/>
    <x v="5"/>
    <x v="995"/>
    <x v="6"/>
    <x v="0"/>
    <x v="0"/>
    <x v="2"/>
    <x v="2"/>
    <x v="1"/>
    <x v="759"/>
    <x v="636"/>
    <n v="18080"/>
    <x v="705"/>
    <s v="Volkswagen"/>
    <s v="Passat"/>
    <n v="2015"/>
    <x v="1"/>
    <n v="0"/>
  </r>
  <r>
    <n v="130"/>
    <x v="6"/>
    <x v="996"/>
    <d v="2003-02-17T00:00:00"/>
    <x v="0"/>
    <s v="250/500"/>
    <n v="500"/>
    <x v="985"/>
    <n v="3000000"/>
    <x v="991"/>
    <x v="1"/>
    <x v="4"/>
    <x v="3"/>
    <x v="4"/>
    <s v="other-relative"/>
    <x v="2"/>
    <x v="0"/>
    <x v="49"/>
    <x v="2"/>
    <x v="0"/>
    <x v="1"/>
    <x v="0"/>
    <x v="5"/>
    <x v="2"/>
    <x v="996"/>
    <x v="14"/>
    <x v="1"/>
    <x v="1"/>
    <x v="2"/>
    <x v="2"/>
    <x v="0"/>
    <x v="760"/>
    <x v="637"/>
    <n v="7500"/>
    <x v="725"/>
    <s v="Suburu"/>
    <s v="Impreza"/>
    <n v="1996"/>
    <x v="1"/>
    <n v="0"/>
  </r>
  <r>
    <n v="458"/>
    <x v="15"/>
    <x v="997"/>
    <d v="2011-11-18T00:00:00"/>
    <x v="2"/>
    <s v="500/1000"/>
    <n v="2000"/>
    <x v="986"/>
    <n v="5000000"/>
    <x v="992"/>
    <x v="0"/>
    <x v="2"/>
    <x v="11"/>
    <x v="5"/>
    <s v="wife"/>
    <x v="1"/>
    <x v="0"/>
    <x v="33"/>
    <x v="0"/>
    <x v="2"/>
    <x v="0"/>
    <x v="3"/>
    <x v="2"/>
    <x v="2"/>
    <x v="997"/>
    <x v="23"/>
    <x v="0"/>
    <x v="1"/>
    <x v="1"/>
    <x v="3"/>
    <x v="0"/>
    <x v="755"/>
    <x v="289"/>
    <n v="5220"/>
    <x v="303"/>
    <s v="Audi"/>
    <s v="A5"/>
    <n v="1998"/>
    <x v="1"/>
    <n v="0"/>
  </r>
  <r>
    <n v="456"/>
    <x v="33"/>
    <x v="998"/>
    <d v="1996-11-11T00:00:00"/>
    <x v="0"/>
    <s v="250/500"/>
    <n v="1000"/>
    <x v="987"/>
    <n v="0"/>
    <x v="993"/>
    <x v="1"/>
    <x v="2"/>
    <x v="2"/>
    <x v="15"/>
    <s v="husband"/>
    <x v="1"/>
    <x v="0"/>
    <x v="33"/>
    <x v="3"/>
    <x v="1"/>
    <x v="1"/>
    <x v="0"/>
    <x v="4"/>
    <x v="0"/>
    <x v="998"/>
    <x v="13"/>
    <x v="0"/>
    <x v="1"/>
    <x v="1"/>
    <x v="2"/>
    <x v="1"/>
    <x v="550"/>
    <x v="480"/>
    <n v="920"/>
    <x v="523"/>
    <s v="Mercedes"/>
    <s v="E400"/>
    <n v="2007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F183F-2C37-4982-86D3-0E964D6B8B15}" name="PivotTable1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E14:BF73" firstHeaderRow="1" firstDataRow="1" firstDataCol="1" rowPageCount="12" colPageCount="1"/>
  <pivotFields count="40">
    <pivotField showAll="0"/>
    <pivotField showAll="0">
      <items count="47">
        <item x="41"/>
        <item x="44"/>
        <item x="42"/>
        <item x="45"/>
        <item x="10"/>
        <item x="39"/>
        <item x="20"/>
        <item x="13"/>
        <item x="28"/>
        <item x="23"/>
        <item x="2"/>
        <item x="22"/>
        <item x="14"/>
        <item x="30"/>
        <item x="8"/>
        <item x="6"/>
        <item x="21"/>
        <item x="31"/>
        <item x="7"/>
        <item x="11"/>
        <item x="5"/>
        <item x="17"/>
        <item x="3"/>
        <item x="1"/>
        <item x="18"/>
        <item x="4"/>
        <item x="19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axis="axisPage" dataField="1" showAll="0">
      <items count="1000">
        <item x="662"/>
        <item x="862"/>
        <item x="5"/>
        <item x="588"/>
        <item x="336"/>
        <item x="441"/>
        <item x="675"/>
        <item x="43"/>
        <item x="990"/>
        <item x="601"/>
        <item x="942"/>
        <item x="635"/>
        <item x="530"/>
        <item x="641"/>
        <item x="563"/>
        <item x="579"/>
        <item x="222"/>
        <item x="23"/>
        <item x="546"/>
        <item x="74"/>
        <item x="509"/>
        <item x="913"/>
        <item x="251"/>
        <item x="919"/>
        <item x="147"/>
        <item x="154"/>
        <item x="393"/>
        <item x="179"/>
        <item x="950"/>
        <item x="285"/>
        <item x="90"/>
        <item x="34"/>
        <item x="872"/>
        <item x="235"/>
        <item x="425"/>
        <item x="299"/>
        <item x="63"/>
        <item x="965"/>
        <item x="186"/>
        <item x="804"/>
        <item x="626"/>
        <item x="456"/>
        <item x="160"/>
        <item x="141"/>
        <item x="167"/>
        <item x="792"/>
        <item x="868"/>
        <item x="745"/>
        <item x="113"/>
        <item x="603"/>
        <item x="19"/>
        <item x="177"/>
        <item x="248"/>
        <item x="941"/>
        <item x="110"/>
        <item x="463"/>
        <item x="820"/>
        <item x="933"/>
        <item x="371"/>
        <item x="691"/>
        <item x="312"/>
        <item x="720"/>
        <item x="171"/>
        <item x="115"/>
        <item x="911"/>
        <item x="121"/>
        <item x="634"/>
        <item x="494"/>
        <item x="342"/>
        <item x="710"/>
        <item x="909"/>
        <item x="331"/>
        <item x="317"/>
        <item x="107"/>
        <item x="892"/>
        <item x="525"/>
        <item x="143"/>
        <item x="416"/>
        <item x="75"/>
        <item x="484"/>
        <item x="866"/>
        <item x="256"/>
        <item x="514"/>
        <item x="460"/>
        <item x="600"/>
        <item x="198"/>
        <item x="433"/>
        <item x="217"/>
        <item x="73"/>
        <item x="903"/>
        <item x="859"/>
        <item x="739"/>
        <item x="772"/>
        <item x="883"/>
        <item x="736"/>
        <item x="438"/>
        <item x="668"/>
        <item x="985"/>
        <item x="20"/>
        <item x="245"/>
        <item x="768"/>
        <item x="995"/>
        <item x="246"/>
        <item x="522"/>
        <item x="617"/>
        <item x="777"/>
        <item x="948"/>
        <item x="100"/>
        <item x="35"/>
        <item x="358"/>
        <item x="492"/>
        <item x="149"/>
        <item x="386"/>
        <item x="676"/>
        <item x="690"/>
        <item x="39"/>
        <item x="374"/>
        <item x="243"/>
        <item x="592"/>
        <item x="829"/>
        <item x="194"/>
        <item x="252"/>
        <item x="11"/>
        <item x="991"/>
        <item x="512"/>
        <item x="367"/>
        <item x="703"/>
        <item x="148"/>
        <item x="380"/>
        <item x="473"/>
        <item x="210"/>
        <item x="871"/>
        <item x="905"/>
        <item x="722"/>
        <item x="971"/>
        <item x="658"/>
        <item x="323"/>
        <item x="185"/>
        <item x="262"/>
        <item x="951"/>
        <item x="3"/>
        <item x="591"/>
        <item x="746"/>
        <item x="502"/>
        <item x="894"/>
        <item x="945"/>
        <item x="513"/>
        <item x="734"/>
        <item x="96"/>
        <item x="305"/>
        <item x="164"/>
        <item x="686"/>
        <item x="470"/>
        <item x="228"/>
        <item x="516"/>
        <item x="517"/>
        <item x="523"/>
        <item x="98"/>
        <item x="199"/>
        <item x="766"/>
        <item x="459"/>
        <item x="453"/>
        <item x="176"/>
        <item x="751"/>
        <item x="565"/>
        <item x="806"/>
        <item x="407"/>
        <item x="437"/>
        <item x="120"/>
        <item x="816"/>
        <item x="881"/>
        <item x="767"/>
        <item x="70"/>
        <item x="236"/>
        <item x="309"/>
        <item x="656"/>
        <item x="654"/>
        <item x="449"/>
        <item x="842"/>
        <item x="360"/>
        <item x="507"/>
        <item x="773"/>
        <item x="774"/>
        <item x="508"/>
        <item x="224"/>
        <item x="426"/>
        <item x="607"/>
        <item x="794"/>
        <item x="895"/>
        <item x="297"/>
        <item x="17"/>
        <item x="596"/>
        <item x="267"/>
        <item x="311"/>
        <item x="78"/>
        <item x="237"/>
        <item x="943"/>
        <item x="53"/>
        <item x="531"/>
        <item x="708"/>
        <item x="106"/>
        <item x="259"/>
        <item x="495"/>
        <item x="605"/>
        <item x="685"/>
        <item x="22"/>
        <item x="688"/>
        <item x="427"/>
        <item x="170"/>
        <item x="585"/>
        <item x="735"/>
        <item x="973"/>
        <item x="898"/>
        <item x="932"/>
        <item x="189"/>
        <item x="418"/>
        <item x="301"/>
        <item x="655"/>
        <item x="156"/>
        <item x="412"/>
        <item x="60"/>
        <item x="896"/>
        <item x="56"/>
        <item x="93"/>
        <item x="648"/>
        <item x="681"/>
        <item x="589"/>
        <item x="442"/>
        <item x="707"/>
        <item x="562"/>
        <item x="117"/>
        <item x="501"/>
        <item x="631"/>
        <item x="808"/>
        <item x="836"/>
        <item x="620"/>
        <item x="247"/>
        <item x="758"/>
        <item x="447"/>
        <item x="552"/>
        <item x="891"/>
        <item x="279"/>
        <item x="116"/>
        <item x="799"/>
        <item x="348"/>
        <item x="852"/>
        <item x="64"/>
        <item x="287"/>
        <item x="721"/>
        <item x="165"/>
        <item x="249"/>
        <item x="31"/>
        <item x="560"/>
        <item x="340"/>
        <item x="778"/>
        <item x="355"/>
        <item x="901"/>
        <item x="1"/>
        <item x="61"/>
        <item x="457"/>
        <item x="856"/>
        <item x="519"/>
        <item x="66"/>
        <item x="162"/>
        <item x="378"/>
        <item x="68"/>
        <item x="400"/>
        <item x="543"/>
        <item x="315"/>
        <item x="823"/>
        <item x="142"/>
        <item x="953"/>
        <item x="361"/>
        <item x="421"/>
        <item x="65"/>
        <item x="278"/>
        <item x="830"/>
        <item x="388"/>
        <item x="697"/>
        <item x="499"/>
        <item x="351"/>
        <item x="571"/>
        <item x="770"/>
        <item x="803"/>
        <item x="853"/>
        <item x="221"/>
        <item x="4"/>
        <item x="274"/>
        <item x="119"/>
        <item x="368"/>
        <item x="725"/>
        <item x="848"/>
        <item x="715"/>
        <item x="307"/>
        <item x="538"/>
        <item x="450"/>
        <item x="467"/>
        <item x="482"/>
        <item x="444"/>
        <item x="732"/>
        <item x="874"/>
        <item x="916"/>
        <item x="576"/>
        <item x="802"/>
        <item x="536"/>
        <item x="349"/>
        <item x="533"/>
        <item x="293"/>
        <item x="554"/>
        <item x="674"/>
        <item x="364"/>
        <item x="899"/>
        <item x="372"/>
        <item x="101"/>
        <item x="771"/>
        <item x="963"/>
        <item x="241"/>
        <item x="322"/>
        <item x="182"/>
        <item x="51"/>
        <item x="111"/>
        <item x="264"/>
        <item x="146"/>
        <item x="567"/>
        <item x="404"/>
        <item x="469"/>
        <item x="180"/>
        <item x="924"/>
        <item x="743"/>
        <item x="347"/>
        <item x="316"/>
        <item x="566"/>
        <item x="229"/>
        <item x="333"/>
        <item x="608"/>
        <item x="637"/>
        <item x="394"/>
        <item x="440"/>
        <item x="376"/>
        <item x="458"/>
        <item x="6"/>
        <item x="328"/>
        <item x="125"/>
        <item x="327"/>
        <item x="152"/>
        <item x="296"/>
        <item x="54"/>
        <item x="748"/>
        <item x="917"/>
        <item x="542"/>
        <item x="343"/>
        <item x="424"/>
        <item x="276"/>
        <item x="580"/>
        <item x="172"/>
        <item x="302"/>
        <item x="308"/>
        <item x="209"/>
        <item x="126"/>
        <item x="7"/>
        <item x="44"/>
        <item x="493"/>
        <item x="461"/>
        <item x="683"/>
        <item x="633"/>
        <item x="21"/>
        <item x="435"/>
        <item x="613"/>
        <item x="955"/>
        <item x="136"/>
        <item x="356"/>
        <item x="207"/>
        <item x="665"/>
        <item x="133"/>
        <item x="960"/>
        <item x="188"/>
        <item x="574"/>
        <item x="904"/>
        <item x="431"/>
        <item x="414"/>
        <item x="642"/>
        <item x="783"/>
        <item x="709"/>
        <item x="220"/>
        <item x="184"/>
        <item x="682"/>
        <item x="290"/>
        <item x="753"/>
        <item x="497"/>
        <item x="511"/>
        <item x="341"/>
        <item x="716"/>
        <item x="288"/>
        <item x="41"/>
        <item x="926"/>
        <item x="159"/>
        <item x="889"/>
        <item x="140"/>
        <item x="918"/>
        <item x="373"/>
        <item x="705"/>
        <item x="462"/>
        <item x="784"/>
        <item x="643"/>
        <item x="397"/>
        <item x="584"/>
        <item x="714"/>
        <item x="387"/>
        <item x="870"/>
        <item x="692"/>
        <item x="128"/>
        <item x="629"/>
        <item x="956"/>
        <item x="624"/>
        <item x="260"/>
        <item x="819"/>
        <item x="232"/>
        <item x="173"/>
        <item x="653"/>
        <item x="798"/>
        <item x="755"/>
        <item x="661"/>
        <item x="79"/>
        <item x="471"/>
        <item x="570"/>
        <item x="58"/>
        <item x="598"/>
        <item x="37"/>
        <item x="8"/>
        <item x="811"/>
        <item x="69"/>
        <item x="330"/>
        <item x="810"/>
        <item x="652"/>
        <item x="964"/>
        <item x="776"/>
        <item x="860"/>
        <item x="981"/>
        <item x="921"/>
        <item x="902"/>
        <item x="166"/>
        <item x="505"/>
        <item x="439"/>
        <item x="234"/>
        <item x="500"/>
        <item x="689"/>
        <item x="430"/>
        <item x="593"/>
        <item x="83"/>
        <item x="490"/>
        <item x="550"/>
        <item x="84"/>
        <item x="383"/>
        <item x="67"/>
        <item x="822"/>
        <item x="419"/>
        <item x="575"/>
        <item x="527"/>
        <item x="545"/>
        <item x="200"/>
        <item x="448"/>
        <item x="740"/>
        <item x="597"/>
        <item x="569"/>
        <item x="214"/>
        <item x="231"/>
        <item x="277"/>
        <item x="582"/>
        <item x="244"/>
        <item x="181"/>
        <item x="369"/>
        <item x="144"/>
        <item x="313"/>
        <item x="977"/>
        <item x="298"/>
        <item x="839"/>
        <item x="761"/>
        <item x="127"/>
        <item x="62"/>
        <item x="712"/>
        <item x="0"/>
        <item x="815"/>
        <item x="625"/>
        <item x="854"/>
        <item x="273"/>
        <item x="922"/>
        <item x="187"/>
        <item x="55"/>
        <item x="420"/>
        <item x="980"/>
        <item x="289"/>
        <item x="649"/>
        <item x="76"/>
        <item x="834"/>
        <item x="590"/>
        <item x="45"/>
        <item x="218"/>
        <item x="946"/>
        <item x="118"/>
        <item x="250"/>
        <item x="997"/>
        <item x="359"/>
        <item x="529"/>
        <item x="936"/>
        <item x="698"/>
        <item x="50"/>
        <item x="395"/>
        <item x="515"/>
        <item x="553"/>
        <item x="581"/>
        <item x="10"/>
        <item x="962"/>
        <item x="845"/>
        <item x="205"/>
        <item x="239"/>
        <item x="988"/>
        <item x="551"/>
        <item x="556"/>
        <item x="398"/>
        <item x="451"/>
        <item x="782"/>
        <item x="346"/>
        <item x="504"/>
        <item x="998"/>
        <item x="978"/>
        <item x="564"/>
        <item x="885"/>
        <item x="949"/>
        <item x="16"/>
        <item x="357"/>
        <item x="337"/>
        <item x="957"/>
        <item x="150"/>
        <item x="211"/>
        <item x="362"/>
        <item x="824"/>
        <item x="882"/>
        <item x="879"/>
        <item x="959"/>
        <item x="466"/>
        <item x="818"/>
        <item x="153"/>
        <item x="321"/>
        <item x="269"/>
        <item x="644"/>
        <item x="900"/>
        <item x="48"/>
        <item x="518"/>
        <item x="310"/>
        <item x="339"/>
        <item x="32"/>
        <item x="489"/>
        <item x="275"/>
        <item x="202"/>
        <item x="701"/>
        <item x="704"/>
        <item x="157"/>
        <item x="987"/>
        <item x="215"/>
        <item x="664"/>
        <item x="366"/>
        <item x="257"/>
        <item x="787"/>
        <item x="615"/>
        <item x="406"/>
        <item x="28"/>
        <item x="832"/>
        <item x="206"/>
        <item x="938"/>
        <item x="59"/>
        <item x="875"/>
        <item x="541"/>
        <item x="498"/>
        <item x="240"/>
        <item x="954"/>
        <item x="195"/>
        <item x="843"/>
        <item x="572"/>
        <item x="213"/>
        <item x="744"/>
        <item x="639"/>
        <item x="789"/>
        <item x="645"/>
        <item x="930"/>
        <item x="713"/>
        <item x="750"/>
        <item x="912"/>
        <item x="26"/>
        <item x="344"/>
        <item x="86"/>
        <item x="303"/>
        <item x="729"/>
        <item x="40"/>
        <item x="131"/>
        <item x="555"/>
        <item x="524"/>
        <item x="413"/>
        <item x="837"/>
        <item x="130"/>
        <item x="338"/>
        <item x="728"/>
        <item x="334"/>
        <item x="57"/>
        <item x="379"/>
        <item x="706"/>
        <item x="13"/>
        <item x="549"/>
        <item x="77"/>
        <item x="465"/>
        <item x="226"/>
        <item x="242"/>
        <item x="197"/>
        <item x="821"/>
        <item x="410"/>
        <item x="409"/>
        <item x="105"/>
        <item x="583"/>
        <item x="884"/>
        <item x="817"/>
        <item x="9"/>
        <item x="640"/>
        <item x="586"/>
        <item x="702"/>
        <item x="719"/>
        <item x="695"/>
        <item x="578"/>
        <item x="935"/>
        <item x="14"/>
        <item x="80"/>
        <item x="958"/>
        <item x="851"/>
        <item x="114"/>
        <item x="174"/>
        <item x="760"/>
        <item x="132"/>
        <item x="961"/>
        <item x="204"/>
        <item x="178"/>
        <item x="423"/>
        <item x="201"/>
        <item x="693"/>
        <item x="611"/>
        <item x="295"/>
        <item x="71"/>
        <item x="731"/>
        <item x="650"/>
        <item x="737"/>
        <item x="475"/>
        <item x="989"/>
        <item x="558"/>
        <item x="867"/>
        <item x="30"/>
        <item x="230"/>
        <item x="886"/>
        <item x="711"/>
        <item x="984"/>
        <item x="929"/>
        <item x="844"/>
        <item x="657"/>
        <item x="992"/>
        <item x="876"/>
        <item x="161"/>
        <item x="87"/>
        <item x="993"/>
        <item x="405"/>
        <item x="139"/>
        <item x="646"/>
        <item x="765"/>
        <item x="833"/>
        <item x="928"/>
        <item x="89"/>
        <item x="429"/>
        <item x="2"/>
        <item x="670"/>
        <item x="539"/>
        <item x="291"/>
        <item x="402"/>
        <item x="726"/>
        <item x="49"/>
        <item x="81"/>
        <item x="865"/>
        <item x="679"/>
        <item x="890"/>
        <item x="826"/>
        <item x="350"/>
        <item x="595"/>
        <item x="727"/>
        <item x="619"/>
        <item x="477"/>
        <item x="602"/>
        <item x="300"/>
        <item x="759"/>
        <item x="861"/>
        <item x="123"/>
        <item x="129"/>
        <item x="797"/>
        <item x="680"/>
        <item x="939"/>
        <item x="452"/>
        <item x="940"/>
        <item x="788"/>
        <item x="521"/>
        <item x="910"/>
        <item x="915"/>
        <item x="272"/>
        <item x="795"/>
        <item x="781"/>
        <item x="944"/>
        <item x="840"/>
        <item x="526"/>
        <item x="52"/>
        <item x="627"/>
        <item x="669"/>
        <item x="92"/>
        <item x="970"/>
        <item x="487"/>
        <item x="233"/>
        <item x="594"/>
        <item x="377"/>
        <item x="24"/>
        <item x="855"/>
        <item x="864"/>
        <item x="254"/>
        <item x="208"/>
        <item x="97"/>
        <item x="318"/>
        <item x="225"/>
        <item x="496"/>
        <item x="540"/>
        <item x="212"/>
        <item x="485"/>
        <item x="908"/>
        <item x="375"/>
        <item x="937"/>
        <item x="677"/>
        <item x="390"/>
        <item x="261"/>
        <item x="925"/>
        <item x="888"/>
        <item x="800"/>
        <item x="785"/>
        <item x="478"/>
        <item x="138"/>
        <item x="294"/>
        <item x="559"/>
        <item x="392"/>
        <item x="647"/>
        <item x="671"/>
        <item x="464"/>
        <item x="102"/>
        <item x="769"/>
        <item x="72"/>
        <item x="873"/>
        <item x="503"/>
        <item x="967"/>
        <item x="747"/>
        <item x="304"/>
        <item x="841"/>
        <item x="678"/>
        <item x="982"/>
        <item x="109"/>
        <item x="972"/>
        <item x="846"/>
        <item x="280"/>
        <item x="622"/>
        <item x="155"/>
        <item x="573"/>
        <item x="764"/>
        <item x="752"/>
        <item x="286"/>
        <item x="793"/>
        <item x="548"/>
        <item x="488"/>
        <item x="700"/>
        <item x="42"/>
        <item x="952"/>
        <item x="474"/>
        <item x="863"/>
        <item x="696"/>
        <item x="577"/>
        <item x="667"/>
        <item x="491"/>
        <item x="145"/>
        <item x="472"/>
        <item x="756"/>
        <item x="599"/>
        <item x="99"/>
        <item x="684"/>
        <item x="835"/>
        <item x="353"/>
        <item x="85"/>
        <item x="805"/>
        <item x="281"/>
        <item x="763"/>
        <item x="326"/>
        <item x="660"/>
        <item x="345"/>
        <item x="796"/>
        <item x="724"/>
        <item x="733"/>
        <item x="292"/>
        <item x="486"/>
        <item x="428"/>
        <item x="636"/>
        <item x="434"/>
        <item x="544"/>
        <item x="255"/>
        <item x="445"/>
        <item x="880"/>
        <item x="266"/>
        <item x="329"/>
        <item x="807"/>
        <item x="122"/>
        <item x="638"/>
        <item x="191"/>
        <item x="284"/>
        <item x="422"/>
        <item x="606"/>
        <item x="612"/>
        <item x="618"/>
        <item x="717"/>
        <item x="609"/>
        <item x="363"/>
        <item x="814"/>
        <item x="483"/>
        <item x="986"/>
        <item x="227"/>
        <item x="934"/>
        <item x="532"/>
        <item x="268"/>
        <item x="12"/>
        <item x="258"/>
        <item x="927"/>
        <item x="968"/>
        <item x="907"/>
        <item x="969"/>
        <item x="974"/>
        <item x="432"/>
        <item x="537"/>
        <item x="108"/>
        <item x="158"/>
        <item x="443"/>
        <item x="623"/>
        <item x="382"/>
        <item x="314"/>
        <item x="25"/>
        <item x="831"/>
        <item x="791"/>
        <item x="779"/>
        <item x="332"/>
        <item x="827"/>
        <item x="47"/>
        <item x="906"/>
        <item x="190"/>
        <item x="809"/>
        <item x="535"/>
        <item x="223"/>
        <item x="104"/>
        <item x="270"/>
        <item x="699"/>
        <item x="385"/>
        <item x="391"/>
        <item x="534"/>
        <item x="319"/>
        <item x="192"/>
        <item x="354"/>
        <item x="878"/>
        <item x="738"/>
        <item x="687"/>
        <item x="812"/>
        <item x="947"/>
        <item x="975"/>
        <item x="265"/>
        <item x="389"/>
        <item x="632"/>
        <item x="325"/>
        <item x="742"/>
        <item x="15"/>
        <item x="614"/>
        <item x="203"/>
        <item x="857"/>
        <item x="238"/>
        <item x="95"/>
        <item x="403"/>
        <item x="436"/>
        <item x="384"/>
        <item x="151"/>
        <item x="825"/>
        <item x="813"/>
        <item x="29"/>
        <item x="979"/>
        <item x="801"/>
        <item x="757"/>
        <item x="455"/>
        <item x="587"/>
        <item x="628"/>
        <item x="651"/>
        <item x="923"/>
        <item x="27"/>
        <item x="175"/>
        <item x="480"/>
        <item x="996"/>
        <item x="91"/>
        <item x="193"/>
        <item x="561"/>
        <item x="786"/>
        <item x="528"/>
        <item x="18"/>
        <item x="775"/>
        <item x="183"/>
        <item x="169"/>
        <item x="718"/>
        <item x="520"/>
        <item x="506"/>
        <item x="411"/>
        <item x="610"/>
        <item x="893"/>
        <item x="976"/>
        <item x="468"/>
        <item x="306"/>
        <item x="966"/>
        <item x="396"/>
        <item x="135"/>
        <item x="36"/>
        <item x="137"/>
        <item x="335"/>
        <item x="253"/>
        <item x="417"/>
        <item x="399"/>
        <item x="754"/>
        <item x="46"/>
        <item x="103"/>
        <item x="219"/>
        <item x="663"/>
        <item x="994"/>
        <item x="666"/>
        <item x="263"/>
        <item x="694"/>
        <item x="401"/>
        <item x="621"/>
        <item x="673"/>
        <item x="730"/>
        <item x="897"/>
        <item x="547"/>
        <item x="320"/>
        <item x="828"/>
        <item x="630"/>
        <item x="847"/>
        <item x="370"/>
        <item x="454"/>
        <item x="858"/>
        <item x="352"/>
        <item x="88"/>
        <item x="82"/>
        <item x="723"/>
        <item x="168"/>
        <item x="780"/>
        <item x="510"/>
        <item x="887"/>
        <item x="134"/>
        <item x="838"/>
        <item x="124"/>
        <item x="931"/>
        <item x="283"/>
        <item x="216"/>
        <item x="415"/>
        <item x="476"/>
        <item x="749"/>
        <item x="983"/>
        <item x="479"/>
        <item x="568"/>
        <item x="196"/>
        <item x="365"/>
        <item x="790"/>
        <item x="616"/>
        <item x="869"/>
        <item x="112"/>
        <item x="850"/>
        <item x="38"/>
        <item x="762"/>
        <item x="324"/>
        <item x="163"/>
        <item x="877"/>
        <item x="408"/>
        <item x="920"/>
        <item x="282"/>
        <item x="33"/>
        <item x="741"/>
        <item x="849"/>
        <item x="659"/>
        <item x="914"/>
        <item x="94"/>
        <item x="446"/>
        <item x="271"/>
        <item x="481"/>
        <item x="604"/>
        <item x="557"/>
        <item x="672"/>
        <item x="381"/>
        <item t="default"/>
      </items>
    </pivotField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989">
        <item x="245"/>
        <item x="758"/>
        <item x="41"/>
        <item x="677"/>
        <item x="376"/>
        <item x="624"/>
        <item x="264"/>
        <item x="728"/>
        <item x="654"/>
        <item x="597"/>
        <item x="275"/>
        <item x="17"/>
        <item x="606"/>
        <item x="457"/>
        <item x="835"/>
        <item x="980"/>
        <item x="371"/>
        <item x="933"/>
        <item x="308"/>
        <item x="987"/>
        <item x="206"/>
        <item x="203"/>
        <item x="82"/>
        <item x="497"/>
        <item x="241"/>
        <item x="288"/>
        <item x="826"/>
        <item x="474"/>
        <item x="437"/>
        <item x="58"/>
        <item x="861"/>
        <item x="519"/>
        <item x="383"/>
        <item x="689"/>
        <item x="294"/>
        <item x="921"/>
        <item x="433"/>
        <item x="698"/>
        <item x="128"/>
        <item x="797"/>
        <item x="614"/>
        <item x="65"/>
        <item x="622"/>
        <item x="720"/>
        <item x="702"/>
        <item x="971"/>
        <item x="428"/>
        <item x="146"/>
        <item x="25"/>
        <item x="496"/>
        <item x="792"/>
        <item x="957"/>
        <item x="488"/>
        <item x="252"/>
        <item x="491"/>
        <item x="57"/>
        <item x="958"/>
        <item x="84"/>
        <item x="21"/>
        <item x="501"/>
        <item x="747"/>
        <item x="23"/>
        <item x="175"/>
        <item x="320"/>
        <item x="334"/>
        <item x="655"/>
        <item x="70"/>
        <item x="172"/>
        <item x="565"/>
        <item x="315"/>
        <item x="346"/>
        <item x="887"/>
        <item x="896"/>
        <item x="648"/>
        <item x="459"/>
        <item x="718"/>
        <item x="302"/>
        <item x="890"/>
        <item x="505"/>
        <item x="754"/>
        <item x="185"/>
        <item x="904"/>
        <item x="358"/>
        <item x="905"/>
        <item x="213"/>
        <item x="369"/>
        <item x="344"/>
        <item x="234"/>
        <item x="714"/>
        <item x="764"/>
        <item x="13"/>
        <item x="438"/>
        <item x="974"/>
        <item x="557"/>
        <item x="297"/>
        <item x="674"/>
        <item x="424"/>
        <item x="912"/>
        <item x="478"/>
        <item x="962"/>
        <item x="28"/>
        <item x="851"/>
        <item x="335"/>
        <item x="930"/>
        <item x="662"/>
        <item x="116"/>
        <item x="696"/>
        <item x="129"/>
        <item x="239"/>
        <item x="351"/>
        <item x="645"/>
        <item x="138"/>
        <item x="97"/>
        <item x="396"/>
        <item x="293"/>
        <item x="406"/>
        <item x="574"/>
        <item x="373"/>
        <item x="372"/>
        <item x="270"/>
        <item x="831"/>
        <item x="735"/>
        <item x="77"/>
        <item x="425"/>
        <item x="541"/>
        <item x="219"/>
        <item x="903"/>
        <item x="583"/>
        <item x="862"/>
        <item x="939"/>
        <item x="612"/>
        <item x="411"/>
        <item x="723"/>
        <item x="186"/>
        <item x="615"/>
        <item x="668"/>
        <item x="339"/>
        <item x="34"/>
        <item x="966"/>
        <item x="584"/>
        <item x="800"/>
        <item x="716"/>
        <item x="142"/>
        <item x="611"/>
        <item x="60"/>
        <item x="361"/>
        <item x="756"/>
        <item x="322"/>
        <item x="593"/>
        <item x="703"/>
        <item x="813"/>
        <item x="544"/>
        <item x="147"/>
        <item x="578"/>
        <item x="221"/>
        <item x="946"/>
        <item x="283"/>
        <item x="560"/>
        <item x="276"/>
        <item x="936"/>
        <item x="950"/>
        <item x="649"/>
        <item x="444"/>
        <item x="599"/>
        <item x="535"/>
        <item x="546"/>
        <item x="200"/>
        <item x="475"/>
        <item x="929"/>
        <item x="538"/>
        <item x="779"/>
        <item x="298"/>
        <item x="214"/>
        <item x="568"/>
        <item x="418"/>
        <item x="571"/>
        <item x="855"/>
        <item x="853"/>
        <item x="246"/>
        <item x="527"/>
        <item x="348"/>
        <item x="858"/>
        <item x="261"/>
        <item x="886"/>
        <item x="774"/>
        <item x="74"/>
        <item x="607"/>
        <item x="121"/>
        <item x="924"/>
        <item x="740"/>
        <item x="201"/>
        <item x="934"/>
        <item x="646"/>
        <item x="176"/>
        <item x="148"/>
        <item x="476"/>
        <item x="617"/>
        <item x="208"/>
        <item x="362"/>
        <item x="250"/>
        <item x="872"/>
        <item x="951"/>
        <item x="224"/>
        <item x="151"/>
        <item x="120"/>
        <item x="182"/>
        <item x="927"/>
        <item x="915"/>
        <item x="69"/>
        <item x="812"/>
        <item x="439"/>
        <item x="183"/>
        <item x="233"/>
        <item x="111"/>
        <item x="961"/>
        <item x="678"/>
        <item x="66"/>
        <item x="332"/>
        <item x="605"/>
        <item x="661"/>
        <item x="504"/>
        <item x="229"/>
        <item x="49"/>
        <item x="107"/>
        <item x="618"/>
        <item x="949"/>
        <item x="93"/>
        <item x="431"/>
        <item x="395"/>
        <item x="462"/>
        <item x="817"/>
        <item x="168"/>
        <item x="265"/>
        <item x="42"/>
        <item x="610"/>
        <item x="900"/>
        <item x="823"/>
        <item x="54"/>
        <item x="392"/>
        <item x="269"/>
        <item x="874"/>
        <item x="227"/>
        <item x="337"/>
        <item x="188"/>
        <item x="305"/>
        <item x="30"/>
        <item x="387"/>
        <item x="704"/>
        <item x="291"/>
        <item x="379"/>
        <item x="536"/>
        <item x="965"/>
        <item x="849"/>
        <item x="461"/>
        <item x="356"/>
        <item x="296"/>
        <item x="178"/>
        <item x="637"/>
        <item x="531"/>
        <item x="409"/>
        <item x="970"/>
        <item x="899"/>
        <item x="364"/>
        <item x="114"/>
        <item x="27"/>
        <item x="68"/>
        <item x="592"/>
        <item x="829"/>
        <item x="947"/>
        <item x="906"/>
        <item x="561"/>
        <item x="113"/>
        <item x="799"/>
        <item x="432"/>
        <item x="931"/>
        <item x="801"/>
        <item x="726"/>
        <item x="693"/>
        <item x="435"/>
        <item x="922"/>
        <item x="390"/>
        <item x="408"/>
        <item x="465"/>
        <item x="389"/>
        <item x="558"/>
        <item x="730"/>
        <item x="616"/>
        <item x="712"/>
        <item x="719"/>
        <item x="46"/>
        <item x="336"/>
        <item x="112"/>
        <item x="768"/>
        <item x="744"/>
        <item x="736"/>
        <item x="167"/>
        <item x="630"/>
        <item x="104"/>
        <item x="881"/>
        <item x="343"/>
        <item x="761"/>
        <item x="724"/>
        <item x="15"/>
        <item x="867"/>
        <item x="498"/>
        <item x="625"/>
        <item x="773"/>
        <item x="258"/>
        <item x="416"/>
        <item x="284"/>
        <item x="556"/>
        <item x="89"/>
        <item x="517"/>
        <item x="7"/>
        <item x="228"/>
        <item x="126"/>
        <item x="787"/>
        <item x="403"/>
        <item x="894"/>
        <item x="600"/>
        <item x="181"/>
        <item x="103"/>
        <item x="386"/>
        <item x="879"/>
        <item x="158"/>
        <item x="809"/>
        <item x="869"/>
        <item x="502"/>
        <item x="897"/>
        <item x="748"/>
        <item x="641"/>
        <item x="96"/>
        <item x="603"/>
        <item x="468"/>
        <item x="157"/>
        <item x="197"/>
        <item x="253"/>
        <item x="579"/>
        <item x="746"/>
        <item x="300"/>
        <item x="36"/>
        <item x="814"/>
        <item x="743"/>
        <item x="676"/>
        <item x="149"/>
        <item x="635"/>
        <item x="378"/>
        <item x="407"/>
        <item x="577"/>
        <item x="512"/>
        <item x="160"/>
        <item x="843"/>
        <item x="117"/>
        <item x="59"/>
        <item x="511"/>
        <item x="918"/>
        <item x="530"/>
        <item x="450"/>
        <item x="652"/>
        <item x="722"/>
        <item x="806"/>
        <item x="499"/>
        <item x="781"/>
        <item x="902"/>
        <item x="452"/>
        <item x="436"/>
        <item x="914"/>
        <item x="842"/>
        <item x="442"/>
        <item x="426"/>
        <item x="960"/>
        <item x="804"/>
        <item x="901"/>
        <item x="365"/>
        <item x="515"/>
        <item x="427"/>
        <item x="20"/>
        <item x="500"/>
        <item x="880"/>
        <item x="969"/>
        <item x="839"/>
        <item x="650"/>
        <item x="405"/>
        <item x="191"/>
        <item x="506"/>
        <item x="393"/>
        <item x="715"/>
        <item x="576"/>
        <item x="852"/>
        <item x="508"/>
        <item x="285"/>
        <item x="725"/>
        <item x="360"/>
        <item x="1"/>
        <item x="155"/>
        <item x="136"/>
        <item x="220"/>
        <item x="911"/>
        <item x="16"/>
        <item x="964"/>
        <item x="952"/>
        <item x="51"/>
        <item x="596"/>
        <item x="609"/>
        <item x="352"/>
        <item x="156"/>
        <item x="683"/>
        <item x="547"/>
        <item x="932"/>
        <item x="105"/>
        <item x="380"/>
        <item x="385"/>
        <item x="798"/>
        <item x="222"/>
        <item x="846"/>
        <item x="353"/>
        <item x="733"/>
        <item x="12"/>
        <item x="190"/>
        <item x="681"/>
        <item x="350"/>
        <item x="523"/>
        <item x="210"/>
        <item x="464"/>
        <item x="694"/>
        <item x="230"/>
        <item x="273"/>
        <item x="660"/>
        <item x="139"/>
        <item x="673"/>
        <item x="542"/>
        <item x="539"/>
        <item x="137"/>
        <item x="690"/>
        <item x="35"/>
        <item x="110"/>
        <item x="666"/>
        <item x="171"/>
        <item x="479"/>
        <item x="87"/>
        <item x="170"/>
        <item x="628"/>
        <item x="619"/>
        <item x="782"/>
        <item x="555"/>
        <item x="559"/>
        <item x="816"/>
        <item x="513"/>
        <item x="763"/>
        <item x="586"/>
        <item x="471"/>
        <item x="80"/>
        <item x="695"/>
        <item x="202"/>
        <item x="981"/>
        <item x="825"/>
        <item x="778"/>
        <item x="494"/>
        <item x="140"/>
        <item x="249"/>
        <item x="340"/>
        <item x="644"/>
        <item x="820"/>
        <item x="64"/>
        <item x="303"/>
        <item x="44"/>
        <item x="381"/>
        <item x="166"/>
        <item x="394"/>
        <item x="223"/>
        <item x="838"/>
        <item x="347"/>
        <item x="398"/>
        <item x="47"/>
        <item x="943"/>
        <item x="821"/>
        <item x="306"/>
        <item x="977"/>
        <item x="286"/>
        <item x="938"/>
        <item x="524"/>
        <item x="268"/>
        <item x="321"/>
        <item x="581"/>
        <item x="10"/>
        <item x="878"/>
        <item x="174"/>
        <item x="620"/>
        <item x="859"/>
        <item x="543"/>
        <item x="440"/>
        <item x="550"/>
        <item x="412"/>
        <item x="834"/>
        <item x="833"/>
        <item x="391"/>
        <item x="329"/>
        <item x="374"/>
        <item x="567"/>
        <item x="749"/>
        <item x="37"/>
        <item x="935"/>
        <item x="247"/>
        <item x="766"/>
        <item x="709"/>
        <item x="827"/>
        <item x="729"/>
        <item x="79"/>
        <item x="551"/>
        <item x="22"/>
        <item x="401"/>
        <item x="115"/>
        <item x="520"/>
        <item x="920"/>
        <item x="876"/>
        <item x="824"/>
        <item x="907"/>
        <item x="45"/>
        <item x="752"/>
        <item x="710"/>
        <item x="152"/>
        <item x="533"/>
        <item x="290"/>
        <item x="430"/>
        <item x="53"/>
        <item x="595"/>
        <item x="864"/>
        <item x="132"/>
        <item x="240"/>
        <item x="67"/>
        <item x="212"/>
        <item x="979"/>
        <item x="480"/>
        <item x="199"/>
        <item x="254"/>
        <item x="134"/>
        <item x="898"/>
        <item x="518"/>
        <item x="421"/>
        <item x="664"/>
        <item x="349"/>
        <item x="569"/>
        <item x="870"/>
        <item x="312"/>
        <item x="522"/>
        <item x="26"/>
        <item x="534"/>
        <item x="701"/>
        <item x="882"/>
        <item x="467"/>
        <item x="658"/>
        <item x="634"/>
        <item x="244"/>
        <item x="594"/>
        <item x="109"/>
        <item x="783"/>
        <item x="721"/>
        <item x="14"/>
        <item x="204"/>
        <item x="765"/>
        <item x="122"/>
        <item x="485"/>
        <item x="832"/>
        <item x="260"/>
        <item x="510"/>
        <item x="871"/>
        <item x="780"/>
        <item x="417"/>
        <item x="75"/>
        <item x="629"/>
        <item x="272"/>
        <item x="788"/>
        <item x="282"/>
        <item x="983"/>
        <item x="863"/>
        <item x="653"/>
        <item x="307"/>
        <item x="328"/>
        <item x="363"/>
        <item x="448"/>
        <item x="215"/>
        <item x="279"/>
        <item x="9"/>
        <item x="311"/>
        <item x="563"/>
        <item x="81"/>
        <item x="86"/>
        <item x="769"/>
        <item x="888"/>
        <item x="587"/>
        <item x="141"/>
        <item x="24"/>
        <item x="90"/>
        <item x="818"/>
        <item x="537"/>
        <item x="292"/>
        <item x="88"/>
        <item x="48"/>
        <item x="487"/>
        <item x="309"/>
        <item x="771"/>
        <item x="937"/>
        <item x="711"/>
        <item x="404"/>
        <item x="489"/>
        <item x="967"/>
        <item x="159"/>
        <item x="6"/>
        <item x="928"/>
        <item x="33"/>
        <item x="441"/>
        <item x="29"/>
        <item x="108"/>
        <item x="162"/>
        <item x="423"/>
        <item x="106"/>
        <item x="287"/>
        <item x="310"/>
        <item x="608"/>
        <item x="908"/>
        <item x="78"/>
        <item x="243"/>
        <item x="456"/>
        <item x="913"/>
        <item x="359"/>
        <item x="384"/>
        <item x="255"/>
        <item x="953"/>
        <item x="154"/>
        <item x="492"/>
        <item x="266"/>
        <item x="422"/>
        <item x="982"/>
        <item x="802"/>
        <item x="323"/>
        <item x="278"/>
        <item x="135"/>
        <item x="5"/>
        <item x="697"/>
        <item x="125"/>
        <item x="95"/>
        <item x="451"/>
        <item x="700"/>
        <item x="811"/>
        <item x="420"/>
        <item x="613"/>
        <item x="144"/>
        <item x="944"/>
        <item x="986"/>
        <item x="598"/>
        <item x="762"/>
        <item x="633"/>
        <item x="738"/>
        <item x="807"/>
        <item x="968"/>
        <item x="164"/>
        <item x="753"/>
        <item x="211"/>
        <item x="63"/>
        <item x="796"/>
        <item x="179"/>
        <item x="333"/>
        <item x="367"/>
        <item x="304"/>
        <item x="626"/>
        <item x="289"/>
        <item x="189"/>
        <item x="884"/>
        <item x="956"/>
        <item x="795"/>
        <item x="231"/>
        <item x="330"/>
        <item x="313"/>
        <item x="150"/>
        <item x="656"/>
        <item x="18"/>
        <item x="840"/>
        <item x="458"/>
        <item x="493"/>
        <item x="755"/>
        <item x="327"/>
        <item x="325"/>
        <item x="545"/>
        <item x="910"/>
        <item x="671"/>
        <item x="180"/>
        <item x="521"/>
        <item x="985"/>
        <item x="145"/>
        <item x="341"/>
        <item x="301"/>
        <item x="873"/>
        <item x="841"/>
        <item x="945"/>
        <item x="281"/>
        <item x="865"/>
        <item x="830"/>
        <item x="699"/>
        <item x="585"/>
        <item x="477"/>
        <item x="785"/>
        <item x="640"/>
        <item x="889"/>
        <item x="562"/>
        <item x="684"/>
        <item x="52"/>
        <item x="119"/>
        <item x="837"/>
        <item x="707"/>
        <item x="856"/>
        <item x="445"/>
        <item x="860"/>
        <item x="601"/>
        <item x="127"/>
        <item x="400"/>
        <item x="143"/>
        <item x="643"/>
        <item x="124"/>
        <item x="331"/>
        <item x="271"/>
        <item x="299"/>
        <item x="262"/>
        <item x="153"/>
        <item x="446"/>
        <item x="368"/>
        <item x="810"/>
        <item x="72"/>
        <item x="866"/>
        <item x="0"/>
        <item x="280"/>
        <item x="503"/>
        <item x="274"/>
        <item x="195"/>
        <item x="940"/>
        <item x="415"/>
        <item x="892"/>
        <item x="2"/>
        <item x="55"/>
        <item x="32"/>
        <item x="3"/>
        <item x="942"/>
        <item x="295"/>
        <item x="483"/>
        <item x="552"/>
        <item x="717"/>
        <item x="277"/>
        <item x="808"/>
        <item x="732"/>
        <item x="665"/>
        <item x="734"/>
        <item x="73"/>
        <item x="776"/>
        <item x="101"/>
        <item x="750"/>
        <item x="948"/>
        <item x="575"/>
        <item x="554"/>
        <item x="955"/>
        <item x="692"/>
        <item x="413"/>
        <item x="588"/>
        <item x="984"/>
        <item x="338"/>
        <item x="509"/>
        <item x="447"/>
        <item x="133"/>
        <item x="627"/>
        <item x="187"/>
        <item x="636"/>
        <item x="469"/>
        <item x="954"/>
        <item x="429"/>
        <item x="8"/>
        <item x="256"/>
        <item x="672"/>
        <item x="314"/>
        <item x="169"/>
        <item x="589"/>
        <item x="165"/>
        <item x="623"/>
        <item x="218"/>
        <item x="205"/>
        <item x="38"/>
        <item x="845"/>
        <item x="975"/>
        <item x="455"/>
        <item x="741"/>
        <item x="316"/>
        <item x="43"/>
        <item x="402"/>
        <item x="760"/>
        <item x="923"/>
        <item x="883"/>
        <item x="397"/>
        <item x="659"/>
        <item x="248"/>
        <item x="877"/>
        <item x="399"/>
        <item x="193"/>
        <item x="98"/>
        <item x="772"/>
        <item x="375"/>
        <item x="638"/>
        <item x="388"/>
        <item x="767"/>
        <item x="891"/>
        <item x="784"/>
        <item x="56"/>
        <item x="675"/>
        <item x="708"/>
        <item x="532"/>
        <item x="481"/>
        <item x="99"/>
        <item x="507"/>
        <item x="19"/>
        <item x="40"/>
        <item x="916"/>
        <item x="454"/>
        <item x="449"/>
        <item x="770"/>
        <item x="850"/>
        <item x="91"/>
        <item x="259"/>
        <item x="685"/>
        <item x="682"/>
        <item x="490"/>
        <item x="184"/>
        <item x="848"/>
        <item x="76"/>
        <item x="745"/>
        <item x="161"/>
        <item x="102"/>
        <item x="549"/>
        <item x="100"/>
        <item x="688"/>
        <item x="553"/>
        <item x="972"/>
        <item x="232"/>
        <item x="757"/>
        <item x="828"/>
        <item x="727"/>
        <item x="196"/>
        <item x="83"/>
        <item x="216"/>
        <item x="92"/>
        <item x="919"/>
        <item x="895"/>
        <item x="237"/>
        <item x="819"/>
        <item x="631"/>
        <item x="857"/>
        <item x="410"/>
        <item x="836"/>
        <item x="679"/>
        <item x="495"/>
        <item x="526"/>
        <item x="548"/>
        <item x="366"/>
        <item x="50"/>
        <item x="242"/>
        <item x="484"/>
        <item x="591"/>
        <item x="963"/>
        <item x="570"/>
        <item x="805"/>
        <item x="647"/>
        <item x="209"/>
        <item x="419"/>
        <item x="667"/>
        <item x="238"/>
        <item x="670"/>
        <item x="639"/>
        <item x="604"/>
        <item x="794"/>
        <item x="486"/>
        <item x="326"/>
        <item x="370"/>
        <item x="621"/>
        <item x="528"/>
        <item x="680"/>
        <item x="844"/>
        <item x="31"/>
        <item x="572"/>
        <item x="516"/>
        <item x="759"/>
        <item x="775"/>
        <item x="978"/>
        <item x="466"/>
        <item x="793"/>
        <item x="737"/>
        <item x="529"/>
        <item x="473"/>
        <item x="354"/>
        <item x="470"/>
        <item x="434"/>
        <item x="651"/>
        <item x="847"/>
        <item x="686"/>
        <item x="4"/>
        <item x="941"/>
        <item x="525"/>
        <item x="163"/>
        <item x="564"/>
        <item x="893"/>
        <item x="123"/>
        <item x="267"/>
        <item x="751"/>
        <item x="885"/>
        <item x="192"/>
        <item x="342"/>
        <item x="463"/>
        <item x="460"/>
        <item x="317"/>
        <item x="739"/>
        <item x="235"/>
        <item x="632"/>
        <item x="355"/>
        <item x="319"/>
        <item x="85"/>
        <item x="777"/>
        <item x="642"/>
        <item x="318"/>
        <item x="790"/>
        <item x="357"/>
        <item x="207"/>
        <item x="822"/>
        <item x="131"/>
        <item x="118"/>
        <item x="657"/>
        <item x="414"/>
        <item x="257"/>
        <item x="580"/>
        <item x="71"/>
        <item x="62"/>
        <item x="909"/>
        <item x="217"/>
        <item x="854"/>
        <item x="713"/>
        <item x="602"/>
        <item x="263"/>
        <item x="687"/>
        <item x="976"/>
        <item x="582"/>
        <item x="706"/>
        <item x="926"/>
        <item x="803"/>
        <item x="94"/>
        <item x="225"/>
        <item x="925"/>
        <item x="786"/>
        <item x="731"/>
        <item x="173"/>
        <item x="251"/>
        <item x="177"/>
        <item x="973"/>
        <item x="198"/>
        <item x="324"/>
        <item x="377"/>
        <item x="815"/>
        <item x="236"/>
        <item x="789"/>
        <item x="590"/>
        <item x="194"/>
        <item x="39"/>
        <item x="669"/>
        <item x="566"/>
        <item x="382"/>
        <item x="573"/>
        <item x="663"/>
        <item x="705"/>
        <item x="443"/>
        <item x="514"/>
        <item x="917"/>
        <item x="345"/>
        <item x="453"/>
        <item x="61"/>
        <item x="875"/>
        <item x="472"/>
        <item x="959"/>
        <item x="691"/>
        <item x="482"/>
        <item x="868"/>
        <item x="130"/>
        <item x="540"/>
        <item x="791"/>
        <item x="742"/>
        <item x="226"/>
        <item x="11"/>
        <item t="default"/>
      </items>
    </pivotField>
    <pivotField showAll="0"/>
    <pivotField showAll="0">
      <items count="995">
        <item x="168"/>
        <item x="35"/>
        <item x="387"/>
        <item x="310"/>
        <item x="772"/>
        <item x="673"/>
        <item x="2"/>
        <item x="988"/>
        <item x="199"/>
        <item x="521"/>
        <item x="323"/>
        <item x="657"/>
        <item x="170"/>
        <item x="167"/>
        <item x="814"/>
        <item x="221"/>
        <item x="722"/>
        <item x="132"/>
        <item x="430"/>
        <item x="989"/>
        <item x="537"/>
        <item x="381"/>
        <item x="505"/>
        <item x="560"/>
        <item x="260"/>
        <item x="765"/>
        <item x="57"/>
        <item x="58"/>
        <item x="868"/>
        <item x="423"/>
        <item x="659"/>
        <item x="580"/>
        <item x="28"/>
        <item x="624"/>
        <item x="12"/>
        <item x="454"/>
        <item x="904"/>
        <item x="377"/>
        <item x="801"/>
        <item x="681"/>
        <item x="255"/>
        <item x="111"/>
        <item x="565"/>
        <item x="106"/>
        <item x="85"/>
        <item x="670"/>
        <item x="497"/>
        <item x="245"/>
        <item x="921"/>
        <item x="757"/>
        <item x="46"/>
        <item x="923"/>
        <item x="269"/>
        <item x="986"/>
        <item x="42"/>
        <item x="675"/>
        <item x="974"/>
        <item x="985"/>
        <item x="666"/>
        <item x="405"/>
        <item x="151"/>
        <item x="872"/>
        <item x="428"/>
        <item x="899"/>
        <item x="468"/>
        <item x="24"/>
        <item x="182"/>
        <item x="178"/>
        <item x="429"/>
        <item x="433"/>
        <item x="393"/>
        <item x="689"/>
        <item x="48"/>
        <item x="62"/>
        <item x="704"/>
        <item x="635"/>
        <item x="404"/>
        <item x="794"/>
        <item x="556"/>
        <item x="125"/>
        <item x="661"/>
        <item x="593"/>
        <item x="348"/>
        <item x="386"/>
        <item x="691"/>
        <item x="909"/>
        <item x="620"/>
        <item x="802"/>
        <item x="561"/>
        <item x="350"/>
        <item x="152"/>
        <item x="671"/>
        <item x="376"/>
        <item x="672"/>
        <item x="89"/>
        <item x="25"/>
        <item x="623"/>
        <item x="579"/>
        <item x="216"/>
        <item x="714"/>
        <item x="853"/>
        <item x="907"/>
        <item x="215"/>
        <item x="52"/>
        <item x="509"/>
        <item x="807"/>
        <item x="287"/>
        <item x="367"/>
        <item x="545"/>
        <item x="335"/>
        <item x="372"/>
        <item x="633"/>
        <item x="292"/>
        <item x="148"/>
        <item x="397"/>
        <item x="448"/>
        <item x="811"/>
        <item x="95"/>
        <item x="774"/>
        <item x="877"/>
        <item x="917"/>
        <item x="228"/>
        <item x="342"/>
        <item x="820"/>
        <item x="257"/>
        <item x="329"/>
        <item x="581"/>
        <item x="97"/>
        <item x="773"/>
        <item x="313"/>
        <item x="654"/>
        <item x="212"/>
        <item x="980"/>
        <item x="821"/>
        <item x="100"/>
        <item x="651"/>
        <item x="627"/>
        <item x="755"/>
        <item x="849"/>
        <item x="866"/>
        <item x="332"/>
        <item x="945"/>
        <item x="309"/>
        <item x="149"/>
        <item x="528"/>
        <item x="79"/>
        <item x="752"/>
        <item x="493"/>
        <item x="442"/>
        <item x="589"/>
        <item x="143"/>
        <item x="513"/>
        <item x="747"/>
        <item x="164"/>
        <item x="41"/>
        <item x="295"/>
        <item x="779"/>
        <item x="992"/>
        <item x="6"/>
        <item x="206"/>
        <item x="250"/>
        <item x="559"/>
        <item x="864"/>
        <item x="763"/>
        <item x="293"/>
        <item x="70"/>
        <item x="668"/>
        <item x="795"/>
        <item x="534"/>
        <item x="636"/>
        <item x="445"/>
        <item x="745"/>
        <item x="804"/>
        <item x="189"/>
        <item x="21"/>
        <item x="327"/>
        <item x="166"/>
        <item x="555"/>
        <item x="248"/>
        <item x="716"/>
        <item x="551"/>
        <item x="991"/>
        <item x="506"/>
        <item x="950"/>
        <item x="806"/>
        <item x="941"/>
        <item x="218"/>
        <item x="789"/>
        <item x="492"/>
        <item x="476"/>
        <item x="464"/>
        <item x="205"/>
        <item x="983"/>
        <item x="987"/>
        <item x="960"/>
        <item x="613"/>
        <item x="388"/>
        <item x="22"/>
        <item x="459"/>
        <item x="511"/>
        <item x="731"/>
        <item x="922"/>
        <item x="425"/>
        <item x="568"/>
        <item x="546"/>
        <item x="739"/>
        <item x="268"/>
        <item x="375"/>
        <item x="135"/>
        <item x="858"/>
        <item x="305"/>
        <item x="231"/>
        <item x="750"/>
        <item x="609"/>
        <item x="371"/>
        <item x="123"/>
        <item x="384"/>
        <item x="431"/>
        <item x="264"/>
        <item x="883"/>
        <item x="416"/>
        <item x="465"/>
        <item x="706"/>
        <item x="47"/>
        <item x="334"/>
        <item x="353"/>
        <item x="753"/>
        <item x="843"/>
        <item x="708"/>
        <item x="507"/>
        <item x="184"/>
        <item x="102"/>
        <item x="461"/>
        <item x="629"/>
        <item x="798"/>
        <item x="914"/>
        <item x="249"/>
        <item x="136"/>
        <item x="451"/>
        <item x="976"/>
        <item x="730"/>
        <item x="523"/>
        <item x="138"/>
        <item x="931"/>
        <item x="318"/>
        <item x="978"/>
        <item x="834"/>
        <item x="549"/>
        <item x="930"/>
        <item x="564"/>
        <item x="424"/>
        <item x="859"/>
        <item x="488"/>
        <item x="432"/>
        <item x="270"/>
        <item x="515"/>
        <item x="331"/>
        <item x="785"/>
        <item x="99"/>
        <item x="288"/>
        <item x="610"/>
        <item x="951"/>
        <item x="882"/>
        <item x="155"/>
        <item x="68"/>
        <item x="368"/>
        <item x="225"/>
        <item x="893"/>
        <item x="63"/>
        <item x="605"/>
        <item x="213"/>
        <item x="338"/>
        <item x="131"/>
        <item x="487"/>
        <item x="720"/>
        <item x="276"/>
        <item x="738"/>
        <item x="369"/>
        <item x="482"/>
        <item x="571"/>
        <item x="364"/>
        <item x="946"/>
        <item x="315"/>
        <item x="246"/>
        <item x="108"/>
        <item x="196"/>
        <item x="700"/>
        <item x="632"/>
        <item x="977"/>
        <item x="867"/>
        <item x="233"/>
        <item x="139"/>
        <item x="104"/>
        <item x="345"/>
        <item x="823"/>
        <item x="665"/>
        <item x="163"/>
        <item x="935"/>
        <item x="856"/>
        <item x="227"/>
        <item x="198"/>
        <item x="244"/>
        <item x="71"/>
        <item x="441"/>
        <item x="361"/>
        <item x="284"/>
        <item x="194"/>
        <item x="112"/>
        <item x="60"/>
        <item x="841"/>
        <item x="23"/>
        <item x="676"/>
        <item x="662"/>
        <item x="749"/>
        <item x="462"/>
        <item x="91"/>
        <item x="643"/>
        <item x="234"/>
        <item x="956"/>
        <item x="979"/>
        <item x="639"/>
        <item x="729"/>
        <item x="862"/>
        <item x="971"/>
        <item x="734"/>
        <item x="501"/>
        <item x="793"/>
        <item x="713"/>
        <item x="346"/>
        <item x="967"/>
        <item x="133"/>
        <item x="473"/>
        <item x="764"/>
        <item x="192"/>
        <item x="328"/>
        <item x="190"/>
        <item x="114"/>
        <item x="969"/>
        <item x="876"/>
        <item x="400"/>
        <item x="130"/>
        <item x="352"/>
        <item x="733"/>
        <item x="830"/>
        <item x="790"/>
        <item x="39"/>
        <item x="815"/>
        <item x="519"/>
        <item x="232"/>
        <item x="86"/>
        <item x="871"/>
        <item x="362"/>
        <item x="913"/>
        <item x="908"/>
        <item x="301"/>
        <item x="692"/>
        <item x="585"/>
        <item x="326"/>
        <item x="262"/>
        <item x="176"/>
        <item x="407"/>
        <item x="648"/>
        <item x="569"/>
        <item x="81"/>
        <item x="723"/>
        <item x="839"/>
        <item x="905"/>
        <item x="349"/>
        <item x="812"/>
        <item x="784"/>
        <item x="217"/>
        <item x="924"/>
        <item x="512"/>
        <item x="64"/>
        <item x="297"/>
        <item x="792"/>
        <item x="391"/>
        <item x="243"/>
        <item x="15"/>
        <item x="942"/>
        <item x="572"/>
        <item x="775"/>
        <item x="281"/>
        <item x="886"/>
        <item x="847"/>
        <item x="289"/>
        <item x="44"/>
        <item x="736"/>
        <item x="320"/>
        <item x="110"/>
        <item x="754"/>
        <item x="782"/>
        <item x="316"/>
        <item x="663"/>
        <item x="527"/>
        <item x="953"/>
        <item x="938"/>
        <item x="177"/>
        <item x="319"/>
        <item x="698"/>
        <item x="173"/>
        <item x="283"/>
        <item x="857"/>
        <item x="413"/>
        <item x="312"/>
        <item x="667"/>
        <item x="687"/>
        <item x="118"/>
        <item x="343"/>
        <item x="101"/>
        <item x="374"/>
        <item x="389"/>
        <item x="220"/>
        <item x="873"/>
        <item x="574"/>
        <item x="434"/>
        <item x="242"/>
        <item x="854"/>
        <item x="647"/>
        <item x="614"/>
        <item x="472"/>
        <item x="499"/>
        <item x="354"/>
        <item x="187"/>
        <item x="504"/>
        <item x="619"/>
        <item x="10"/>
        <item x="577"/>
        <item x="330"/>
        <item x="175"/>
        <item x="800"/>
        <item x="890"/>
        <item x="494"/>
        <item x="966"/>
        <item x="759"/>
        <item x="660"/>
        <item x="356"/>
        <item x="948"/>
        <item x="69"/>
        <item x="495"/>
        <item x="783"/>
        <item x="535"/>
        <item x="955"/>
        <item x="838"/>
        <item x="604"/>
        <item x="256"/>
        <item x="253"/>
        <item x="845"/>
        <item x="679"/>
        <item x="240"/>
        <item x="142"/>
        <item x="203"/>
        <item x="417"/>
        <item x="621"/>
        <item x="419"/>
        <item x="306"/>
        <item x="502"/>
        <item x="829"/>
        <item x="439"/>
        <item x="936"/>
        <item x="13"/>
        <item x="322"/>
        <item x="56"/>
        <item x="303"/>
        <item x="508"/>
        <item x="902"/>
        <item x="98"/>
        <item x="197"/>
        <item x="96"/>
        <item x="92"/>
        <item x="726"/>
        <item x="300"/>
        <item x="617"/>
        <item x="881"/>
        <item x="892"/>
        <item x="127"/>
        <item x="810"/>
        <item x="875"/>
        <item x="321"/>
        <item x="491"/>
        <item x="529"/>
        <item x="803"/>
        <item x="460"/>
        <item x="601"/>
        <item x="705"/>
        <item x="457"/>
        <item x="0"/>
        <item x="273"/>
        <item x="570"/>
        <item x="308"/>
        <item x="208"/>
        <item x="957"/>
        <item x="154"/>
        <item x="690"/>
        <item x="440"/>
        <item x="895"/>
        <item x="606"/>
        <item x="656"/>
        <item x="458"/>
        <item x="837"/>
        <item x="333"/>
        <item x="210"/>
        <item x="598"/>
        <item x="237"/>
        <item x="418"/>
        <item x="271"/>
        <item x="204"/>
        <item x="274"/>
        <item x="478"/>
        <item x="910"/>
        <item x="117"/>
        <item x="797"/>
        <item x="686"/>
        <item x="54"/>
        <item x="252"/>
        <item x="171"/>
        <item x="43"/>
        <item x="848"/>
        <item x="202"/>
        <item x="1"/>
        <item x="912"/>
        <item x="933"/>
        <item x="596"/>
        <item x="796"/>
        <item x="336"/>
        <item x="479"/>
        <item x="972"/>
        <item x="646"/>
        <item x="422"/>
        <item x="599"/>
        <item x="573"/>
        <item x="251"/>
        <item x="61"/>
        <item x="193"/>
        <item x="516"/>
        <item x="831"/>
        <item x="637"/>
        <item x="475"/>
        <item x="920"/>
        <item x="809"/>
        <item x="446"/>
        <item x="144"/>
        <item x="799"/>
        <item x="209"/>
        <item x="298"/>
        <item x="525"/>
        <item x="489"/>
        <item x="634"/>
        <item x="562"/>
        <item x="970"/>
        <item x="788"/>
        <item x="406"/>
        <item x="952"/>
        <item x="157"/>
        <item x="355"/>
        <item x="724"/>
        <item x="741"/>
        <item x="223"/>
        <item x="618"/>
        <item x="819"/>
        <item x="630"/>
        <item x="453"/>
        <item x="40"/>
        <item x="115"/>
        <item x="17"/>
        <item x="486"/>
        <item x="791"/>
        <item x="557"/>
        <item x="911"/>
        <item x="90"/>
        <item x="481"/>
        <item x="307"/>
        <item x="587"/>
        <item x="968"/>
        <item x="78"/>
        <item x="805"/>
        <item x="351"/>
        <item x="748"/>
        <item x="760"/>
        <item x="607"/>
        <item x="279"/>
        <item x="547"/>
        <item x="18"/>
        <item x="450"/>
        <item x="937"/>
        <item x="145"/>
        <item x="961"/>
        <item x="932"/>
        <item x="32"/>
        <item x="916"/>
        <item x="584"/>
        <item x="45"/>
        <item x="200"/>
        <item x="290"/>
        <item x="188"/>
        <item x="611"/>
        <item x="444"/>
        <item x="828"/>
        <item x="73"/>
        <item x="683"/>
        <item x="530"/>
        <item x="403"/>
        <item x="29"/>
        <item x="156"/>
        <item x="832"/>
        <item x="947"/>
        <item x="939"/>
        <item x="541"/>
        <item x="207"/>
        <item x="566"/>
        <item x="358"/>
        <item x="510"/>
        <item x="408"/>
        <item x="712"/>
        <item x="808"/>
        <item x="484"/>
        <item x="925"/>
        <item x="751"/>
        <item x="137"/>
        <item x="944"/>
        <item x="38"/>
        <item x="897"/>
        <item x="693"/>
        <item x="833"/>
        <item x="452"/>
        <item x="275"/>
        <item x="347"/>
        <item x="963"/>
        <item x="536"/>
        <item x="411"/>
        <item x="612"/>
        <item x="116"/>
        <item x="626"/>
        <item x="357"/>
        <item x="265"/>
        <item x="640"/>
        <item x="160"/>
        <item x="280"/>
        <item x="74"/>
        <item x="889"/>
        <item x="500"/>
        <item x="855"/>
        <item x="385"/>
        <item x="304"/>
        <item x="553"/>
        <item x="360"/>
        <item x="337"/>
        <item x="888"/>
        <item x="926"/>
        <item x="183"/>
        <item x="65"/>
        <item x="339"/>
        <item x="14"/>
        <item x="147"/>
        <item x="282"/>
        <item x="75"/>
        <item x="474"/>
        <item x="906"/>
        <item x="49"/>
        <item x="768"/>
        <item x="467"/>
        <item x="694"/>
        <item x="185"/>
        <item x="879"/>
        <item x="140"/>
        <item x="959"/>
        <item x="762"/>
        <item x="984"/>
        <item x="19"/>
        <item x="230"/>
        <item x="382"/>
        <item x="860"/>
        <item x="965"/>
        <item x="813"/>
        <item x="277"/>
        <item x="900"/>
        <item x="53"/>
        <item x="5"/>
        <item x="655"/>
        <item x="824"/>
        <item x="67"/>
        <item x="622"/>
        <item x="818"/>
        <item x="392"/>
        <item x="398"/>
        <item x="365"/>
        <item x="954"/>
        <item x="550"/>
        <item x="982"/>
        <item x="438"/>
        <item x="699"/>
        <item x="34"/>
        <item x="463"/>
        <item x="595"/>
        <item x="477"/>
        <item x="653"/>
        <item x="533"/>
        <item x="540"/>
        <item x="878"/>
        <item x="162"/>
        <item x="373"/>
        <item x="658"/>
        <item x="456"/>
        <item x="575"/>
        <item x="927"/>
        <item x="186"/>
        <item x="822"/>
        <item x="721"/>
        <item x="340"/>
        <item x="76"/>
        <item x="158"/>
        <item x="341"/>
        <item x="363"/>
        <item x="9"/>
        <item x="94"/>
        <item x="426"/>
        <item x="631"/>
        <item x="740"/>
        <item x="379"/>
        <item x="761"/>
        <item x="767"/>
        <item x="674"/>
        <item x="696"/>
        <item x="874"/>
        <item x="165"/>
        <item x="919"/>
        <item x="8"/>
        <item x="87"/>
        <item x="582"/>
        <item x="394"/>
        <item x="294"/>
        <item x="532"/>
        <item x="608"/>
        <item x="526"/>
        <item x="226"/>
        <item x="781"/>
        <item x="66"/>
        <item x="844"/>
        <item x="466"/>
        <item x="701"/>
        <item x="735"/>
        <item x="401"/>
        <item x="80"/>
        <item x="7"/>
        <item x="93"/>
        <item x="898"/>
        <item x="247"/>
        <item x="591"/>
        <item x="33"/>
        <item x="122"/>
        <item x="141"/>
        <item x="786"/>
        <item x="725"/>
        <item x="685"/>
        <item x="850"/>
        <item x="542"/>
        <item x="124"/>
        <item x="51"/>
        <item x="380"/>
        <item x="776"/>
        <item x="865"/>
        <item x="480"/>
        <item x="395"/>
        <item x="554"/>
        <item x="181"/>
        <item x="105"/>
        <item x="602"/>
        <item x="278"/>
        <item x="894"/>
        <item x="172"/>
        <item x="975"/>
        <item x="586"/>
        <item x="576"/>
        <item x="756"/>
        <item x="746"/>
        <item x="390"/>
        <item x="109"/>
        <item x="134"/>
        <item x="836"/>
        <item x="180"/>
        <item x="563"/>
        <item x="261"/>
        <item x="83"/>
        <item x="272"/>
        <item x="286"/>
        <item x="827"/>
        <item x="314"/>
        <item x="887"/>
        <item x="471"/>
        <item x="929"/>
        <item x="239"/>
        <item x="743"/>
        <item x="891"/>
        <item x="266"/>
        <item x="121"/>
        <item x="414"/>
        <item x="835"/>
        <item x="777"/>
        <item x="55"/>
        <item x="964"/>
        <item x="628"/>
        <item x="638"/>
        <item x="918"/>
        <item x="852"/>
        <item x="120"/>
        <item x="678"/>
        <item x="455"/>
        <item x="958"/>
        <item x="26"/>
        <item x="88"/>
        <item x="129"/>
        <item x="302"/>
        <item x="3"/>
        <item x="990"/>
        <item x="325"/>
        <item x="758"/>
        <item x="962"/>
        <item x="291"/>
        <item x="77"/>
        <item x="201"/>
        <item x="915"/>
        <item x="359"/>
        <item x="884"/>
        <item x="524"/>
        <item x="370"/>
        <item x="436"/>
        <item x="669"/>
        <item x="885"/>
        <item x="787"/>
        <item x="728"/>
        <item x="664"/>
        <item x="59"/>
        <item x="840"/>
        <item x="539"/>
        <item x="469"/>
        <item x="590"/>
        <item x="103"/>
        <item x="842"/>
        <item x="161"/>
        <item x="903"/>
        <item x="27"/>
        <item x="719"/>
        <item x="50"/>
        <item x="652"/>
        <item x="594"/>
        <item x="503"/>
        <item x="241"/>
        <item x="780"/>
        <item x="30"/>
        <item x="410"/>
        <item x="4"/>
        <item x="522"/>
        <item x="299"/>
        <item x="366"/>
        <item x="703"/>
        <item x="126"/>
        <item x="707"/>
        <item x="727"/>
        <item x="267"/>
        <item x="846"/>
        <item x="697"/>
        <item x="993"/>
        <item x="896"/>
        <item x="709"/>
        <item x="949"/>
        <item x="236"/>
        <item x="383"/>
        <item x="597"/>
        <item x="711"/>
        <item x="496"/>
        <item x="169"/>
        <item x="558"/>
        <item x="816"/>
        <item x="737"/>
        <item x="682"/>
        <item x="311"/>
        <item x="191"/>
        <item x="258"/>
        <item x="649"/>
        <item x="642"/>
        <item x="514"/>
        <item x="695"/>
        <item x="285"/>
        <item x="769"/>
        <item x="702"/>
        <item x="219"/>
        <item x="435"/>
        <item x="552"/>
        <item x="688"/>
        <item x="684"/>
        <item x="943"/>
        <item x="677"/>
        <item x="449"/>
        <item x="680"/>
        <item x="518"/>
        <item x="766"/>
        <item x="973"/>
        <item x="179"/>
        <item x="470"/>
        <item x="869"/>
        <item x="880"/>
        <item x="447"/>
        <item x="396"/>
        <item x="72"/>
        <item x="600"/>
        <item x="31"/>
        <item x="296"/>
        <item x="718"/>
        <item x="650"/>
        <item x="146"/>
        <item x="483"/>
        <item x="742"/>
        <item x="254"/>
        <item x="214"/>
        <item x="543"/>
        <item x="645"/>
        <item x="211"/>
        <item x="427"/>
        <item x="592"/>
        <item x="11"/>
        <item x="195"/>
        <item x="399"/>
        <item x="490"/>
        <item x="324"/>
        <item x="817"/>
        <item x="644"/>
        <item x="583"/>
        <item x="37"/>
        <item x="159"/>
        <item x="498"/>
        <item x="421"/>
        <item x="744"/>
        <item x="615"/>
        <item x="603"/>
        <item x="412"/>
        <item x="732"/>
        <item x="317"/>
        <item x="402"/>
        <item x="150"/>
        <item x="940"/>
        <item x="548"/>
        <item x="825"/>
        <item x="485"/>
        <item x="538"/>
        <item x="378"/>
        <item x="771"/>
        <item x="861"/>
        <item x="851"/>
        <item x="229"/>
        <item x="641"/>
        <item x="128"/>
        <item x="901"/>
        <item x="238"/>
        <item x="84"/>
        <item x="119"/>
        <item x="863"/>
        <item x="113"/>
        <item x="520"/>
        <item x="567"/>
        <item x="420"/>
        <item x="710"/>
        <item x="82"/>
        <item x="344"/>
        <item x="235"/>
        <item x="588"/>
        <item x="20"/>
        <item x="174"/>
        <item x="928"/>
        <item x="107"/>
        <item x="409"/>
        <item x="870"/>
        <item x="443"/>
        <item x="715"/>
        <item x="153"/>
        <item x="981"/>
        <item x="778"/>
        <item x="578"/>
        <item x="222"/>
        <item x="531"/>
        <item x="517"/>
        <item x="16"/>
        <item x="263"/>
        <item x="259"/>
        <item x="544"/>
        <item x="826"/>
        <item x="770"/>
        <item x="224"/>
        <item x="625"/>
        <item x="717"/>
        <item x="415"/>
        <item x="36"/>
        <item x="934"/>
        <item x="437"/>
        <item x="616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9">
        <item sd="0" x="2"/>
        <item x="3"/>
        <item sd="0" x="5"/>
        <item sd="0" x="6"/>
        <item sd="0" x="4"/>
        <item sd="0" x="0"/>
        <item sd="0" x="1"/>
        <item m="1" x="7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3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m="1" x="21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55">
        <item x="304"/>
        <item x="269"/>
        <item x="185"/>
        <item x="31"/>
        <item x="217"/>
        <item x="95"/>
        <item x="241"/>
        <item x="342"/>
        <item x="84"/>
        <item x="340"/>
        <item x="165"/>
        <item x="125"/>
        <item x="157"/>
        <item x="136"/>
        <item x="76"/>
        <item x="353"/>
        <item x="302"/>
        <item x="230"/>
        <item x="350"/>
        <item x="40"/>
        <item x="166"/>
        <item x="234"/>
        <item x="315"/>
        <item x="42"/>
        <item x="248"/>
        <item x="266"/>
        <item x="345"/>
        <item x="138"/>
        <item x="67"/>
        <item x="3"/>
        <item x="203"/>
        <item x="123"/>
        <item x="235"/>
        <item x="317"/>
        <item x="254"/>
        <item x="109"/>
        <item x="250"/>
        <item x="154"/>
        <item x="244"/>
        <item x="143"/>
        <item x="148"/>
        <item x="155"/>
        <item x="198"/>
        <item x="101"/>
        <item x="219"/>
        <item x="47"/>
        <item x="310"/>
        <item x="323"/>
        <item x="216"/>
        <item x="46"/>
        <item x="249"/>
        <item x="314"/>
        <item x="251"/>
        <item x="190"/>
        <item x="330"/>
        <item x="282"/>
        <item x="111"/>
        <item x="115"/>
        <item x="343"/>
        <item x="60"/>
        <item x="305"/>
        <item x="201"/>
        <item x="331"/>
        <item x="105"/>
        <item x="10"/>
        <item x="208"/>
        <item x="93"/>
        <item x="104"/>
        <item x="20"/>
        <item x="191"/>
        <item x="329"/>
        <item x="75"/>
        <item x="228"/>
        <item x="271"/>
        <item x="177"/>
        <item x="32"/>
        <item x="339"/>
        <item x="187"/>
        <item x="349"/>
        <item x="229"/>
        <item x="65"/>
        <item x="333"/>
        <item x="145"/>
        <item x="215"/>
        <item x="242"/>
        <item x="258"/>
        <item x="178"/>
        <item x="270"/>
        <item x="152"/>
        <item x="179"/>
        <item x="16"/>
        <item x="142"/>
        <item x="308"/>
        <item x="318"/>
        <item x="124"/>
        <item x="57"/>
        <item x="291"/>
        <item x="169"/>
        <item x="1"/>
        <item x="296"/>
        <item x="320"/>
        <item x="257"/>
        <item x="238"/>
        <item x="335"/>
        <item x="321"/>
        <item x="120"/>
        <item x="295"/>
        <item x="163"/>
        <item x="199"/>
        <item x="102"/>
        <item x="287"/>
        <item x="280"/>
        <item x="21"/>
        <item x="288"/>
        <item x="83"/>
        <item x="336"/>
        <item x="240"/>
        <item x="283"/>
        <item x="297"/>
        <item x="79"/>
        <item x="78"/>
        <item x="87"/>
        <item x="284"/>
        <item x="100"/>
        <item x="28"/>
        <item x="45"/>
        <item x="306"/>
        <item x="49"/>
        <item x="70"/>
        <item x="91"/>
        <item x="252"/>
        <item x="94"/>
        <item x="71"/>
        <item x="52"/>
        <item x="183"/>
        <item x="56"/>
        <item x="151"/>
        <item x="51"/>
        <item x="69"/>
        <item x="43"/>
        <item x="279"/>
        <item x="227"/>
        <item x="18"/>
        <item x="15"/>
        <item x="7"/>
        <item x="348"/>
        <item x="161"/>
        <item x="256"/>
        <item x="26"/>
        <item x="232"/>
        <item x="63"/>
        <item x="184"/>
        <item x="135"/>
        <item x="316"/>
        <item x="160"/>
        <item x="167"/>
        <item x="77"/>
        <item x="110"/>
        <item x="59"/>
        <item x="149"/>
        <item x="12"/>
        <item x="121"/>
        <item x="312"/>
        <item x="276"/>
        <item x="221"/>
        <item x="209"/>
        <item x="114"/>
        <item x="328"/>
        <item x="298"/>
        <item x="294"/>
        <item x="200"/>
        <item x="134"/>
        <item x="214"/>
        <item x="33"/>
        <item x="289"/>
        <item x="90"/>
        <item x="192"/>
        <item x="82"/>
        <item x="5"/>
        <item x="277"/>
        <item x="324"/>
        <item x="180"/>
        <item x="35"/>
        <item x="34"/>
        <item x="231"/>
        <item x="322"/>
        <item x="347"/>
        <item x="29"/>
        <item x="128"/>
        <item x="263"/>
        <item x="17"/>
        <item x="30"/>
        <item x="313"/>
        <item x="150"/>
        <item x="341"/>
        <item x="247"/>
        <item x="246"/>
        <item x="133"/>
        <item x="275"/>
        <item x="281"/>
        <item x="233"/>
        <item x="53"/>
        <item x="175"/>
        <item x="62"/>
        <item x="273"/>
        <item x="116"/>
        <item x="119"/>
        <item x="144"/>
        <item x="24"/>
        <item x="286"/>
        <item x="210"/>
        <item x="2"/>
        <item x="27"/>
        <item x="267"/>
        <item x="188"/>
        <item x="170"/>
        <item x="64"/>
        <item x="86"/>
        <item x="38"/>
        <item x="272"/>
        <item x="73"/>
        <item x="74"/>
        <item x="290"/>
        <item x="41"/>
        <item x="255"/>
        <item x="337"/>
        <item x="153"/>
        <item x="182"/>
        <item x="193"/>
        <item x="332"/>
        <item x="325"/>
        <item x="261"/>
        <item x="68"/>
        <item x="36"/>
        <item x="226"/>
        <item x="172"/>
        <item x="159"/>
        <item x="212"/>
        <item x="211"/>
        <item x="168"/>
        <item x="146"/>
        <item x="260"/>
        <item x="301"/>
        <item x="173"/>
        <item x="156"/>
        <item x="113"/>
        <item x="85"/>
        <item x="195"/>
        <item x="206"/>
        <item x="55"/>
        <item x="129"/>
        <item x="319"/>
        <item x="309"/>
        <item x="39"/>
        <item x="268"/>
        <item x="23"/>
        <item x="236"/>
        <item x="292"/>
        <item x="264"/>
        <item x="99"/>
        <item x="25"/>
        <item x="141"/>
        <item x="218"/>
        <item x="4"/>
        <item x="92"/>
        <item x="205"/>
        <item x="54"/>
        <item x="262"/>
        <item x="140"/>
        <item x="237"/>
        <item x="186"/>
        <item x="72"/>
        <item x="162"/>
        <item x="8"/>
        <item x="126"/>
        <item x="207"/>
        <item x="103"/>
        <item x="245"/>
        <item x="176"/>
        <item x="300"/>
        <item x="98"/>
        <item x="171"/>
        <item x="224"/>
        <item x="344"/>
        <item x="274"/>
        <item x="58"/>
        <item x="285"/>
        <item x="278"/>
        <item x="202"/>
        <item x="137"/>
        <item x="299"/>
        <item x="307"/>
        <item x="222"/>
        <item x="97"/>
        <item x="259"/>
        <item x="117"/>
        <item x="130"/>
        <item x="118"/>
        <item x="213"/>
        <item x="223"/>
        <item x="6"/>
        <item x="243"/>
        <item x="106"/>
        <item x="131"/>
        <item x="352"/>
        <item x="61"/>
        <item x="311"/>
        <item x="48"/>
        <item x="80"/>
        <item x="11"/>
        <item x="327"/>
        <item x="338"/>
        <item x="204"/>
        <item x="89"/>
        <item x="14"/>
        <item x="181"/>
        <item x="13"/>
        <item x="293"/>
        <item x="174"/>
        <item x="22"/>
        <item x="253"/>
        <item x="147"/>
        <item x="303"/>
        <item x="127"/>
        <item x="9"/>
        <item x="81"/>
        <item x="239"/>
        <item x="112"/>
        <item x="107"/>
        <item x="50"/>
        <item x="19"/>
        <item x="164"/>
        <item x="88"/>
        <item x="139"/>
        <item x="351"/>
        <item x="326"/>
        <item x="44"/>
        <item x="66"/>
        <item x="122"/>
        <item x="37"/>
        <item x="225"/>
        <item x="265"/>
        <item x="197"/>
        <item x="334"/>
        <item x="132"/>
        <item x="189"/>
        <item x="96"/>
        <item x="158"/>
        <item x="196"/>
        <item x="108"/>
        <item x="194"/>
        <item x="220"/>
        <item x="346"/>
        <item x="0"/>
        <item t="default"/>
      </items>
    </pivotField>
    <pivotField numFmtId="164" showAll="0"/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Row" showAll="0">
      <items count="8">
        <item x="2"/>
        <item x="0"/>
        <item x="4"/>
        <item x="5"/>
        <item x="6"/>
        <item x="1"/>
        <item x="3"/>
        <item t="default"/>
      </items>
    </pivotField>
    <pivotField axis="axisPage" showAll="0">
      <items count="1000">
        <item x="83"/>
        <item x="102"/>
        <item x="904"/>
        <item x="794"/>
        <item x="340"/>
        <item x="846"/>
        <item x="933"/>
        <item x="399"/>
        <item x="130"/>
        <item x="320"/>
        <item x="298"/>
        <item x="92"/>
        <item x="926"/>
        <item x="800"/>
        <item x="678"/>
        <item x="352"/>
        <item x="64"/>
        <item x="383"/>
        <item x="972"/>
        <item x="126"/>
        <item x="564"/>
        <item x="275"/>
        <item x="63"/>
        <item x="236"/>
        <item x="780"/>
        <item x="893"/>
        <item x="586"/>
        <item x="324"/>
        <item x="971"/>
        <item x="502"/>
        <item x="481"/>
        <item x="90"/>
        <item x="758"/>
        <item x="319"/>
        <item x="871"/>
        <item x="347"/>
        <item x="821"/>
        <item x="270"/>
        <item x="806"/>
        <item x="769"/>
        <item x="562"/>
        <item x="788"/>
        <item x="152"/>
        <item x="998"/>
        <item x="739"/>
        <item x="799"/>
        <item x="111"/>
        <item x="867"/>
        <item x="882"/>
        <item x="569"/>
        <item x="328"/>
        <item x="409"/>
        <item x="673"/>
        <item x="705"/>
        <item x="496"/>
        <item x="494"/>
        <item x="144"/>
        <item x="335"/>
        <item x="790"/>
        <item x="621"/>
        <item x="362"/>
        <item x="10"/>
        <item x="158"/>
        <item x="879"/>
        <item x="519"/>
        <item x="859"/>
        <item x="384"/>
        <item x="124"/>
        <item x="477"/>
        <item x="746"/>
        <item x="863"/>
        <item x="118"/>
        <item x="992"/>
        <item x="943"/>
        <item x="429"/>
        <item x="96"/>
        <item x="159"/>
        <item x="584"/>
        <item x="43"/>
        <item x="991"/>
        <item x="380"/>
        <item x="632"/>
        <item x="462"/>
        <item x="839"/>
        <item x="648"/>
        <item x="948"/>
        <item x="930"/>
        <item x="556"/>
        <item x="161"/>
        <item x="724"/>
        <item x="596"/>
        <item x="786"/>
        <item x="246"/>
        <item x="731"/>
        <item x="652"/>
        <item x="248"/>
        <item x="189"/>
        <item x="763"/>
        <item x="860"/>
        <item x="402"/>
        <item x="377"/>
        <item x="772"/>
        <item x="363"/>
        <item x="273"/>
        <item x="414"/>
        <item x="831"/>
        <item x="785"/>
        <item x="653"/>
        <item x="576"/>
        <item x="470"/>
        <item x="379"/>
        <item x="736"/>
        <item x="472"/>
        <item x="791"/>
        <item x="185"/>
        <item x="220"/>
        <item x="541"/>
        <item x="729"/>
        <item x="452"/>
        <item x="609"/>
        <item x="75"/>
        <item x="497"/>
        <item x="86"/>
        <item x="28"/>
        <item x="120"/>
        <item x="242"/>
        <item x="797"/>
        <item x="808"/>
        <item x="532"/>
        <item x="101"/>
        <item x="239"/>
        <item x="146"/>
        <item x="552"/>
        <item x="795"/>
        <item x="406"/>
        <item x="305"/>
        <item x="965"/>
        <item x="777"/>
        <item x="123"/>
        <item x="50"/>
        <item x="488"/>
        <item x="522"/>
        <item x="182"/>
        <item x="58"/>
        <item x="376"/>
        <item x="107"/>
        <item x="907"/>
        <item x="261"/>
        <item x="71"/>
        <item x="82"/>
        <item x="336"/>
        <item x="658"/>
        <item x="917"/>
        <item x="235"/>
        <item x="835"/>
        <item x="554"/>
        <item x="98"/>
        <item x="62"/>
        <item x="308"/>
        <item x="910"/>
        <item x="412"/>
        <item x="190"/>
        <item x="24"/>
        <item x="608"/>
        <item x="22"/>
        <item x="25"/>
        <item x="815"/>
        <item x="233"/>
        <item x="875"/>
        <item x="135"/>
        <item x="490"/>
        <item x="283"/>
        <item x="51"/>
        <item x="894"/>
        <item x="825"/>
        <item x="359"/>
        <item x="386"/>
        <item x="807"/>
        <item x="422"/>
        <item x="614"/>
        <item x="932"/>
        <item x="669"/>
        <item x="544"/>
        <item x="163"/>
        <item x="700"/>
        <item x="427"/>
        <item x="627"/>
        <item x="435"/>
        <item x="366"/>
        <item x="436"/>
        <item x="811"/>
        <item x="76"/>
        <item x="131"/>
        <item x="812"/>
        <item x="824"/>
        <item x="929"/>
        <item x="606"/>
        <item x="874"/>
        <item x="484"/>
        <item x="818"/>
        <item x="350"/>
        <item x="299"/>
        <item x="817"/>
        <item x="253"/>
        <item x="977"/>
        <item x="762"/>
        <item x="704"/>
        <item x="463"/>
        <item x="744"/>
        <item x="294"/>
        <item x="517"/>
        <item x="360"/>
        <item x="696"/>
        <item x="674"/>
        <item x="314"/>
        <item x="518"/>
        <item x="710"/>
        <item x="623"/>
        <item x="689"/>
        <item x="536"/>
        <item x="4"/>
        <item x="108"/>
        <item x="526"/>
        <item x="925"/>
        <item x="9"/>
        <item x="79"/>
        <item x="545"/>
        <item x="995"/>
        <item x="302"/>
        <item x="771"/>
        <item x="741"/>
        <item x="688"/>
        <item x="291"/>
        <item x="34"/>
        <item x="404"/>
        <item x="660"/>
        <item x="717"/>
        <item x="207"/>
        <item x="476"/>
        <item x="909"/>
        <item x="214"/>
        <item x="865"/>
        <item x="263"/>
        <item x="869"/>
        <item x="27"/>
        <item x="41"/>
        <item x="550"/>
        <item x="613"/>
        <item x="683"/>
        <item x="890"/>
        <item x="549"/>
        <item x="641"/>
        <item x="94"/>
        <item x="579"/>
        <item x="634"/>
        <item x="565"/>
        <item x="208"/>
        <item x="770"/>
        <item x="288"/>
        <item x="682"/>
        <item x="213"/>
        <item x="272"/>
        <item x="453"/>
        <item x="38"/>
        <item x="722"/>
        <item x="285"/>
        <item x="745"/>
        <item x="947"/>
        <item x="474"/>
        <item x="202"/>
        <item x="829"/>
        <item x="960"/>
        <item x="509"/>
        <item x="313"/>
        <item x="531"/>
        <item x="7"/>
        <item x="33"/>
        <item x="229"/>
        <item x="455"/>
        <item x="686"/>
        <item x="61"/>
        <item x="199"/>
        <item x="618"/>
        <item x="603"/>
        <item x="804"/>
        <item x="901"/>
        <item x="193"/>
        <item x="231"/>
        <item x="183"/>
        <item x="282"/>
        <item x="570"/>
        <item x="514"/>
        <item x="587"/>
        <item x="410"/>
        <item x="401"/>
        <item x="589"/>
        <item x="520"/>
        <item x="444"/>
        <item x="823"/>
        <item x="205"/>
        <item x="747"/>
        <item x="775"/>
        <item x="503"/>
        <item x="157"/>
        <item x="733"/>
        <item x="936"/>
        <item x="26"/>
        <item x="277"/>
        <item x="268"/>
        <item x="666"/>
        <item x="442"/>
        <item x="631"/>
        <item x="334"/>
        <item x="116"/>
        <item x="610"/>
        <item x="346"/>
        <item x="316"/>
        <item x="876"/>
        <item x="18"/>
        <item x="752"/>
        <item x="864"/>
        <item x="679"/>
        <item x="210"/>
        <item x="973"/>
        <item x="458"/>
        <item x="441"/>
        <item x="956"/>
        <item x="440"/>
        <item x="419"/>
        <item x="611"/>
        <item x="866"/>
        <item x="37"/>
        <item x="289"/>
        <item x="962"/>
        <item x="327"/>
        <item x="638"/>
        <item x="287"/>
        <item x="513"/>
        <item x="701"/>
        <item x="637"/>
        <item x="97"/>
        <item x="728"/>
        <item x="179"/>
        <item x="443"/>
        <item x="249"/>
        <item x="702"/>
        <item x="177"/>
        <item x="646"/>
        <item x="201"/>
        <item x="338"/>
        <item x="368"/>
        <item x="103"/>
        <item x="276"/>
        <item x="598"/>
        <item x="571"/>
        <item x="394"/>
        <item x="670"/>
        <item x="465"/>
        <item x="523"/>
        <item x="44"/>
        <item x="749"/>
        <item x="447"/>
        <item x="957"/>
        <item x="766"/>
        <item x="551"/>
        <item x="155"/>
        <item x="329"/>
        <item x="841"/>
        <item x="914"/>
        <item x="57"/>
        <item x="456"/>
        <item x="339"/>
        <item x="939"/>
        <item x="798"/>
        <item x="801"/>
        <item x="516"/>
        <item x="358"/>
        <item x="725"/>
        <item x="330"/>
        <item x="810"/>
        <item x="691"/>
        <item x="819"/>
        <item x="898"/>
        <item x="983"/>
        <item x="911"/>
        <item x="433"/>
        <item x="664"/>
        <item x="921"/>
        <item x="174"/>
        <item x="809"/>
        <item x="114"/>
        <item x="776"/>
        <item x="17"/>
        <item x="511"/>
        <item x="647"/>
        <item x="482"/>
        <item x="113"/>
        <item x="833"/>
        <item x="372"/>
        <item x="117"/>
        <item x="413"/>
        <item x="322"/>
        <item x="495"/>
        <item x="853"/>
        <item x="438"/>
        <item x="987"/>
        <item x="698"/>
        <item x="581"/>
        <item x="693"/>
        <item x="309"/>
        <item x="145"/>
        <item x="29"/>
        <item x="234"/>
        <item x="730"/>
        <item x="626"/>
        <item x="980"/>
        <item x="616"/>
        <item x="989"/>
        <item x="73"/>
        <item x="856"/>
        <item x="726"/>
        <item x="105"/>
        <item x="834"/>
        <item x="878"/>
        <item x="656"/>
        <item x="781"/>
        <item x="39"/>
        <item x="55"/>
        <item x="8"/>
        <item x="706"/>
        <item x="954"/>
        <item x="803"/>
        <item x="166"/>
        <item x="357"/>
        <item x="714"/>
        <item x="630"/>
        <item x="976"/>
        <item x="195"/>
        <item x="687"/>
        <item x="223"/>
        <item x="196"/>
        <item x="133"/>
        <item x="407"/>
        <item x="560"/>
        <item x="35"/>
        <item x="250"/>
        <item x="169"/>
        <item x="892"/>
        <item x="672"/>
        <item x="599"/>
        <item x="721"/>
        <item x="753"/>
        <item x="415"/>
        <item x="74"/>
        <item x="740"/>
        <item x="132"/>
        <item x="667"/>
        <item x="121"/>
        <item x="16"/>
        <item x="592"/>
        <item x="49"/>
        <item x="81"/>
        <item x="640"/>
        <item x="400"/>
        <item x="279"/>
        <item x="572"/>
        <item x="820"/>
        <item x="512"/>
        <item x="109"/>
        <item x="304"/>
        <item x="732"/>
        <item x="254"/>
        <item x="615"/>
        <item x="91"/>
        <item x="837"/>
        <item x="761"/>
        <item x="230"/>
        <item x="296"/>
        <item x="918"/>
        <item x="990"/>
        <item x="851"/>
        <item x="832"/>
        <item x="778"/>
        <item x="711"/>
        <item x="553"/>
        <item x="20"/>
        <item x="897"/>
        <item x="56"/>
        <item x="148"/>
        <item x="186"/>
        <item x="964"/>
        <item x="266"/>
        <item x="805"/>
        <item x="845"/>
        <item x="969"/>
        <item x="364"/>
        <item x="219"/>
        <item x="764"/>
        <item x="578"/>
        <item x="240"/>
        <item x="649"/>
        <item x="140"/>
        <item x="87"/>
        <item x="854"/>
        <item x="439"/>
        <item x="858"/>
        <item x="417"/>
        <item x="937"/>
        <item x="153"/>
        <item x="112"/>
        <item x="895"/>
        <item x="345"/>
        <item x="227"/>
        <item x="382"/>
        <item x="915"/>
        <item x="558"/>
        <item x="986"/>
        <item x="23"/>
        <item x="920"/>
        <item x="40"/>
        <item x="685"/>
        <item x="460"/>
        <item x="873"/>
        <item x="755"/>
        <item x="349"/>
        <item x="267"/>
        <item x="707"/>
        <item x="343"/>
        <item x="703"/>
        <item x="67"/>
        <item x="600"/>
        <item x="881"/>
        <item x="194"/>
        <item x="260"/>
        <item x="767"/>
        <item x="53"/>
        <item x="225"/>
        <item x="883"/>
        <item x="6"/>
        <item x="480"/>
        <item x="255"/>
        <item x="469"/>
        <item x="850"/>
        <item x="525"/>
        <item x="642"/>
        <item x="593"/>
        <item x="286"/>
        <item x="173"/>
        <item x="315"/>
        <item x="325"/>
        <item x="317"/>
        <item x="843"/>
        <item x="11"/>
        <item x="588"/>
        <item x="203"/>
        <item x="461"/>
        <item x="48"/>
        <item x="176"/>
        <item x="405"/>
        <item x="448"/>
        <item x="994"/>
        <item x="944"/>
        <item x="247"/>
        <item x="927"/>
        <item x="31"/>
        <item x="215"/>
        <item x="712"/>
        <item x="421"/>
        <item x="997"/>
        <item x="896"/>
        <item x="200"/>
        <item x="650"/>
        <item x="192"/>
        <item x="665"/>
        <item x="323"/>
        <item x="178"/>
        <item x="546"/>
        <item x="318"/>
        <item x="826"/>
        <item x="663"/>
        <item x="257"/>
        <item x="543"/>
        <item x="540"/>
        <item x="644"/>
        <item x="321"/>
        <item x="143"/>
        <item x="361"/>
        <item x="505"/>
        <item x="737"/>
        <item x="312"/>
        <item x="951"/>
        <item x="243"/>
        <item x="156"/>
        <item x="585"/>
        <item x="709"/>
        <item x="396"/>
        <item x="716"/>
        <item x="139"/>
        <item x="398"/>
        <item x="492"/>
        <item x="238"/>
        <item x="563"/>
        <item x="880"/>
        <item x="486"/>
        <item x="274"/>
        <item x="381"/>
        <item x="643"/>
        <item x="491"/>
        <item x="510"/>
        <item x="425"/>
        <item x="264"/>
        <item x="619"/>
        <item x="467"/>
        <item x="573"/>
        <item x="993"/>
        <item x="295"/>
        <item x="78"/>
        <item x="945"/>
        <item x="95"/>
        <item x="668"/>
        <item x="750"/>
        <item x="13"/>
        <item x="424"/>
        <item x="590"/>
        <item x="906"/>
        <item x="290"/>
        <item x="620"/>
        <item x="1"/>
        <item x="59"/>
        <item x="47"/>
        <item x="221"/>
        <item x="919"/>
        <item x="12"/>
        <item x="378"/>
        <item x="42"/>
        <item x="760"/>
        <item x="36"/>
        <item x="524"/>
        <item x="628"/>
        <item x="387"/>
        <item x="953"/>
        <item x="963"/>
        <item x="708"/>
        <item x="420"/>
        <item x="306"/>
        <item x="54"/>
        <item x="912"/>
        <item x="872"/>
        <item x="373"/>
        <item x="393"/>
        <item x="796"/>
        <item x="487"/>
        <item x="70"/>
        <item x="337"/>
        <item x="654"/>
        <item x="423"/>
        <item x="748"/>
        <item x="14"/>
        <item x="582"/>
        <item x="597"/>
        <item x="353"/>
        <item x="916"/>
        <item x="418"/>
        <item x="940"/>
        <item x="395"/>
        <item x="836"/>
        <item x="344"/>
        <item x="191"/>
        <item x="3"/>
        <item x="408"/>
        <item x="566"/>
        <item x="938"/>
        <item x="310"/>
        <item x="855"/>
        <item x="527"/>
        <item x="982"/>
        <item x="501"/>
        <item x="431"/>
        <item x="591"/>
        <item x="950"/>
        <item x="80"/>
        <item x="974"/>
        <item x="727"/>
        <item x="149"/>
        <item x="2"/>
        <item x="369"/>
        <item x="515"/>
        <item x="293"/>
        <item x="885"/>
        <item x="768"/>
        <item x="265"/>
        <item x="574"/>
        <item x="499"/>
        <item x="838"/>
        <item x="888"/>
        <item x="528"/>
        <item x="751"/>
        <item x="88"/>
        <item x="547"/>
        <item x="110"/>
        <item x="391"/>
        <item x="813"/>
        <item x="861"/>
        <item x="426"/>
        <item x="719"/>
        <item x="695"/>
        <item x="445"/>
        <item x="226"/>
        <item x="232"/>
        <item x="787"/>
        <item x="828"/>
        <item x="958"/>
        <item x="754"/>
        <item x="106"/>
        <item x="278"/>
        <item x="595"/>
        <item x="60"/>
        <item x="348"/>
        <item x="52"/>
        <item x="45"/>
        <item x="84"/>
        <item x="567"/>
        <item x="913"/>
        <item x="451"/>
        <item x="852"/>
        <item x="978"/>
        <item x="981"/>
        <item x="160"/>
        <item x="331"/>
        <item x="170"/>
        <item x="934"/>
        <item x="887"/>
        <item x="122"/>
        <item x="942"/>
        <item x="979"/>
        <item x="392"/>
        <item x="735"/>
        <item x="483"/>
        <item x="374"/>
        <item x="151"/>
        <item x="941"/>
        <item x="639"/>
        <item x="580"/>
        <item x="397"/>
        <item x="622"/>
        <item x="996"/>
        <item x="884"/>
        <item x="206"/>
        <item x="471"/>
        <item x="164"/>
        <item x="281"/>
        <item x="475"/>
        <item x="692"/>
        <item x="224"/>
        <item x="604"/>
        <item x="136"/>
        <item x="99"/>
        <item x="68"/>
        <item x="699"/>
        <item x="125"/>
        <item x="779"/>
        <item x="292"/>
        <item x="128"/>
        <item x="100"/>
        <item x="583"/>
        <item x="388"/>
        <item x="167"/>
        <item x="891"/>
        <item x="311"/>
        <item x="713"/>
        <item x="602"/>
        <item x="757"/>
        <item x="188"/>
        <item x="535"/>
        <item x="259"/>
        <item x="903"/>
        <item x="955"/>
        <item x="256"/>
        <item x="478"/>
        <item x="77"/>
        <item x="966"/>
        <item x="902"/>
        <item x="468"/>
        <item x="72"/>
        <item x="789"/>
        <item x="949"/>
        <item x="928"/>
        <item x="575"/>
        <item x="961"/>
        <item x="671"/>
        <item x="69"/>
        <item x="975"/>
        <item x="434"/>
        <item x="466"/>
        <item x="307"/>
        <item x="297"/>
        <item x="138"/>
        <item x="529"/>
        <item x="104"/>
        <item x="332"/>
        <item x="633"/>
        <item x="548"/>
        <item x="19"/>
        <item x="115"/>
        <item x="877"/>
        <item x="154"/>
        <item x="968"/>
        <item x="303"/>
        <item x="946"/>
        <item x="341"/>
        <item x="537"/>
        <item x="782"/>
        <item x="617"/>
        <item x="645"/>
        <item x="662"/>
        <item x="970"/>
        <item x="697"/>
        <item x="301"/>
        <item x="985"/>
        <item x="237"/>
        <item x="489"/>
        <item x="636"/>
        <item x="32"/>
        <item x="802"/>
        <item x="119"/>
        <item x="241"/>
        <item x="89"/>
        <item x="738"/>
        <item x="900"/>
        <item x="594"/>
        <item x="280"/>
        <item x="504"/>
        <item x="870"/>
        <item x="774"/>
        <item x="816"/>
        <item x="300"/>
        <item x="899"/>
        <item x="66"/>
        <item x="355"/>
        <item x="657"/>
        <item x="142"/>
        <item x="184"/>
        <item x="150"/>
        <item x="605"/>
        <item x="783"/>
        <item x="530"/>
        <item x="209"/>
        <item x="743"/>
        <item x="924"/>
        <item x="684"/>
        <item x="222"/>
        <item x="629"/>
        <item x="134"/>
        <item x="171"/>
        <item x="734"/>
        <item x="601"/>
        <item x="198"/>
        <item x="694"/>
        <item x="168"/>
        <item x="390"/>
        <item x="715"/>
        <item x="793"/>
        <item x="217"/>
        <item x="889"/>
        <item x="262"/>
        <item x="967"/>
        <item x="252"/>
        <item x="765"/>
        <item x="862"/>
        <item x="354"/>
        <item x="922"/>
        <item x="508"/>
        <item x="365"/>
        <item x="720"/>
        <item x="681"/>
        <item x="449"/>
        <item x="533"/>
        <item x="385"/>
        <item x="46"/>
        <item x="773"/>
        <item x="326"/>
        <item x="718"/>
        <item x="464"/>
        <item x="351"/>
        <item x="690"/>
        <item x="822"/>
        <item x="624"/>
        <item x="403"/>
        <item x="21"/>
        <item x="180"/>
        <item x="5"/>
        <item x="127"/>
        <item x="542"/>
        <item x="165"/>
        <item x="848"/>
        <item x="857"/>
        <item x="568"/>
        <item x="245"/>
        <item x="129"/>
        <item x="30"/>
        <item x="935"/>
        <item x="498"/>
        <item x="370"/>
        <item x="457"/>
        <item x="561"/>
        <item x="493"/>
        <item x="830"/>
        <item x="141"/>
        <item x="742"/>
        <item x="375"/>
        <item x="521"/>
        <item x="212"/>
        <item x="204"/>
        <item x="840"/>
        <item x="172"/>
        <item x="342"/>
        <item x="485"/>
        <item x="65"/>
        <item x="842"/>
        <item x="651"/>
        <item x="847"/>
        <item x="507"/>
        <item x="675"/>
        <item x="271"/>
        <item x="759"/>
        <item x="371"/>
        <item x="905"/>
        <item x="284"/>
        <item x="389"/>
        <item x="506"/>
        <item x="162"/>
        <item x="923"/>
        <item x="952"/>
        <item x="479"/>
        <item x="931"/>
        <item x="137"/>
        <item x="428"/>
        <item x="446"/>
        <item x="269"/>
        <item x="680"/>
        <item x="356"/>
        <item x="333"/>
        <item x="792"/>
        <item x="677"/>
        <item x="984"/>
        <item x="147"/>
        <item x="450"/>
        <item x="85"/>
        <item x="908"/>
        <item x="723"/>
        <item x="655"/>
        <item x="635"/>
        <item x="15"/>
        <item x="849"/>
        <item x="197"/>
        <item x="557"/>
        <item x="228"/>
        <item x="534"/>
        <item x="959"/>
        <item x="559"/>
        <item x="539"/>
        <item x="676"/>
        <item x="459"/>
        <item x="988"/>
        <item x="473"/>
        <item x="175"/>
        <item x="868"/>
        <item x="430"/>
        <item x="827"/>
        <item x="432"/>
        <item x="187"/>
        <item x="659"/>
        <item x="93"/>
        <item x="216"/>
        <item x="251"/>
        <item x="181"/>
        <item x="244"/>
        <item x="625"/>
        <item x="607"/>
        <item x="211"/>
        <item x="538"/>
        <item x="555"/>
        <item x="218"/>
        <item x="661"/>
        <item x="756"/>
        <item x="500"/>
        <item x="437"/>
        <item x="784"/>
        <item x="454"/>
        <item x="814"/>
        <item x="411"/>
        <item x="416"/>
        <item x="612"/>
        <item x="577"/>
        <item x="367"/>
        <item x="0"/>
        <item x="844"/>
        <item x="258"/>
        <item x="886"/>
        <item t="default"/>
      </items>
    </pivotField>
    <pivotField showAll="0">
      <items count="25">
        <item x="5"/>
        <item x="17"/>
        <item x="23"/>
        <item x="19"/>
        <item x="14"/>
        <item x="0"/>
        <item x="13"/>
        <item x="2"/>
        <item x="1"/>
        <item x="10"/>
        <item x="15"/>
        <item x="20"/>
        <item x="11"/>
        <item x="21"/>
        <item x="8"/>
        <item x="12"/>
        <item x="16"/>
        <item x="18"/>
        <item x="22"/>
        <item x="4"/>
        <item x="3"/>
        <item x="7"/>
        <item x="9"/>
        <item x="6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>
      <items count="762">
        <item x="632"/>
        <item x="600"/>
        <item x="457"/>
        <item x="430"/>
        <item x="54"/>
        <item x="191"/>
        <item x="51"/>
        <item x="459"/>
        <item x="333"/>
        <item x="540"/>
        <item x="98"/>
        <item x="249"/>
        <item x="307"/>
        <item x="227"/>
        <item x="274"/>
        <item x="750"/>
        <item x="654"/>
        <item x="332"/>
        <item x="130"/>
        <item x="638"/>
        <item x="393"/>
        <item x="452"/>
        <item x="238"/>
        <item x="721"/>
        <item x="556"/>
        <item x="121"/>
        <item x="658"/>
        <item x="567"/>
        <item x="401"/>
        <item x="49"/>
        <item x="100"/>
        <item x="518"/>
        <item x="329"/>
        <item x="664"/>
        <item x="509"/>
        <item x="480"/>
        <item x="433"/>
        <item x="84"/>
        <item x="259"/>
        <item x="741"/>
        <item x="525"/>
        <item x="171"/>
        <item x="374"/>
        <item x="550"/>
        <item x="1"/>
        <item x="508"/>
        <item x="483"/>
        <item x="135"/>
        <item x="189"/>
        <item x="356"/>
        <item x="188"/>
        <item x="35"/>
        <item x="182"/>
        <item x="93"/>
        <item x="541"/>
        <item x="179"/>
        <item x="331"/>
        <item x="671"/>
        <item x="94"/>
        <item x="306"/>
        <item x="278"/>
        <item x="676"/>
        <item x="25"/>
        <item x="192"/>
        <item x="595"/>
        <item x="368"/>
        <item x="88"/>
        <item x="194"/>
        <item x="160"/>
        <item x="702"/>
        <item x="507"/>
        <item x="534"/>
        <item x="166"/>
        <item x="201"/>
        <item x="153"/>
        <item x="152"/>
        <item x="313"/>
        <item x="225"/>
        <item x="264"/>
        <item x="757"/>
        <item x="79"/>
        <item x="4"/>
        <item x="445"/>
        <item x="77"/>
        <item x="161"/>
        <item x="260"/>
        <item x="243"/>
        <item x="91"/>
        <item x="185"/>
        <item x="108"/>
        <item x="597"/>
        <item x="593"/>
        <item x="205"/>
        <item x="48"/>
        <item x="13"/>
        <item x="45"/>
        <item x="542"/>
        <item x="394"/>
        <item x="232"/>
        <item x="78"/>
        <item x="739"/>
        <item x="690"/>
        <item x="370"/>
        <item x="617"/>
        <item x="74"/>
        <item x="136"/>
        <item x="476"/>
        <item x="522"/>
        <item x="266"/>
        <item x="200"/>
        <item x="701"/>
        <item x="666"/>
        <item x="24"/>
        <item x="610"/>
        <item x="469"/>
        <item x="178"/>
        <item x="195"/>
        <item x="366"/>
        <item x="484"/>
        <item x="341"/>
        <item x="8"/>
        <item x="208"/>
        <item x="641"/>
        <item x="97"/>
        <item x="614"/>
        <item x="30"/>
        <item x="68"/>
        <item x="647"/>
        <item x="285"/>
        <item x="631"/>
        <item x="292"/>
        <item x="491"/>
        <item x="565"/>
        <item x="569"/>
        <item x="720"/>
        <item x="296"/>
        <item x="566"/>
        <item x="217"/>
        <item x="64"/>
        <item x="696"/>
        <item x="754"/>
        <item x="202"/>
        <item x="2"/>
        <item x="649"/>
        <item x="286"/>
        <item x="581"/>
        <item x="448"/>
        <item x="639"/>
        <item x="319"/>
        <item x="119"/>
        <item x="494"/>
        <item x="756"/>
        <item x="280"/>
        <item x="694"/>
        <item x="598"/>
        <item x="149"/>
        <item x="495"/>
        <item x="253"/>
        <item x="630"/>
        <item x="21"/>
        <item x="414"/>
        <item x="619"/>
        <item x="643"/>
        <item x="222"/>
        <item x="316"/>
        <item x="545"/>
        <item x="434"/>
        <item x="673"/>
        <item x="38"/>
        <item x="186"/>
        <item x="571"/>
        <item x="120"/>
        <item x="705"/>
        <item x="527"/>
        <item x="530"/>
        <item x="612"/>
        <item x="686"/>
        <item x="220"/>
        <item x="246"/>
        <item x="543"/>
        <item x="582"/>
        <item x="560"/>
        <item x="481"/>
        <item x="390"/>
        <item x="118"/>
        <item x="688"/>
        <item x="9"/>
        <item x="478"/>
        <item x="710"/>
        <item x="330"/>
        <item x="449"/>
        <item x="439"/>
        <item x="70"/>
        <item x="367"/>
        <item x="472"/>
        <item x="734"/>
        <item x="558"/>
        <item x="517"/>
        <item x="338"/>
        <item x="297"/>
        <item x="345"/>
        <item x="717"/>
        <item x="487"/>
        <item x="58"/>
        <item x="645"/>
        <item x="576"/>
        <item x="304"/>
        <item x="123"/>
        <item x="362"/>
        <item x="164"/>
        <item x="625"/>
        <item x="659"/>
        <item x="85"/>
        <item x="738"/>
        <item x="528"/>
        <item x="343"/>
        <item x="642"/>
        <item x="138"/>
        <item x="283"/>
        <item x="14"/>
        <item x="258"/>
        <item x="127"/>
        <item x="730"/>
        <item x="755"/>
        <item x="529"/>
        <item x="20"/>
        <item x="141"/>
        <item x="498"/>
        <item x="683"/>
        <item x="213"/>
        <item x="109"/>
        <item x="455"/>
        <item x="409"/>
        <item x="237"/>
        <item x="451"/>
        <item x="651"/>
        <item x="145"/>
        <item x="470"/>
        <item x="165"/>
        <item x="427"/>
        <item x="554"/>
        <item x="353"/>
        <item x="403"/>
        <item x="726"/>
        <item x="670"/>
        <item x="335"/>
        <item x="209"/>
        <item x="745"/>
        <item x="348"/>
        <item x="636"/>
        <item x="396"/>
        <item x="680"/>
        <item x="438"/>
        <item x="590"/>
        <item x="346"/>
        <item x="426"/>
        <item x="640"/>
        <item x="603"/>
        <item x="311"/>
        <item x="298"/>
        <item x="183"/>
        <item x="235"/>
        <item x="607"/>
        <item x="76"/>
        <item x="126"/>
        <item x="471"/>
        <item x="502"/>
        <item x="172"/>
        <item x="41"/>
        <item x="71"/>
        <item x="110"/>
        <item x="668"/>
        <item x="586"/>
        <item x="725"/>
        <item x="354"/>
        <item x="268"/>
        <item x="7"/>
        <item x="669"/>
        <item x="40"/>
        <item x="355"/>
        <item x="162"/>
        <item x="744"/>
        <item x="302"/>
        <item x="608"/>
        <item x="749"/>
        <item x="547"/>
        <item x="134"/>
        <item x="16"/>
        <item x="320"/>
        <item x="699"/>
        <item x="622"/>
        <item x="727"/>
        <item x="465"/>
        <item x="337"/>
        <item x="687"/>
        <item x="269"/>
        <item x="96"/>
        <item x="365"/>
        <item x="344"/>
        <item x="33"/>
        <item x="416"/>
        <item x="244"/>
        <item x="441"/>
        <item x="271"/>
        <item x="308"/>
        <item x="203"/>
        <item x="223"/>
        <item x="163"/>
        <item x="233"/>
        <item x="216"/>
        <item x="447"/>
        <item x="538"/>
        <item x="440"/>
        <item x="700"/>
        <item x="334"/>
        <item x="431"/>
        <item x="352"/>
        <item x="743"/>
        <item x="148"/>
        <item x="490"/>
        <item x="385"/>
        <item x="539"/>
        <item x="196"/>
        <item x="515"/>
        <item x="747"/>
        <item x="395"/>
        <item x="523"/>
        <item x="176"/>
        <item x="672"/>
        <item x="501"/>
        <item x="579"/>
        <item x="43"/>
        <item x="386"/>
        <item x="609"/>
        <item x="724"/>
        <item x="589"/>
        <item x="116"/>
        <item x="184"/>
        <item x="373"/>
        <item x="303"/>
        <item x="187"/>
        <item x="383"/>
        <item x="594"/>
        <item x="419"/>
        <item x="400"/>
        <item x="399"/>
        <item x="573"/>
        <item x="59"/>
        <item x="678"/>
        <item x="633"/>
        <item x="42"/>
        <item x="53"/>
        <item x="12"/>
        <item x="648"/>
        <item x="514"/>
        <item x="578"/>
        <item x="210"/>
        <item x="548"/>
        <item x="69"/>
        <item x="718"/>
        <item x="644"/>
        <item x="660"/>
        <item x="391"/>
        <item x="521"/>
        <item x="415"/>
        <item x="242"/>
        <item x="236"/>
        <item x="488"/>
        <item x="107"/>
        <item x="312"/>
        <item x="629"/>
        <item x="568"/>
        <item x="229"/>
        <item x="421"/>
        <item x="380"/>
        <item x="81"/>
        <item x="413"/>
        <item x="387"/>
        <item x="692"/>
        <item x="446"/>
        <item x="681"/>
        <item x="456"/>
        <item x="239"/>
        <item x="214"/>
        <item x="428"/>
        <item x="281"/>
        <item x="61"/>
        <item x="704"/>
        <item x="684"/>
        <item x="190"/>
        <item x="689"/>
        <item x="559"/>
        <item x="408"/>
        <item x="361"/>
        <item x="251"/>
        <item x="73"/>
        <item x="197"/>
        <item x="261"/>
        <item x="388"/>
        <item x="706"/>
        <item x="37"/>
        <item x="207"/>
        <item x="34"/>
        <item x="557"/>
        <item x="752"/>
        <item x="255"/>
        <item x="19"/>
        <item x="570"/>
        <item x="536"/>
        <item x="381"/>
        <item x="378"/>
        <item x="753"/>
        <item x="402"/>
        <item x="735"/>
        <item x="80"/>
        <item x="662"/>
        <item x="748"/>
        <item x="371"/>
        <item x="67"/>
        <item x="697"/>
        <item x="158"/>
        <item x="466"/>
        <item x="691"/>
        <item x="241"/>
        <item x="125"/>
        <item x="486"/>
        <item x="442"/>
        <item x="411"/>
        <item x="326"/>
        <item x="520"/>
        <item x="626"/>
        <item x="516"/>
        <item x="546"/>
        <item x="340"/>
        <item x="36"/>
        <item x="384"/>
        <item x="350"/>
        <item x="169"/>
        <item x="714"/>
        <item x="44"/>
        <item x="351"/>
        <item x="562"/>
        <item x="424"/>
        <item x="56"/>
        <item x="574"/>
        <item x="561"/>
        <item x="15"/>
        <item x="147"/>
        <item x="234"/>
        <item x="429"/>
        <item x="3"/>
        <item x="575"/>
        <item x="146"/>
        <item x="435"/>
        <item x="295"/>
        <item x="275"/>
        <item x="420"/>
        <item x="122"/>
        <item x="618"/>
        <item x="263"/>
        <item x="140"/>
        <item x="254"/>
        <item x="5"/>
        <item x="503"/>
        <item x="83"/>
        <item x="512"/>
        <item x="708"/>
        <item x="291"/>
        <item x="256"/>
        <item x="599"/>
        <item x="627"/>
        <item x="417"/>
        <item x="703"/>
        <item x="32"/>
        <item x="92"/>
        <item x="318"/>
        <item x="252"/>
        <item x="324"/>
        <item x="199"/>
        <item x="511"/>
        <item x="309"/>
        <item x="226"/>
        <item x="709"/>
        <item x="564"/>
        <item x="131"/>
        <item x="328"/>
        <item x="624"/>
        <item x="301"/>
        <item x="55"/>
        <item x="279"/>
        <item x="342"/>
        <item x="563"/>
        <item x="588"/>
        <item x="300"/>
        <item x="314"/>
        <item x="604"/>
        <item x="265"/>
        <item x="349"/>
        <item x="379"/>
        <item x="685"/>
        <item x="86"/>
        <item x="29"/>
        <item x="322"/>
        <item x="477"/>
        <item x="693"/>
        <item x="504"/>
        <item x="760"/>
        <item x="611"/>
        <item x="317"/>
        <item x="497"/>
        <item x="665"/>
        <item x="287"/>
        <item x="733"/>
        <item x="506"/>
        <item x="736"/>
        <item x="623"/>
        <item x="729"/>
        <item x="549"/>
        <item x="66"/>
        <item x="82"/>
        <item x="60"/>
        <item x="65"/>
        <item x="674"/>
        <item x="397"/>
        <item x="323"/>
        <item x="247"/>
        <item x="475"/>
        <item x="663"/>
        <item x="218"/>
        <item x="129"/>
        <item x="114"/>
        <item x="637"/>
        <item x="500"/>
        <item x="57"/>
        <item x="715"/>
        <item x="382"/>
        <item x="493"/>
        <item x="634"/>
        <item x="26"/>
        <item x="423"/>
        <item x="551"/>
        <item x="105"/>
        <item x="587"/>
        <item x="206"/>
        <item x="111"/>
        <item x="628"/>
        <item x="50"/>
        <item x="240"/>
        <item x="89"/>
        <item x="656"/>
        <item x="137"/>
        <item x="732"/>
        <item x="257"/>
        <item x="315"/>
        <item x="221"/>
        <item x="499"/>
        <item x="713"/>
        <item x="159"/>
        <item x="372"/>
        <item x="22"/>
        <item x="0"/>
        <item x="519"/>
        <item x="142"/>
        <item x="250"/>
        <item x="728"/>
        <item x="198"/>
        <item x="150"/>
        <item x="272"/>
        <item x="75"/>
        <item x="510"/>
        <item x="712"/>
        <item x="113"/>
        <item x="533"/>
        <item x="655"/>
        <item x="18"/>
        <item x="650"/>
        <item x="357"/>
        <item x="436"/>
        <item x="389"/>
        <item x="211"/>
        <item x="133"/>
        <item x="224"/>
        <item x="652"/>
        <item x="180"/>
        <item x="524"/>
        <item x="467"/>
        <item x="443"/>
        <item x="102"/>
        <item x="293"/>
        <item x="339"/>
        <item x="580"/>
        <item x="723"/>
        <item x="104"/>
        <item x="657"/>
        <item x="591"/>
        <item x="358"/>
        <item x="228"/>
        <item x="474"/>
        <item x="289"/>
        <item x="461"/>
        <item x="28"/>
        <item x="707"/>
        <item x="719"/>
        <item x="460"/>
        <item x="716"/>
        <item x="154"/>
        <item x="132"/>
        <item x="407"/>
        <item x="473"/>
        <item x="615"/>
        <item x="115"/>
        <item x="46"/>
        <item x="193"/>
        <item x="398"/>
        <item x="751"/>
        <item x="359"/>
        <item x="453"/>
        <item x="168"/>
        <item x="273"/>
        <item x="31"/>
        <item x="117"/>
        <item x="577"/>
        <item x="482"/>
        <item x="282"/>
        <item x="305"/>
        <item x="552"/>
        <item x="526"/>
        <item x="336"/>
        <item x="17"/>
        <item x="360"/>
        <item x="321"/>
        <item x="327"/>
        <item x="128"/>
        <item x="653"/>
        <item x="151"/>
        <item x="245"/>
        <item x="605"/>
        <item x="731"/>
        <item x="585"/>
        <item x="6"/>
        <item x="458"/>
        <item x="52"/>
        <item x="531"/>
        <item x="464"/>
        <item x="496"/>
        <item x="95"/>
        <item x="583"/>
        <item x="406"/>
        <item x="215"/>
        <item x="262"/>
        <item x="167"/>
        <item x="698"/>
        <item x="219"/>
        <item x="101"/>
        <item x="513"/>
        <item x="740"/>
        <item x="444"/>
        <item x="432"/>
        <item x="294"/>
        <item x="284"/>
        <item x="231"/>
        <item x="635"/>
        <item x="463"/>
        <item x="106"/>
        <item x="376"/>
        <item x="613"/>
        <item x="204"/>
        <item x="412"/>
        <item x="425"/>
        <item x="47"/>
        <item x="175"/>
        <item x="392"/>
        <item x="621"/>
        <item x="602"/>
        <item x="62"/>
        <item x="682"/>
        <item x="584"/>
        <item x="144"/>
        <item x="325"/>
        <item x="363"/>
        <item x="468"/>
        <item x="679"/>
        <item x="485"/>
        <item x="364"/>
        <item x="288"/>
        <item x="410"/>
        <item x="492"/>
        <item x="124"/>
        <item x="661"/>
        <item x="505"/>
        <item x="170"/>
        <item x="532"/>
        <item x="248"/>
        <item x="667"/>
        <item x="695"/>
        <item x="596"/>
        <item x="155"/>
        <item x="601"/>
        <item x="479"/>
        <item x="437"/>
        <item x="10"/>
        <item x="310"/>
        <item x="758"/>
        <item x="277"/>
        <item x="711"/>
        <item x="535"/>
        <item x="620"/>
        <item x="450"/>
        <item x="454"/>
        <item x="537"/>
        <item x="299"/>
        <item x="177"/>
        <item x="212"/>
        <item x="72"/>
        <item x="737"/>
        <item x="544"/>
        <item x="63"/>
        <item x="112"/>
        <item x="462"/>
        <item x="742"/>
        <item x="418"/>
        <item x="616"/>
        <item x="290"/>
        <item x="675"/>
        <item x="174"/>
        <item x="553"/>
        <item x="377"/>
        <item x="722"/>
        <item x="27"/>
        <item x="646"/>
        <item x="99"/>
        <item x="90"/>
        <item x="276"/>
        <item x="267"/>
        <item x="369"/>
        <item x="677"/>
        <item x="555"/>
        <item x="404"/>
        <item x="375"/>
        <item x="572"/>
        <item x="39"/>
        <item x="23"/>
        <item x="746"/>
        <item x="87"/>
        <item x="230"/>
        <item x="139"/>
        <item x="157"/>
        <item x="347"/>
        <item x="173"/>
        <item x="270"/>
        <item x="181"/>
        <item x="405"/>
        <item x="422"/>
        <item x="606"/>
        <item x="592"/>
        <item x="156"/>
        <item x="489"/>
        <item x="759"/>
        <item x="143"/>
        <item x="11"/>
        <item x="103"/>
        <item t="default"/>
      </items>
    </pivotField>
    <pivotField showAll="0">
      <items count="639">
        <item x="20"/>
        <item x="544"/>
        <item x="596"/>
        <item x="384"/>
        <item x="174"/>
        <item x="332"/>
        <item x="53"/>
        <item x="94"/>
        <item x="224"/>
        <item x="300"/>
        <item x="626"/>
        <item x="466"/>
        <item x="121"/>
        <item x="589"/>
        <item x="49"/>
        <item x="495"/>
        <item x="154"/>
        <item x="480"/>
        <item x="125"/>
        <item x="51"/>
        <item x="459"/>
        <item x="448"/>
        <item x="444"/>
        <item x="387"/>
        <item x="171"/>
        <item x="575"/>
        <item x="496"/>
        <item x="139"/>
        <item x="582"/>
        <item x="277"/>
        <item x="85"/>
        <item x="251"/>
        <item x="150"/>
        <item x="299"/>
        <item x="212"/>
        <item x="214"/>
        <item x="172"/>
        <item x="75"/>
        <item x="145"/>
        <item x="218"/>
        <item x="91"/>
        <item x="565"/>
        <item x="177"/>
        <item x="76"/>
        <item x="572"/>
        <item x="591"/>
        <item x="1"/>
        <item x="516"/>
        <item x="45"/>
        <item x="398"/>
        <item x="421"/>
        <item x="63"/>
        <item x="454"/>
        <item x="90"/>
        <item x="82"/>
        <item x="175"/>
        <item x="165"/>
        <item x="338"/>
        <item x="185"/>
        <item x="25"/>
        <item x="229"/>
        <item x="252"/>
        <item x="162"/>
        <item x="13"/>
        <item x="77"/>
        <item x="503"/>
        <item x="35"/>
        <item x="72"/>
        <item x="88"/>
        <item x="168"/>
        <item x="4"/>
        <item x="48"/>
        <item x="597"/>
        <item x="523"/>
        <item x="191"/>
        <item x="245"/>
        <item x="24"/>
        <item x="415"/>
        <item x="184"/>
        <item x="126"/>
        <item x="330"/>
        <item x="161"/>
        <item x="424"/>
        <item x="8"/>
        <item x="194"/>
        <item x="261"/>
        <item x="526"/>
        <item x="66"/>
        <item x="203"/>
        <item x="555"/>
        <item x="551"/>
        <item x="549"/>
        <item x="270"/>
        <item x="111"/>
        <item x="30"/>
        <item x="593"/>
        <item x="557"/>
        <item x="262"/>
        <item x="368"/>
        <item x="543"/>
        <item x="210"/>
        <item x="401"/>
        <item x="433"/>
        <item x="498"/>
        <item x="634"/>
        <item x="588"/>
        <item x="494"/>
        <item x="508"/>
        <item x="633"/>
        <item x="603"/>
        <item x="425"/>
        <item x="304"/>
        <item x="483"/>
        <item x="493"/>
        <item x="598"/>
        <item x="461"/>
        <item x="464"/>
        <item x="256"/>
        <item x="237"/>
        <item x="14"/>
        <item x="179"/>
        <item x="419"/>
        <item x="497"/>
        <item x="463"/>
        <item x="505"/>
        <item x="405"/>
        <item x="451"/>
        <item x="310"/>
        <item x="359"/>
        <item x="629"/>
        <item x="302"/>
        <item x="385"/>
        <item x="473"/>
        <item x="207"/>
        <item x="282"/>
        <item x="232"/>
        <item x="507"/>
        <item x="350"/>
        <item x="118"/>
        <item x="434"/>
        <item x="9"/>
        <item x="12"/>
        <item x="130"/>
        <item x="102"/>
        <item x="403"/>
        <item x="257"/>
        <item x="530"/>
        <item x="622"/>
        <item x="307"/>
        <item x="202"/>
        <item x="279"/>
        <item x="354"/>
        <item x="114"/>
        <item x="148"/>
        <item x="439"/>
        <item x="506"/>
        <item x="169"/>
        <item x="217"/>
        <item x="400"/>
        <item x="275"/>
        <item x="127"/>
        <item x="474"/>
        <item x="613"/>
        <item x="319"/>
        <item x="627"/>
        <item x="306"/>
        <item x="608"/>
        <item x="569"/>
        <item x="289"/>
        <item x="228"/>
        <item x="190"/>
        <item x="580"/>
        <item x="521"/>
        <item x="621"/>
        <item x="223"/>
        <item x="248"/>
        <item x="211"/>
        <item x="206"/>
        <item x="380"/>
        <item x="430"/>
        <item x="595"/>
        <item x="614"/>
        <item x="578"/>
        <item x="180"/>
        <item x="313"/>
        <item x="564"/>
        <item x="159"/>
        <item x="427"/>
        <item x="78"/>
        <item x="167"/>
        <item x="335"/>
        <item x="227"/>
        <item x="559"/>
        <item x="166"/>
        <item x="58"/>
        <item x="476"/>
        <item x="346"/>
        <item x="41"/>
        <item x="412"/>
        <item x="478"/>
        <item x="318"/>
        <item x="246"/>
        <item x="40"/>
        <item x="220"/>
        <item x="112"/>
        <item x="501"/>
        <item x="388"/>
        <item x="16"/>
        <item x="244"/>
        <item x="344"/>
        <item x="79"/>
        <item x="240"/>
        <item x="538"/>
        <item x="86"/>
        <item x="225"/>
        <item x="258"/>
        <item x="632"/>
        <item x="394"/>
        <item x="173"/>
        <item x="219"/>
        <item x="364"/>
        <item x="181"/>
        <item x="301"/>
        <item x="34"/>
        <item x="19"/>
        <item x="449"/>
        <item x="341"/>
        <item x="343"/>
        <item x="353"/>
        <item x="321"/>
        <item x="348"/>
        <item x="413"/>
        <item x="116"/>
        <item x="395"/>
        <item x="296"/>
        <item x="396"/>
        <item x="357"/>
        <item x="500"/>
        <item x="545"/>
        <item x="311"/>
        <item x="44"/>
        <item x="446"/>
        <item x="465"/>
        <item x="490"/>
        <item x="407"/>
        <item x="3"/>
        <item x="269"/>
        <item x="351"/>
        <item x="372"/>
        <item x="529"/>
        <item x="104"/>
        <item x="5"/>
        <item x="440"/>
        <item x="601"/>
        <item x="517"/>
        <item x="209"/>
        <item x="342"/>
        <item x="290"/>
        <item x="0"/>
        <item x="122"/>
        <item x="200"/>
        <item x="60"/>
        <item x="285"/>
        <item x="411"/>
        <item x="456"/>
        <item x="590"/>
        <item x="308"/>
        <item x="18"/>
        <item x="96"/>
        <item x="349"/>
        <item x="486"/>
        <item x="147"/>
        <item x="291"/>
        <item x="345"/>
        <item x="546"/>
        <item x="358"/>
        <item x="316"/>
        <item x="188"/>
        <item x="611"/>
        <item x="524"/>
        <item x="65"/>
        <item x="479"/>
        <item x="198"/>
        <item x="366"/>
        <item x="453"/>
        <item x="408"/>
        <item x="450"/>
        <item x="43"/>
        <item x="204"/>
        <item x="442"/>
        <item x="339"/>
        <item x="315"/>
        <item x="527"/>
        <item x="170"/>
        <item x="432"/>
        <item x="356"/>
        <item x="110"/>
        <item x="511"/>
        <item x="392"/>
        <item x="539"/>
        <item x="226"/>
        <item x="563"/>
        <item x="23"/>
        <item x="323"/>
        <item x="586"/>
        <item x="437"/>
        <item x="238"/>
        <item x="178"/>
        <item x="406"/>
        <item x="288"/>
        <item x="182"/>
        <item x="89"/>
        <item x="183"/>
        <item x="445"/>
        <item x="278"/>
        <item x="373"/>
        <item x="54"/>
        <item x="260"/>
        <item x="197"/>
        <item x="189"/>
        <item x="57"/>
        <item x="97"/>
        <item x="29"/>
        <item x="98"/>
        <item x="637"/>
        <item x="510"/>
        <item x="133"/>
        <item x="326"/>
        <item x="215"/>
        <item x="265"/>
        <item x="489"/>
        <item x="583"/>
        <item x="581"/>
        <item x="128"/>
        <item x="176"/>
        <item x="327"/>
        <item x="447"/>
        <item x="2"/>
        <item x="250"/>
        <item x="570"/>
        <item x="553"/>
        <item x="26"/>
        <item x="481"/>
        <item x="280"/>
        <item x="331"/>
        <item x="619"/>
        <item x="334"/>
        <item x="390"/>
        <item x="10"/>
        <item x="558"/>
        <item x="579"/>
        <item x="604"/>
        <item x="38"/>
        <item x="607"/>
        <item x="160"/>
        <item x="502"/>
        <item x="367"/>
        <item x="475"/>
        <item x="325"/>
        <item x="22"/>
        <item x="566"/>
        <item x="584"/>
        <item x="552"/>
        <item x="610"/>
        <item x="422"/>
        <item x="541"/>
        <item x="600"/>
        <item x="117"/>
        <item x="617"/>
        <item x="616"/>
        <item x="152"/>
        <item x="109"/>
        <item x="186"/>
        <item x="362"/>
        <item x="520"/>
        <item x="281"/>
        <item x="487"/>
        <item x="416"/>
        <item x="379"/>
        <item x="542"/>
        <item x="397"/>
        <item x="195"/>
        <item x="336"/>
        <item x="84"/>
        <item x="131"/>
        <item x="547"/>
        <item x="624"/>
        <item x="137"/>
        <item x="309"/>
        <item x="324"/>
        <item x="522"/>
        <item x="531"/>
        <item x="193"/>
        <item x="631"/>
        <item x="103"/>
        <item x="576"/>
        <item x="298"/>
        <item x="7"/>
        <item x="274"/>
        <item x="477"/>
        <item x="124"/>
        <item x="436"/>
        <item x="484"/>
        <item x="67"/>
        <item x="68"/>
        <item x="369"/>
        <item x="329"/>
        <item x="504"/>
        <item x="317"/>
        <item x="187"/>
        <item x="472"/>
        <item x="135"/>
        <item x="271"/>
        <item x="221"/>
        <item x="347"/>
        <item x="512"/>
        <item x="276"/>
        <item x="391"/>
        <item x="457"/>
        <item x="452"/>
        <item x="462"/>
        <item x="272"/>
        <item x="222"/>
        <item x="74"/>
        <item x="155"/>
        <item x="592"/>
        <item x="83"/>
        <item x="577"/>
        <item x="560"/>
        <item x="15"/>
        <item x="136"/>
        <item x="93"/>
        <item x="568"/>
        <item x="33"/>
        <item x="113"/>
        <item x="134"/>
        <item x="492"/>
        <item x="550"/>
        <item x="141"/>
        <item x="32"/>
        <item x="236"/>
        <item x="294"/>
        <item x="71"/>
        <item x="213"/>
        <item x="320"/>
        <item x="37"/>
        <item x="239"/>
        <item x="470"/>
        <item x="235"/>
        <item x="149"/>
        <item x="337"/>
        <item x="143"/>
        <item x="458"/>
        <item x="599"/>
        <item x="42"/>
        <item x="573"/>
        <item x="556"/>
        <item x="623"/>
        <item x="69"/>
        <item x="80"/>
        <item x="59"/>
        <item x="55"/>
        <item x="293"/>
        <item x="292"/>
        <item x="428"/>
        <item x="548"/>
        <item x="333"/>
        <item x="383"/>
        <item x="81"/>
        <item x="140"/>
        <item x="399"/>
        <item x="284"/>
        <item x="230"/>
        <item x="587"/>
        <item x="485"/>
        <item x="488"/>
        <item x="536"/>
        <item x="146"/>
        <item x="382"/>
        <item x="242"/>
        <item x="249"/>
        <item x="273"/>
        <item x="567"/>
        <item x="468"/>
        <item x="418"/>
        <item x="441"/>
        <item x="123"/>
        <item x="286"/>
        <item x="625"/>
        <item x="537"/>
        <item x="267"/>
        <item x="534"/>
        <item x="64"/>
        <item x="36"/>
        <item x="513"/>
        <item x="355"/>
        <item x="233"/>
        <item x="571"/>
        <item x="376"/>
        <item x="28"/>
        <item x="381"/>
        <item x="375"/>
        <item x="393"/>
        <item x="108"/>
        <item x="192"/>
        <item x="129"/>
        <item x="50"/>
        <item x="144"/>
        <item x="196"/>
        <item x="199"/>
        <item x="264"/>
        <item x="525"/>
        <item x="138"/>
        <item x="443"/>
        <item x="153"/>
        <item x="255"/>
        <item x="612"/>
        <item x="509"/>
        <item x="106"/>
        <item x="243"/>
        <item x="594"/>
        <item x="361"/>
        <item x="389"/>
        <item x="386"/>
        <item x="268"/>
        <item x="163"/>
        <item x="414"/>
        <item x="535"/>
        <item x="305"/>
        <item x="628"/>
        <item x="263"/>
        <item x="585"/>
        <item x="352"/>
        <item x="499"/>
        <item x="61"/>
        <item x="609"/>
        <item x="62"/>
        <item x="606"/>
        <item x="120"/>
        <item x="107"/>
        <item x="438"/>
        <item x="99"/>
        <item x="31"/>
        <item x="340"/>
        <item x="423"/>
        <item x="259"/>
        <item x="27"/>
        <item x="115"/>
        <item x="460"/>
        <item x="17"/>
        <item x="241"/>
        <item x="208"/>
        <item x="615"/>
        <item x="435"/>
        <item x="420"/>
        <item x="253"/>
        <item x="101"/>
        <item x="73"/>
        <item x="201"/>
        <item x="205"/>
        <item x="602"/>
        <item x="605"/>
        <item x="562"/>
        <item x="402"/>
        <item x="410"/>
        <item x="100"/>
        <item x="287"/>
        <item x="158"/>
        <item x="70"/>
        <item x="533"/>
        <item x="518"/>
        <item x="322"/>
        <item x="378"/>
        <item x="409"/>
        <item x="371"/>
        <item x="266"/>
        <item x="620"/>
        <item x="216"/>
        <item x="417"/>
        <item x="46"/>
        <item x="365"/>
        <item x="630"/>
        <item x="455"/>
        <item x="56"/>
        <item x="467"/>
        <item x="247"/>
        <item x="303"/>
        <item x="95"/>
        <item x="297"/>
        <item x="561"/>
        <item x="231"/>
        <item x="618"/>
        <item x="52"/>
        <item x="92"/>
        <item x="363"/>
        <item x="151"/>
        <item x="328"/>
        <item x="469"/>
        <item x="404"/>
        <item x="471"/>
        <item x="519"/>
        <item x="39"/>
        <item x="514"/>
        <item x="377"/>
        <item x="47"/>
        <item x="528"/>
        <item x="157"/>
        <item x="482"/>
        <item x="429"/>
        <item x="283"/>
        <item x="314"/>
        <item x="156"/>
        <item x="426"/>
        <item x="554"/>
        <item x="431"/>
        <item x="87"/>
        <item x="234"/>
        <item x="515"/>
        <item x="132"/>
        <item x="360"/>
        <item x="119"/>
        <item x="540"/>
        <item x="491"/>
        <item x="635"/>
        <item x="254"/>
        <item x="532"/>
        <item x="11"/>
        <item x="21"/>
        <item x="105"/>
        <item x="636"/>
        <item x="142"/>
        <item x="312"/>
        <item x="164"/>
        <item x="374"/>
        <item x="295"/>
        <item x="574"/>
        <item x="6"/>
        <item x="370"/>
        <item t="default"/>
      </items>
    </pivotField>
    <pivotField showAll="0"/>
    <pivotField showAll="0">
      <items count="727">
        <item x="610"/>
        <item x="436"/>
        <item x="52"/>
        <item x="410"/>
        <item x="546"/>
        <item x="55"/>
        <item x="182"/>
        <item x="675"/>
        <item x="292"/>
        <item x="513"/>
        <item x="439"/>
        <item x="221"/>
        <item x="100"/>
        <item x="337"/>
        <item x="615"/>
        <item x="504"/>
        <item x="309"/>
        <item x="431"/>
        <item x="67"/>
        <item x="373"/>
        <item x="626"/>
        <item x="259"/>
        <item x="530"/>
        <item x="686"/>
        <item x="128"/>
        <item x="543"/>
        <item x="458"/>
        <item x="120"/>
        <item x="248"/>
        <item x="380"/>
        <item x="233"/>
        <item x="35"/>
        <item x="86"/>
        <item x="102"/>
        <item x="642"/>
        <item x="174"/>
        <item x="50"/>
        <item x="354"/>
        <item x="1"/>
        <item x="483"/>
        <item x="95"/>
        <item x="630"/>
        <item x="523"/>
        <item x="573"/>
        <item x="133"/>
        <item x="265"/>
        <item x="183"/>
        <item x="172"/>
        <item x="647"/>
        <item x="181"/>
        <item x="148"/>
        <item x="489"/>
        <item x="334"/>
        <item x="192"/>
        <item x="81"/>
        <item x="25"/>
        <item x="96"/>
        <item x="180"/>
        <item x="160"/>
        <item x="260"/>
        <item x="147"/>
        <item x="547"/>
        <item x="398"/>
        <item x="185"/>
        <item x="370"/>
        <item x="684"/>
        <item x="4"/>
        <item x="654"/>
        <item x="79"/>
        <item x="482"/>
        <item x="90"/>
        <item x="575"/>
        <item x="316"/>
        <item x="237"/>
        <item x="708"/>
        <item x="723"/>
        <item x="424"/>
        <item x="348"/>
        <item x="13"/>
        <item x="177"/>
        <item x="374"/>
        <item x="571"/>
        <item x="80"/>
        <item x="49"/>
        <item x="437"/>
        <item x="193"/>
        <item x="155"/>
        <item x="666"/>
        <item x="704"/>
        <item x="76"/>
        <item x="46"/>
        <item x="262"/>
        <item x="251"/>
        <item x="494"/>
        <item x="227"/>
        <item x="191"/>
        <item x="676"/>
        <item x="351"/>
        <item x="589"/>
        <item x="455"/>
        <item x="24"/>
        <item x="450"/>
        <item x="186"/>
        <item x="171"/>
        <item x="318"/>
        <item x="346"/>
        <item x="461"/>
        <item x="201"/>
        <item x="592"/>
        <item x="194"/>
        <item x="624"/>
        <item x="469"/>
        <item x="619"/>
        <item x="8"/>
        <item x="280"/>
        <item x="273"/>
        <item x="2"/>
        <item x="30"/>
        <item x="690"/>
        <item x="541"/>
        <item x="544"/>
        <item x="210"/>
        <item x="274"/>
        <item x="609"/>
        <item x="459"/>
        <item x="302"/>
        <item x="501"/>
        <item x="99"/>
        <item x="472"/>
        <item x="722"/>
        <item x="427"/>
        <item x="542"/>
        <item x="616"/>
        <item x="284"/>
        <item x="298"/>
        <item x="413"/>
        <item x="535"/>
        <item x="721"/>
        <item x="669"/>
        <item x="576"/>
        <item x="70"/>
        <item x="590"/>
        <item x="347"/>
        <item x="596"/>
        <item x="649"/>
        <item x="38"/>
        <item x="473"/>
        <item x="558"/>
        <item x="267"/>
        <item x="72"/>
        <item x="119"/>
        <item x="595"/>
        <item x="244"/>
        <item x="549"/>
        <item x="285"/>
        <item x="159"/>
        <item x="664"/>
        <item x="657"/>
        <item x="291"/>
        <item x="697"/>
        <item x="671"/>
        <item x="404"/>
        <item x="65"/>
        <item x="560"/>
        <item x="207"/>
        <item x="78"/>
        <item x="532"/>
        <item x="451"/>
        <item x="405"/>
        <item x="581"/>
        <item x="247"/>
        <item x="515"/>
        <item x="202"/>
        <item x="702"/>
        <item x="393"/>
        <item x="254"/>
        <item x="218"/>
        <item x="156"/>
        <item x="319"/>
        <item x="215"/>
        <item x="141"/>
        <item x="314"/>
        <item x="428"/>
        <item x="687"/>
        <item x="588"/>
        <item x="600"/>
        <item x="240"/>
        <item x="554"/>
        <item x="680"/>
        <item x="500"/>
        <item x="694"/>
        <item x="369"/>
        <item x="503"/>
        <item x="111"/>
        <item x="341"/>
        <item x="126"/>
        <item x="634"/>
        <item x="7"/>
        <item x="9"/>
        <item x="21"/>
        <item x="466"/>
        <item x="59"/>
        <item x="622"/>
        <item x="110"/>
        <item x="572"/>
        <item x="14"/>
        <item x="109"/>
        <item x="345"/>
        <item x="42"/>
        <item x="330"/>
        <item x="125"/>
        <item x="195"/>
        <item x="73"/>
        <item x="548"/>
        <item x="502"/>
        <item x="718"/>
        <item x="417"/>
        <item x="711"/>
        <item x="253"/>
        <item x="556"/>
        <item x="294"/>
        <item x="586"/>
        <item x="376"/>
        <item x="715"/>
        <item x="607"/>
        <item x="122"/>
        <item x="416"/>
        <item x="158"/>
        <item x="491"/>
        <item x="492"/>
        <item x="313"/>
        <item x="463"/>
        <item x="178"/>
        <item x="580"/>
        <item x="286"/>
        <item x="231"/>
        <item x="322"/>
        <item x="478"/>
        <item x="261"/>
        <item x="394"/>
        <item x="135"/>
        <item x="238"/>
        <item x="321"/>
        <item x="311"/>
        <item x="165"/>
        <item x="242"/>
        <item x="418"/>
        <item x="614"/>
        <item x="693"/>
        <item x="646"/>
        <item x="144"/>
        <item x="332"/>
        <item x="707"/>
        <item x="528"/>
        <item x="490"/>
        <item x="717"/>
        <item x="303"/>
        <item x="271"/>
        <item x="308"/>
        <item x="566"/>
        <item x="651"/>
        <item x="98"/>
        <item x="636"/>
        <item x="33"/>
        <item x="145"/>
        <item x="645"/>
        <item x="379"/>
        <item x="551"/>
        <item x="658"/>
        <item x="213"/>
        <item x="289"/>
        <item x="674"/>
        <item x="519"/>
        <item x="132"/>
        <item x="452"/>
        <item x="706"/>
        <item x="673"/>
        <item x="75"/>
        <item x="668"/>
        <item x="325"/>
        <item x="430"/>
        <item x="37"/>
        <item x="268"/>
        <item x="656"/>
        <item x="232"/>
        <item x="617"/>
        <item x="479"/>
        <item x="677"/>
        <item x="420"/>
        <item x="568"/>
        <item x="176"/>
        <item x="520"/>
        <item x="353"/>
        <item x="301"/>
        <item x="363"/>
        <item x="462"/>
        <item x="434"/>
        <item x="498"/>
        <item x="175"/>
        <item x="445"/>
        <item x="230"/>
        <item x="60"/>
        <item x="87"/>
        <item x="512"/>
        <item x="524"/>
        <item x="625"/>
        <item x="388"/>
        <item x="517"/>
        <item x="41"/>
        <item x="163"/>
        <item x="382"/>
        <item x="496"/>
        <item x="713"/>
        <item x="328"/>
        <item x="477"/>
        <item x="331"/>
        <item x="557"/>
        <item x="40"/>
        <item x="157"/>
        <item x="225"/>
        <item x="467"/>
        <item x="290"/>
        <item x="602"/>
        <item x="16"/>
        <item x="585"/>
        <item x="411"/>
        <item x="329"/>
        <item x="514"/>
        <item x="660"/>
        <item x="695"/>
        <item x="511"/>
        <item x="83"/>
        <item x="85"/>
        <item x="367"/>
        <item x="667"/>
        <item x="425"/>
        <item x="297"/>
        <item x="638"/>
        <item x="340"/>
        <item x="419"/>
        <item x="115"/>
        <item x="688"/>
        <item x="534"/>
        <item x="200"/>
        <item x="637"/>
        <item x="228"/>
        <item x="179"/>
        <item x="408"/>
        <item x="20"/>
        <item x="249"/>
        <item x="310"/>
        <item x="15"/>
        <item x="621"/>
        <item x="143"/>
        <item x="587"/>
        <item x="639"/>
        <item x="12"/>
        <item x="359"/>
        <item x="392"/>
        <item x="720"/>
        <item x="121"/>
        <item x="375"/>
        <item x="256"/>
        <item x="456"/>
        <item x="219"/>
        <item x="71"/>
        <item x="435"/>
        <item x="366"/>
        <item x="620"/>
        <item x="618"/>
        <item x="510"/>
        <item x="124"/>
        <item x="696"/>
        <item x="421"/>
        <item x="604"/>
        <item x="243"/>
        <item x="481"/>
        <item x="305"/>
        <item x="190"/>
        <item x="601"/>
        <item x="187"/>
        <item x="220"/>
        <item x="36"/>
        <item x="397"/>
        <item x="650"/>
        <item x="631"/>
        <item x="526"/>
        <item x="632"/>
        <item x="611"/>
        <item x="323"/>
        <item x="169"/>
        <item x="533"/>
        <item x="508"/>
        <item x="142"/>
        <item x="401"/>
        <item x="539"/>
        <item x="536"/>
        <item x="320"/>
        <item x="407"/>
        <item x="82"/>
        <item x="203"/>
        <item x="641"/>
        <item x="365"/>
        <item x="283"/>
        <item x="567"/>
        <item x="326"/>
        <item x="371"/>
        <item x="153"/>
        <item x="236"/>
        <item x="603"/>
        <item x="137"/>
        <item x="51"/>
        <item x="682"/>
        <item x="681"/>
        <item x="475"/>
        <item x="643"/>
        <item x="223"/>
        <item x="154"/>
        <item x="701"/>
        <item x="426"/>
        <item x="444"/>
        <item x="84"/>
        <item x="521"/>
        <item x="57"/>
        <item x="552"/>
        <item x="563"/>
        <item x="208"/>
        <item x="62"/>
        <item x="229"/>
        <item x="266"/>
        <item x="553"/>
        <item x="495"/>
        <item x="446"/>
        <item x="665"/>
        <item x="559"/>
        <item x="349"/>
        <item x="88"/>
        <item x="538"/>
        <item x="402"/>
        <item x="250"/>
        <item x="26"/>
        <item x="368"/>
        <item x="312"/>
        <item x="317"/>
        <item x="293"/>
        <item x="245"/>
        <item x="531"/>
        <item x="605"/>
        <item x="545"/>
        <item x="361"/>
        <item x="537"/>
        <item x="448"/>
        <item x="234"/>
        <item x="381"/>
        <item x="269"/>
        <item x="357"/>
        <item x="198"/>
        <item x="678"/>
        <item x="299"/>
        <item x="710"/>
        <item x="97"/>
        <item x="275"/>
        <item x="69"/>
        <item x="22"/>
        <item x="700"/>
        <item x="662"/>
        <item x="161"/>
        <item x="522"/>
        <item x="188"/>
        <item x="465"/>
        <item x="390"/>
        <item x="454"/>
        <item x="257"/>
        <item x="648"/>
        <item x="34"/>
        <item x="43"/>
        <item x="279"/>
        <item x="306"/>
        <item x="19"/>
        <item x="406"/>
        <item x="288"/>
        <item x="127"/>
        <item x="635"/>
        <item x="356"/>
        <item x="327"/>
        <item x="32"/>
        <item x="360"/>
        <item x="105"/>
        <item x="107"/>
        <item x="131"/>
        <item x="31"/>
        <item x="540"/>
        <item x="447"/>
        <item x="333"/>
        <item x="300"/>
        <item x="460"/>
        <item x="117"/>
        <item x="606"/>
        <item x="307"/>
        <item x="235"/>
        <item x="499"/>
        <item x="281"/>
        <item x="134"/>
        <item x="246"/>
        <item x="68"/>
        <item x="663"/>
        <item x="476"/>
        <item x="66"/>
        <item x="565"/>
        <item x="569"/>
        <item x="485"/>
        <item x="377"/>
        <item x="6"/>
        <item x="54"/>
        <item x="45"/>
        <item x="474"/>
        <item x="28"/>
        <item x="94"/>
        <item x="77"/>
        <item x="608"/>
        <item x="484"/>
        <item x="3"/>
        <item x="212"/>
        <item x="400"/>
        <item x="486"/>
        <item x="518"/>
        <item x="364"/>
        <item x="116"/>
        <item x="199"/>
        <item x="56"/>
        <item x="112"/>
        <item x="5"/>
        <item x="61"/>
        <item x="118"/>
        <item x="683"/>
        <item x="205"/>
        <item x="577"/>
        <item x="574"/>
        <item x="304"/>
        <item x="108"/>
        <item x="217"/>
        <item x="204"/>
        <item x="104"/>
        <item x="488"/>
        <item x="414"/>
        <item x="0"/>
        <item x="146"/>
        <item x="409"/>
        <item x="29"/>
        <item x="362"/>
        <item x="106"/>
        <item x="264"/>
        <item x="129"/>
        <item x="336"/>
        <item x="725"/>
        <item x="149"/>
        <item x="222"/>
        <item x="277"/>
        <item x="703"/>
        <item x="114"/>
        <item x="91"/>
        <item x="18"/>
        <item x="672"/>
        <item x="103"/>
        <item x="652"/>
        <item x="415"/>
        <item x="453"/>
        <item x="412"/>
        <item x="352"/>
        <item x="47"/>
        <item x="493"/>
        <item x="138"/>
        <item x="714"/>
        <item x="497"/>
        <item x="719"/>
        <item x="709"/>
        <item x="258"/>
        <item x="58"/>
        <item x="315"/>
        <item x="591"/>
        <item x="692"/>
        <item x="525"/>
        <item x="633"/>
        <item x="670"/>
        <item x="582"/>
        <item x="506"/>
        <item x="372"/>
        <item x="295"/>
        <item x="629"/>
        <item x="239"/>
        <item x="698"/>
        <item x="441"/>
        <item x="335"/>
        <item x="699"/>
        <item x="689"/>
        <item x="53"/>
        <item x="211"/>
        <item x="130"/>
        <item x="387"/>
        <item x="679"/>
        <item x="593"/>
        <item x="422"/>
        <item x="386"/>
        <item x="471"/>
        <item x="344"/>
        <item x="378"/>
        <item x="432"/>
        <item x="433"/>
        <item x="509"/>
        <item x="564"/>
        <item x="270"/>
        <item x="123"/>
        <item x="17"/>
        <item x="339"/>
        <item x="644"/>
        <item x="583"/>
        <item x="628"/>
        <item x="403"/>
        <item x="612"/>
        <item x="216"/>
        <item x="48"/>
        <item x="438"/>
        <item x="214"/>
        <item x="395"/>
        <item x="597"/>
        <item x="189"/>
        <item x="594"/>
        <item x="263"/>
        <item x="338"/>
        <item x="209"/>
        <item x="167"/>
        <item x="555"/>
        <item x="527"/>
        <item x="653"/>
        <item x="276"/>
        <item x="429"/>
        <item x="272"/>
        <item x="226"/>
        <item x="480"/>
        <item x="464"/>
        <item x="442"/>
        <item x="164"/>
        <item x="197"/>
        <item x="470"/>
        <item x="443"/>
        <item x="661"/>
        <item x="561"/>
        <item x="168"/>
        <item x="150"/>
        <item x="93"/>
        <item x="599"/>
        <item x="241"/>
        <item x="579"/>
        <item x="384"/>
        <item x="162"/>
        <item x="140"/>
        <item x="342"/>
        <item x="396"/>
        <item x="282"/>
        <item x="278"/>
        <item x="383"/>
        <item x="613"/>
        <item x="655"/>
        <item x="196"/>
        <item x="724"/>
        <item x="184"/>
        <item x="343"/>
        <item x="389"/>
        <item x="598"/>
        <item x="550"/>
        <item x="63"/>
        <item x="640"/>
        <item x="287"/>
        <item x="505"/>
        <item x="64"/>
        <item x="423"/>
        <item x="449"/>
        <item x="578"/>
        <item x="113"/>
        <item x="44"/>
        <item x="358"/>
        <item x="10"/>
        <item x="440"/>
        <item x="27"/>
        <item x="627"/>
        <item x="152"/>
        <item x="324"/>
        <item x="507"/>
        <item x="170"/>
        <item x="39"/>
        <item x="457"/>
        <item x="173"/>
        <item x="391"/>
        <item x="516"/>
        <item x="659"/>
        <item x="355"/>
        <item x="691"/>
        <item x="399"/>
        <item x="74"/>
        <item x="166"/>
        <item x="716"/>
        <item x="623"/>
        <item x="562"/>
        <item x="92"/>
        <item x="224"/>
        <item x="206"/>
        <item x="252"/>
        <item x="487"/>
        <item x="296"/>
        <item x="255"/>
        <item x="101"/>
        <item x="350"/>
        <item x="89"/>
        <item x="685"/>
        <item x="705"/>
        <item x="584"/>
        <item x="570"/>
        <item x="23"/>
        <item x="468"/>
        <item x="151"/>
        <item x="712"/>
        <item x="529"/>
        <item x="136"/>
        <item x="385"/>
        <item x="139"/>
        <item x="1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2">
    <field x="23"/>
    <field x="22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12">
    <pageField fld="38" hier="-1"/>
    <pageField fld="10" hier="-1"/>
    <pageField fld="11" hier="-1"/>
    <pageField fld="28" hier="-1"/>
    <pageField fld="2" hier="-1"/>
    <pageField fld="29" hier="-1"/>
    <pageField fld="24" hier="-1"/>
    <pageField fld="19" hier="-1"/>
    <pageField fld="20" hier="-1"/>
    <pageField fld="18" hier="-1"/>
    <pageField fld="27" hier="-1"/>
    <pageField fld="30" hier="-1"/>
  </pageFields>
  <dataFields count="1">
    <dataField name="Count of policy_number" fld="2" subtotal="count" baseField="21" baseItem="4"/>
  </dataFields>
  <formats count="4">
    <format dxfId="36">
      <pivotArea outline="0" collapsedLevelsAreSubtotals="1" fieldPosition="0"/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2">
          <reference field="22" count="1">
            <x v="1"/>
          </reference>
          <reference field="23" count="1" selected="0">
            <x v="6"/>
          </reference>
        </references>
      </pivotArea>
    </format>
    <format dxfId="2">
      <pivotArea collapsedLevelsAreSubtotals="1" fieldPosition="0">
        <references count="2">
          <reference field="22" count="1">
            <x v="1"/>
          </reference>
          <reference field="2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3B86E-2973-4406-9337-B191937A7216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2" firstHeaderRow="1" firstDataRow="1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axis="axisRow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ge" fld="1" subtotal="average" baseField="0" baseItem="0" numFmtId="170"/>
  </dataFields>
  <formats count="1">
    <format dxfId="1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A9171-2930-4EF3-89CC-0BE57BE95977}" name="PivotTable1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A13:BC20" firstHeaderRow="1" firstDataRow="2" firstDataCol="1" rowPageCount="10" colPageCount="1"/>
  <pivotFields count="40">
    <pivotField showAll="0"/>
    <pivotField showAll="0">
      <items count="47">
        <item x="41"/>
        <item x="44"/>
        <item x="42"/>
        <item x="45"/>
        <item x="10"/>
        <item x="39"/>
        <item x="20"/>
        <item x="13"/>
        <item x="28"/>
        <item x="23"/>
        <item x="2"/>
        <item x="22"/>
        <item x="14"/>
        <item x="30"/>
        <item x="8"/>
        <item x="6"/>
        <item x="21"/>
        <item x="31"/>
        <item x="7"/>
        <item x="11"/>
        <item x="5"/>
        <item x="17"/>
        <item x="3"/>
        <item x="1"/>
        <item x="18"/>
        <item x="4"/>
        <item x="19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axis="axisPage" dataField="1" showAll="0">
      <items count="1000">
        <item x="662"/>
        <item x="862"/>
        <item x="5"/>
        <item x="588"/>
        <item x="336"/>
        <item x="441"/>
        <item x="675"/>
        <item x="43"/>
        <item x="990"/>
        <item x="601"/>
        <item x="942"/>
        <item x="635"/>
        <item x="530"/>
        <item x="641"/>
        <item x="563"/>
        <item x="579"/>
        <item x="222"/>
        <item x="23"/>
        <item x="546"/>
        <item x="74"/>
        <item x="509"/>
        <item x="913"/>
        <item x="251"/>
        <item x="919"/>
        <item x="147"/>
        <item x="154"/>
        <item x="393"/>
        <item x="179"/>
        <item x="950"/>
        <item x="285"/>
        <item x="90"/>
        <item x="34"/>
        <item x="872"/>
        <item x="235"/>
        <item x="425"/>
        <item x="299"/>
        <item x="63"/>
        <item x="965"/>
        <item x="186"/>
        <item x="804"/>
        <item x="626"/>
        <item x="456"/>
        <item x="160"/>
        <item x="141"/>
        <item x="167"/>
        <item x="792"/>
        <item x="868"/>
        <item x="745"/>
        <item x="113"/>
        <item x="603"/>
        <item x="19"/>
        <item x="177"/>
        <item x="248"/>
        <item x="941"/>
        <item x="110"/>
        <item x="463"/>
        <item x="820"/>
        <item x="933"/>
        <item x="371"/>
        <item x="691"/>
        <item x="312"/>
        <item x="720"/>
        <item x="171"/>
        <item x="115"/>
        <item x="911"/>
        <item x="121"/>
        <item x="634"/>
        <item x="494"/>
        <item x="342"/>
        <item x="710"/>
        <item x="909"/>
        <item x="331"/>
        <item x="317"/>
        <item x="107"/>
        <item x="892"/>
        <item x="525"/>
        <item x="143"/>
        <item x="416"/>
        <item x="75"/>
        <item x="484"/>
        <item x="866"/>
        <item x="256"/>
        <item x="514"/>
        <item x="460"/>
        <item x="600"/>
        <item x="198"/>
        <item x="433"/>
        <item x="217"/>
        <item x="73"/>
        <item x="903"/>
        <item x="859"/>
        <item x="739"/>
        <item x="772"/>
        <item x="883"/>
        <item x="736"/>
        <item x="438"/>
        <item x="668"/>
        <item x="985"/>
        <item x="20"/>
        <item x="245"/>
        <item x="768"/>
        <item x="995"/>
        <item x="246"/>
        <item x="522"/>
        <item x="617"/>
        <item x="777"/>
        <item x="948"/>
        <item x="100"/>
        <item x="35"/>
        <item x="358"/>
        <item x="492"/>
        <item x="149"/>
        <item x="386"/>
        <item x="676"/>
        <item x="690"/>
        <item x="39"/>
        <item x="374"/>
        <item x="243"/>
        <item x="592"/>
        <item x="829"/>
        <item x="194"/>
        <item x="252"/>
        <item x="11"/>
        <item x="991"/>
        <item x="512"/>
        <item x="367"/>
        <item x="703"/>
        <item x="148"/>
        <item x="380"/>
        <item x="473"/>
        <item x="210"/>
        <item x="871"/>
        <item x="905"/>
        <item x="722"/>
        <item x="971"/>
        <item x="658"/>
        <item x="323"/>
        <item x="185"/>
        <item x="262"/>
        <item x="951"/>
        <item x="3"/>
        <item x="591"/>
        <item x="746"/>
        <item x="502"/>
        <item x="894"/>
        <item x="945"/>
        <item x="513"/>
        <item x="734"/>
        <item x="96"/>
        <item x="305"/>
        <item x="164"/>
        <item x="686"/>
        <item x="470"/>
        <item x="228"/>
        <item x="516"/>
        <item x="517"/>
        <item x="523"/>
        <item x="98"/>
        <item x="199"/>
        <item x="766"/>
        <item x="459"/>
        <item x="453"/>
        <item x="176"/>
        <item x="751"/>
        <item x="565"/>
        <item x="806"/>
        <item x="407"/>
        <item x="437"/>
        <item x="120"/>
        <item x="816"/>
        <item x="881"/>
        <item x="767"/>
        <item x="70"/>
        <item x="236"/>
        <item x="309"/>
        <item x="656"/>
        <item x="654"/>
        <item x="449"/>
        <item x="842"/>
        <item x="360"/>
        <item x="507"/>
        <item x="773"/>
        <item x="774"/>
        <item x="508"/>
        <item x="224"/>
        <item x="426"/>
        <item x="607"/>
        <item x="794"/>
        <item x="895"/>
        <item x="297"/>
        <item x="17"/>
        <item x="596"/>
        <item x="267"/>
        <item x="311"/>
        <item x="78"/>
        <item x="237"/>
        <item x="943"/>
        <item x="53"/>
        <item x="531"/>
        <item x="708"/>
        <item x="106"/>
        <item x="259"/>
        <item x="495"/>
        <item x="605"/>
        <item x="685"/>
        <item x="22"/>
        <item x="688"/>
        <item x="427"/>
        <item x="170"/>
        <item x="585"/>
        <item x="735"/>
        <item x="973"/>
        <item x="898"/>
        <item x="932"/>
        <item x="189"/>
        <item x="418"/>
        <item x="301"/>
        <item x="655"/>
        <item x="156"/>
        <item x="412"/>
        <item x="60"/>
        <item x="896"/>
        <item x="56"/>
        <item x="93"/>
        <item x="648"/>
        <item x="681"/>
        <item x="589"/>
        <item x="442"/>
        <item x="707"/>
        <item x="562"/>
        <item x="117"/>
        <item x="501"/>
        <item x="631"/>
        <item x="808"/>
        <item x="836"/>
        <item x="620"/>
        <item x="247"/>
        <item x="758"/>
        <item x="447"/>
        <item x="552"/>
        <item x="891"/>
        <item x="279"/>
        <item x="116"/>
        <item x="799"/>
        <item x="348"/>
        <item x="852"/>
        <item x="64"/>
        <item x="287"/>
        <item x="721"/>
        <item x="165"/>
        <item x="249"/>
        <item x="31"/>
        <item x="560"/>
        <item x="340"/>
        <item x="778"/>
        <item x="355"/>
        <item x="901"/>
        <item x="1"/>
        <item x="61"/>
        <item x="457"/>
        <item x="856"/>
        <item x="519"/>
        <item x="66"/>
        <item x="162"/>
        <item x="378"/>
        <item x="68"/>
        <item x="400"/>
        <item x="543"/>
        <item x="315"/>
        <item x="823"/>
        <item x="142"/>
        <item x="953"/>
        <item x="361"/>
        <item x="421"/>
        <item x="65"/>
        <item x="278"/>
        <item x="830"/>
        <item x="388"/>
        <item x="697"/>
        <item x="499"/>
        <item x="351"/>
        <item x="571"/>
        <item x="770"/>
        <item x="803"/>
        <item x="853"/>
        <item x="221"/>
        <item x="4"/>
        <item x="274"/>
        <item x="119"/>
        <item x="368"/>
        <item x="725"/>
        <item x="848"/>
        <item x="715"/>
        <item x="307"/>
        <item x="538"/>
        <item x="450"/>
        <item x="467"/>
        <item x="482"/>
        <item x="444"/>
        <item x="732"/>
        <item x="874"/>
        <item x="916"/>
        <item x="576"/>
        <item x="802"/>
        <item x="536"/>
        <item x="349"/>
        <item x="533"/>
        <item x="293"/>
        <item x="554"/>
        <item x="674"/>
        <item x="364"/>
        <item x="899"/>
        <item x="372"/>
        <item x="101"/>
        <item x="771"/>
        <item x="963"/>
        <item x="241"/>
        <item x="322"/>
        <item x="182"/>
        <item x="51"/>
        <item x="111"/>
        <item x="264"/>
        <item x="146"/>
        <item x="567"/>
        <item x="404"/>
        <item x="469"/>
        <item x="180"/>
        <item x="924"/>
        <item x="743"/>
        <item x="347"/>
        <item x="316"/>
        <item x="566"/>
        <item x="229"/>
        <item x="333"/>
        <item x="608"/>
        <item x="637"/>
        <item x="394"/>
        <item x="440"/>
        <item x="376"/>
        <item x="458"/>
        <item x="6"/>
        <item x="328"/>
        <item x="125"/>
        <item x="327"/>
        <item x="152"/>
        <item x="296"/>
        <item x="54"/>
        <item x="748"/>
        <item x="917"/>
        <item x="542"/>
        <item x="343"/>
        <item x="424"/>
        <item x="276"/>
        <item x="580"/>
        <item x="172"/>
        <item x="302"/>
        <item x="308"/>
        <item x="209"/>
        <item x="126"/>
        <item x="7"/>
        <item x="44"/>
        <item x="493"/>
        <item x="461"/>
        <item x="683"/>
        <item x="633"/>
        <item x="21"/>
        <item x="435"/>
        <item x="613"/>
        <item x="955"/>
        <item x="136"/>
        <item x="356"/>
        <item x="207"/>
        <item x="665"/>
        <item x="133"/>
        <item x="960"/>
        <item x="188"/>
        <item x="574"/>
        <item x="904"/>
        <item x="431"/>
        <item x="414"/>
        <item x="642"/>
        <item x="783"/>
        <item x="709"/>
        <item x="220"/>
        <item x="184"/>
        <item x="682"/>
        <item x="290"/>
        <item x="753"/>
        <item x="497"/>
        <item x="511"/>
        <item x="341"/>
        <item x="716"/>
        <item x="288"/>
        <item x="41"/>
        <item x="926"/>
        <item x="159"/>
        <item x="889"/>
        <item x="140"/>
        <item x="918"/>
        <item x="373"/>
        <item x="705"/>
        <item x="462"/>
        <item x="784"/>
        <item x="643"/>
        <item x="397"/>
        <item x="584"/>
        <item x="714"/>
        <item x="387"/>
        <item x="870"/>
        <item x="692"/>
        <item x="128"/>
        <item x="629"/>
        <item x="956"/>
        <item x="624"/>
        <item x="260"/>
        <item x="819"/>
        <item x="232"/>
        <item x="173"/>
        <item x="653"/>
        <item x="798"/>
        <item x="755"/>
        <item x="661"/>
        <item x="79"/>
        <item x="471"/>
        <item x="570"/>
        <item x="58"/>
        <item x="598"/>
        <item x="37"/>
        <item x="8"/>
        <item x="811"/>
        <item x="69"/>
        <item x="330"/>
        <item x="810"/>
        <item x="652"/>
        <item x="964"/>
        <item x="776"/>
        <item x="860"/>
        <item x="981"/>
        <item x="921"/>
        <item x="902"/>
        <item x="166"/>
        <item x="505"/>
        <item x="439"/>
        <item x="234"/>
        <item x="500"/>
        <item x="689"/>
        <item x="430"/>
        <item x="593"/>
        <item x="83"/>
        <item x="490"/>
        <item x="550"/>
        <item x="84"/>
        <item x="383"/>
        <item x="67"/>
        <item x="822"/>
        <item x="419"/>
        <item x="575"/>
        <item x="527"/>
        <item x="545"/>
        <item x="200"/>
        <item x="448"/>
        <item x="740"/>
        <item x="597"/>
        <item x="569"/>
        <item x="214"/>
        <item x="231"/>
        <item x="277"/>
        <item x="582"/>
        <item x="244"/>
        <item x="181"/>
        <item x="369"/>
        <item x="144"/>
        <item x="313"/>
        <item x="977"/>
        <item x="298"/>
        <item x="839"/>
        <item x="761"/>
        <item x="127"/>
        <item x="62"/>
        <item x="712"/>
        <item x="0"/>
        <item x="815"/>
        <item x="625"/>
        <item x="854"/>
        <item x="273"/>
        <item x="922"/>
        <item x="187"/>
        <item x="55"/>
        <item x="420"/>
        <item x="980"/>
        <item x="289"/>
        <item x="649"/>
        <item x="76"/>
        <item x="834"/>
        <item x="590"/>
        <item x="45"/>
        <item x="218"/>
        <item x="946"/>
        <item x="118"/>
        <item x="250"/>
        <item x="997"/>
        <item x="359"/>
        <item x="529"/>
        <item x="936"/>
        <item x="698"/>
        <item x="50"/>
        <item x="395"/>
        <item x="515"/>
        <item x="553"/>
        <item x="581"/>
        <item x="10"/>
        <item x="962"/>
        <item x="845"/>
        <item x="205"/>
        <item x="239"/>
        <item x="988"/>
        <item x="551"/>
        <item x="556"/>
        <item x="398"/>
        <item x="451"/>
        <item x="782"/>
        <item x="346"/>
        <item x="504"/>
        <item x="998"/>
        <item x="978"/>
        <item x="564"/>
        <item x="885"/>
        <item x="949"/>
        <item x="16"/>
        <item x="357"/>
        <item x="337"/>
        <item x="957"/>
        <item x="150"/>
        <item x="211"/>
        <item x="362"/>
        <item x="824"/>
        <item x="882"/>
        <item x="879"/>
        <item x="959"/>
        <item x="466"/>
        <item x="818"/>
        <item x="153"/>
        <item x="321"/>
        <item x="269"/>
        <item x="644"/>
        <item x="900"/>
        <item x="48"/>
        <item x="518"/>
        <item x="310"/>
        <item x="339"/>
        <item x="32"/>
        <item x="489"/>
        <item x="275"/>
        <item x="202"/>
        <item x="701"/>
        <item x="704"/>
        <item x="157"/>
        <item x="987"/>
        <item x="215"/>
        <item x="664"/>
        <item x="366"/>
        <item x="257"/>
        <item x="787"/>
        <item x="615"/>
        <item x="406"/>
        <item x="28"/>
        <item x="832"/>
        <item x="206"/>
        <item x="938"/>
        <item x="59"/>
        <item x="875"/>
        <item x="541"/>
        <item x="498"/>
        <item x="240"/>
        <item x="954"/>
        <item x="195"/>
        <item x="843"/>
        <item x="572"/>
        <item x="213"/>
        <item x="744"/>
        <item x="639"/>
        <item x="789"/>
        <item x="645"/>
        <item x="930"/>
        <item x="713"/>
        <item x="750"/>
        <item x="912"/>
        <item x="26"/>
        <item x="344"/>
        <item x="86"/>
        <item x="303"/>
        <item x="729"/>
        <item x="40"/>
        <item x="131"/>
        <item x="555"/>
        <item x="524"/>
        <item x="413"/>
        <item x="837"/>
        <item x="130"/>
        <item x="338"/>
        <item x="728"/>
        <item x="334"/>
        <item x="57"/>
        <item x="379"/>
        <item x="706"/>
        <item x="13"/>
        <item x="549"/>
        <item x="77"/>
        <item x="465"/>
        <item x="226"/>
        <item x="242"/>
        <item x="197"/>
        <item x="821"/>
        <item x="410"/>
        <item x="409"/>
        <item x="105"/>
        <item x="583"/>
        <item x="884"/>
        <item x="817"/>
        <item x="9"/>
        <item x="640"/>
        <item x="586"/>
        <item x="702"/>
        <item x="719"/>
        <item x="695"/>
        <item x="578"/>
        <item x="935"/>
        <item x="14"/>
        <item x="80"/>
        <item x="958"/>
        <item x="851"/>
        <item x="114"/>
        <item x="174"/>
        <item x="760"/>
        <item x="132"/>
        <item x="961"/>
        <item x="204"/>
        <item x="178"/>
        <item x="423"/>
        <item x="201"/>
        <item x="693"/>
        <item x="611"/>
        <item x="295"/>
        <item x="71"/>
        <item x="731"/>
        <item x="650"/>
        <item x="737"/>
        <item x="475"/>
        <item x="989"/>
        <item x="558"/>
        <item x="867"/>
        <item x="30"/>
        <item x="230"/>
        <item x="886"/>
        <item x="711"/>
        <item x="984"/>
        <item x="929"/>
        <item x="844"/>
        <item x="657"/>
        <item x="992"/>
        <item x="876"/>
        <item x="161"/>
        <item x="87"/>
        <item x="993"/>
        <item x="405"/>
        <item x="139"/>
        <item x="646"/>
        <item x="765"/>
        <item x="833"/>
        <item x="928"/>
        <item x="89"/>
        <item x="429"/>
        <item x="2"/>
        <item x="670"/>
        <item x="539"/>
        <item x="291"/>
        <item x="402"/>
        <item x="726"/>
        <item x="49"/>
        <item x="81"/>
        <item x="865"/>
        <item x="679"/>
        <item x="890"/>
        <item x="826"/>
        <item x="350"/>
        <item x="595"/>
        <item x="727"/>
        <item x="619"/>
        <item x="477"/>
        <item x="602"/>
        <item x="300"/>
        <item x="759"/>
        <item x="861"/>
        <item x="123"/>
        <item x="129"/>
        <item x="797"/>
        <item x="680"/>
        <item x="939"/>
        <item x="452"/>
        <item x="940"/>
        <item x="788"/>
        <item x="521"/>
        <item x="910"/>
        <item x="915"/>
        <item x="272"/>
        <item x="795"/>
        <item x="781"/>
        <item x="944"/>
        <item x="840"/>
        <item x="526"/>
        <item x="52"/>
        <item x="627"/>
        <item x="669"/>
        <item x="92"/>
        <item x="970"/>
        <item x="487"/>
        <item x="233"/>
        <item x="594"/>
        <item x="377"/>
        <item x="24"/>
        <item x="855"/>
        <item x="864"/>
        <item x="254"/>
        <item x="208"/>
        <item x="97"/>
        <item x="318"/>
        <item x="225"/>
        <item x="496"/>
        <item x="540"/>
        <item x="212"/>
        <item x="485"/>
        <item x="908"/>
        <item x="375"/>
        <item x="937"/>
        <item x="677"/>
        <item x="390"/>
        <item x="261"/>
        <item x="925"/>
        <item x="888"/>
        <item x="800"/>
        <item x="785"/>
        <item x="478"/>
        <item x="138"/>
        <item x="294"/>
        <item x="559"/>
        <item x="392"/>
        <item x="647"/>
        <item x="671"/>
        <item x="464"/>
        <item x="102"/>
        <item x="769"/>
        <item x="72"/>
        <item x="873"/>
        <item x="503"/>
        <item x="967"/>
        <item x="747"/>
        <item x="304"/>
        <item x="841"/>
        <item x="678"/>
        <item x="982"/>
        <item x="109"/>
        <item x="972"/>
        <item x="846"/>
        <item x="280"/>
        <item x="622"/>
        <item x="155"/>
        <item x="573"/>
        <item x="764"/>
        <item x="752"/>
        <item x="286"/>
        <item x="793"/>
        <item x="548"/>
        <item x="488"/>
        <item x="700"/>
        <item x="42"/>
        <item x="952"/>
        <item x="474"/>
        <item x="863"/>
        <item x="696"/>
        <item x="577"/>
        <item x="667"/>
        <item x="491"/>
        <item x="145"/>
        <item x="472"/>
        <item x="756"/>
        <item x="599"/>
        <item x="99"/>
        <item x="684"/>
        <item x="835"/>
        <item x="353"/>
        <item x="85"/>
        <item x="805"/>
        <item x="281"/>
        <item x="763"/>
        <item x="326"/>
        <item x="660"/>
        <item x="345"/>
        <item x="796"/>
        <item x="724"/>
        <item x="733"/>
        <item x="292"/>
        <item x="486"/>
        <item x="428"/>
        <item x="636"/>
        <item x="434"/>
        <item x="544"/>
        <item x="255"/>
        <item x="445"/>
        <item x="880"/>
        <item x="266"/>
        <item x="329"/>
        <item x="807"/>
        <item x="122"/>
        <item x="638"/>
        <item x="191"/>
        <item x="284"/>
        <item x="422"/>
        <item x="606"/>
        <item x="612"/>
        <item x="618"/>
        <item x="717"/>
        <item x="609"/>
        <item x="363"/>
        <item x="814"/>
        <item x="483"/>
        <item x="986"/>
        <item x="227"/>
        <item x="934"/>
        <item x="532"/>
        <item x="268"/>
        <item x="12"/>
        <item x="258"/>
        <item x="927"/>
        <item x="968"/>
        <item x="907"/>
        <item x="969"/>
        <item x="974"/>
        <item x="432"/>
        <item x="537"/>
        <item x="108"/>
        <item x="158"/>
        <item x="443"/>
        <item x="623"/>
        <item x="382"/>
        <item x="314"/>
        <item x="25"/>
        <item x="831"/>
        <item x="791"/>
        <item x="779"/>
        <item x="332"/>
        <item x="827"/>
        <item x="47"/>
        <item x="906"/>
        <item x="190"/>
        <item x="809"/>
        <item x="535"/>
        <item x="223"/>
        <item x="104"/>
        <item x="270"/>
        <item x="699"/>
        <item x="385"/>
        <item x="391"/>
        <item x="534"/>
        <item x="319"/>
        <item x="192"/>
        <item x="354"/>
        <item x="878"/>
        <item x="738"/>
        <item x="687"/>
        <item x="812"/>
        <item x="947"/>
        <item x="975"/>
        <item x="265"/>
        <item x="389"/>
        <item x="632"/>
        <item x="325"/>
        <item x="742"/>
        <item x="15"/>
        <item x="614"/>
        <item x="203"/>
        <item x="857"/>
        <item x="238"/>
        <item x="95"/>
        <item x="403"/>
        <item x="436"/>
        <item x="384"/>
        <item x="151"/>
        <item x="825"/>
        <item x="813"/>
        <item x="29"/>
        <item x="979"/>
        <item x="801"/>
        <item x="757"/>
        <item x="455"/>
        <item x="587"/>
        <item x="628"/>
        <item x="651"/>
        <item x="923"/>
        <item x="27"/>
        <item x="175"/>
        <item x="480"/>
        <item x="996"/>
        <item x="91"/>
        <item x="193"/>
        <item x="561"/>
        <item x="786"/>
        <item x="528"/>
        <item x="18"/>
        <item x="775"/>
        <item x="183"/>
        <item x="169"/>
        <item x="718"/>
        <item x="520"/>
        <item x="506"/>
        <item x="411"/>
        <item x="610"/>
        <item x="893"/>
        <item x="976"/>
        <item x="468"/>
        <item x="306"/>
        <item x="966"/>
        <item x="396"/>
        <item x="135"/>
        <item x="36"/>
        <item x="137"/>
        <item x="335"/>
        <item x="253"/>
        <item x="417"/>
        <item x="399"/>
        <item x="754"/>
        <item x="46"/>
        <item x="103"/>
        <item x="219"/>
        <item x="663"/>
        <item x="994"/>
        <item x="666"/>
        <item x="263"/>
        <item x="694"/>
        <item x="401"/>
        <item x="621"/>
        <item x="673"/>
        <item x="730"/>
        <item x="897"/>
        <item x="547"/>
        <item x="320"/>
        <item x="828"/>
        <item x="630"/>
        <item x="847"/>
        <item x="370"/>
        <item x="454"/>
        <item x="858"/>
        <item x="352"/>
        <item x="88"/>
        <item x="82"/>
        <item x="723"/>
        <item x="168"/>
        <item x="780"/>
        <item x="510"/>
        <item x="887"/>
        <item x="134"/>
        <item x="838"/>
        <item x="124"/>
        <item x="931"/>
        <item x="283"/>
        <item x="216"/>
        <item x="415"/>
        <item x="476"/>
        <item x="749"/>
        <item x="983"/>
        <item x="479"/>
        <item x="568"/>
        <item x="196"/>
        <item x="365"/>
        <item x="790"/>
        <item x="616"/>
        <item x="869"/>
        <item x="112"/>
        <item x="850"/>
        <item x="38"/>
        <item x="762"/>
        <item x="324"/>
        <item x="163"/>
        <item x="877"/>
        <item x="408"/>
        <item x="920"/>
        <item x="282"/>
        <item x="33"/>
        <item x="741"/>
        <item x="849"/>
        <item x="659"/>
        <item x="914"/>
        <item x="94"/>
        <item x="446"/>
        <item x="271"/>
        <item x="481"/>
        <item x="604"/>
        <item x="557"/>
        <item x="672"/>
        <item x="381"/>
        <item t="default"/>
      </items>
    </pivotField>
    <pivotField numFmtId="164" showAll="0"/>
    <pivotField showAll="0"/>
    <pivotField showAll="0"/>
    <pivotField showAll="0"/>
    <pivotField showAll="0">
      <items count="989">
        <item x="245"/>
        <item x="758"/>
        <item x="41"/>
        <item x="677"/>
        <item x="376"/>
        <item x="624"/>
        <item x="264"/>
        <item x="728"/>
        <item x="654"/>
        <item x="597"/>
        <item x="275"/>
        <item x="17"/>
        <item x="606"/>
        <item x="457"/>
        <item x="835"/>
        <item x="980"/>
        <item x="371"/>
        <item x="933"/>
        <item x="308"/>
        <item x="987"/>
        <item x="206"/>
        <item x="203"/>
        <item x="82"/>
        <item x="497"/>
        <item x="241"/>
        <item x="288"/>
        <item x="826"/>
        <item x="474"/>
        <item x="437"/>
        <item x="58"/>
        <item x="861"/>
        <item x="519"/>
        <item x="383"/>
        <item x="689"/>
        <item x="294"/>
        <item x="921"/>
        <item x="433"/>
        <item x="698"/>
        <item x="128"/>
        <item x="797"/>
        <item x="614"/>
        <item x="65"/>
        <item x="622"/>
        <item x="720"/>
        <item x="702"/>
        <item x="971"/>
        <item x="428"/>
        <item x="146"/>
        <item x="25"/>
        <item x="496"/>
        <item x="792"/>
        <item x="957"/>
        <item x="488"/>
        <item x="252"/>
        <item x="491"/>
        <item x="57"/>
        <item x="958"/>
        <item x="84"/>
        <item x="21"/>
        <item x="501"/>
        <item x="747"/>
        <item x="23"/>
        <item x="175"/>
        <item x="320"/>
        <item x="334"/>
        <item x="655"/>
        <item x="70"/>
        <item x="172"/>
        <item x="565"/>
        <item x="315"/>
        <item x="346"/>
        <item x="887"/>
        <item x="896"/>
        <item x="648"/>
        <item x="459"/>
        <item x="718"/>
        <item x="302"/>
        <item x="890"/>
        <item x="505"/>
        <item x="754"/>
        <item x="185"/>
        <item x="904"/>
        <item x="358"/>
        <item x="905"/>
        <item x="213"/>
        <item x="369"/>
        <item x="344"/>
        <item x="234"/>
        <item x="714"/>
        <item x="764"/>
        <item x="13"/>
        <item x="438"/>
        <item x="974"/>
        <item x="557"/>
        <item x="297"/>
        <item x="674"/>
        <item x="424"/>
        <item x="912"/>
        <item x="478"/>
        <item x="962"/>
        <item x="28"/>
        <item x="851"/>
        <item x="335"/>
        <item x="930"/>
        <item x="662"/>
        <item x="116"/>
        <item x="696"/>
        <item x="129"/>
        <item x="239"/>
        <item x="351"/>
        <item x="645"/>
        <item x="138"/>
        <item x="97"/>
        <item x="396"/>
        <item x="293"/>
        <item x="406"/>
        <item x="574"/>
        <item x="373"/>
        <item x="372"/>
        <item x="270"/>
        <item x="831"/>
        <item x="735"/>
        <item x="77"/>
        <item x="425"/>
        <item x="541"/>
        <item x="219"/>
        <item x="903"/>
        <item x="583"/>
        <item x="862"/>
        <item x="939"/>
        <item x="612"/>
        <item x="411"/>
        <item x="723"/>
        <item x="186"/>
        <item x="615"/>
        <item x="668"/>
        <item x="339"/>
        <item x="34"/>
        <item x="966"/>
        <item x="584"/>
        <item x="800"/>
        <item x="716"/>
        <item x="142"/>
        <item x="611"/>
        <item x="60"/>
        <item x="361"/>
        <item x="756"/>
        <item x="322"/>
        <item x="593"/>
        <item x="703"/>
        <item x="813"/>
        <item x="544"/>
        <item x="147"/>
        <item x="578"/>
        <item x="221"/>
        <item x="946"/>
        <item x="283"/>
        <item x="560"/>
        <item x="276"/>
        <item x="936"/>
        <item x="950"/>
        <item x="649"/>
        <item x="444"/>
        <item x="599"/>
        <item x="535"/>
        <item x="546"/>
        <item x="200"/>
        <item x="475"/>
        <item x="929"/>
        <item x="538"/>
        <item x="779"/>
        <item x="298"/>
        <item x="214"/>
        <item x="568"/>
        <item x="418"/>
        <item x="571"/>
        <item x="855"/>
        <item x="853"/>
        <item x="246"/>
        <item x="527"/>
        <item x="348"/>
        <item x="858"/>
        <item x="261"/>
        <item x="886"/>
        <item x="774"/>
        <item x="74"/>
        <item x="607"/>
        <item x="121"/>
        <item x="924"/>
        <item x="740"/>
        <item x="201"/>
        <item x="934"/>
        <item x="646"/>
        <item x="176"/>
        <item x="148"/>
        <item x="476"/>
        <item x="617"/>
        <item x="208"/>
        <item x="362"/>
        <item x="250"/>
        <item x="872"/>
        <item x="951"/>
        <item x="224"/>
        <item x="151"/>
        <item x="120"/>
        <item x="182"/>
        <item x="927"/>
        <item x="915"/>
        <item x="69"/>
        <item x="812"/>
        <item x="439"/>
        <item x="183"/>
        <item x="233"/>
        <item x="111"/>
        <item x="961"/>
        <item x="678"/>
        <item x="66"/>
        <item x="332"/>
        <item x="605"/>
        <item x="661"/>
        <item x="504"/>
        <item x="229"/>
        <item x="49"/>
        <item x="107"/>
        <item x="618"/>
        <item x="949"/>
        <item x="93"/>
        <item x="431"/>
        <item x="395"/>
        <item x="462"/>
        <item x="817"/>
        <item x="168"/>
        <item x="265"/>
        <item x="42"/>
        <item x="610"/>
        <item x="900"/>
        <item x="823"/>
        <item x="54"/>
        <item x="392"/>
        <item x="269"/>
        <item x="874"/>
        <item x="227"/>
        <item x="337"/>
        <item x="188"/>
        <item x="305"/>
        <item x="30"/>
        <item x="387"/>
        <item x="704"/>
        <item x="291"/>
        <item x="379"/>
        <item x="536"/>
        <item x="965"/>
        <item x="849"/>
        <item x="461"/>
        <item x="356"/>
        <item x="296"/>
        <item x="178"/>
        <item x="637"/>
        <item x="531"/>
        <item x="409"/>
        <item x="970"/>
        <item x="899"/>
        <item x="364"/>
        <item x="114"/>
        <item x="27"/>
        <item x="68"/>
        <item x="592"/>
        <item x="829"/>
        <item x="947"/>
        <item x="906"/>
        <item x="561"/>
        <item x="113"/>
        <item x="799"/>
        <item x="432"/>
        <item x="931"/>
        <item x="801"/>
        <item x="726"/>
        <item x="693"/>
        <item x="435"/>
        <item x="922"/>
        <item x="390"/>
        <item x="408"/>
        <item x="465"/>
        <item x="389"/>
        <item x="558"/>
        <item x="730"/>
        <item x="616"/>
        <item x="712"/>
        <item x="719"/>
        <item x="46"/>
        <item x="336"/>
        <item x="112"/>
        <item x="768"/>
        <item x="744"/>
        <item x="736"/>
        <item x="167"/>
        <item x="630"/>
        <item x="104"/>
        <item x="881"/>
        <item x="343"/>
        <item x="761"/>
        <item x="724"/>
        <item x="15"/>
        <item x="867"/>
        <item x="498"/>
        <item x="625"/>
        <item x="773"/>
        <item x="258"/>
        <item x="416"/>
        <item x="284"/>
        <item x="556"/>
        <item x="89"/>
        <item x="517"/>
        <item x="7"/>
        <item x="228"/>
        <item x="126"/>
        <item x="787"/>
        <item x="403"/>
        <item x="894"/>
        <item x="600"/>
        <item x="181"/>
        <item x="103"/>
        <item x="386"/>
        <item x="879"/>
        <item x="158"/>
        <item x="809"/>
        <item x="869"/>
        <item x="502"/>
        <item x="897"/>
        <item x="748"/>
        <item x="641"/>
        <item x="96"/>
        <item x="603"/>
        <item x="468"/>
        <item x="157"/>
        <item x="197"/>
        <item x="253"/>
        <item x="579"/>
        <item x="746"/>
        <item x="300"/>
        <item x="36"/>
        <item x="814"/>
        <item x="743"/>
        <item x="676"/>
        <item x="149"/>
        <item x="635"/>
        <item x="378"/>
        <item x="407"/>
        <item x="577"/>
        <item x="512"/>
        <item x="160"/>
        <item x="843"/>
        <item x="117"/>
        <item x="59"/>
        <item x="511"/>
        <item x="918"/>
        <item x="530"/>
        <item x="450"/>
        <item x="652"/>
        <item x="722"/>
        <item x="806"/>
        <item x="499"/>
        <item x="781"/>
        <item x="902"/>
        <item x="452"/>
        <item x="436"/>
        <item x="914"/>
        <item x="842"/>
        <item x="442"/>
        <item x="426"/>
        <item x="960"/>
        <item x="804"/>
        <item x="901"/>
        <item x="365"/>
        <item x="515"/>
        <item x="427"/>
        <item x="20"/>
        <item x="500"/>
        <item x="880"/>
        <item x="969"/>
        <item x="839"/>
        <item x="650"/>
        <item x="405"/>
        <item x="191"/>
        <item x="506"/>
        <item x="393"/>
        <item x="715"/>
        <item x="576"/>
        <item x="852"/>
        <item x="508"/>
        <item x="285"/>
        <item x="725"/>
        <item x="360"/>
        <item x="1"/>
        <item x="155"/>
        <item x="136"/>
        <item x="220"/>
        <item x="911"/>
        <item x="16"/>
        <item x="964"/>
        <item x="952"/>
        <item x="51"/>
        <item x="596"/>
        <item x="609"/>
        <item x="352"/>
        <item x="156"/>
        <item x="683"/>
        <item x="547"/>
        <item x="932"/>
        <item x="105"/>
        <item x="380"/>
        <item x="385"/>
        <item x="798"/>
        <item x="222"/>
        <item x="846"/>
        <item x="353"/>
        <item x="733"/>
        <item x="12"/>
        <item x="190"/>
        <item x="681"/>
        <item x="350"/>
        <item x="523"/>
        <item x="210"/>
        <item x="464"/>
        <item x="694"/>
        <item x="230"/>
        <item x="273"/>
        <item x="660"/>
        <item x="139"/>
        <item x="673"/>
        <item x="542"/>
        <item x="539"/>
        <item x="137"/>
        <item x="690"/>
        <item x="35"/>
        <item x="110"/>
        <item x="666"/>
        <item x="171"/>
        <item x="479"/>
        <item x="87"/>
        <item x="170"/>
        <item x="628"/>
        <item x="619"/>
        <item x="782"/>
        <item x="555"/>
        <item x="559"/>
        <item x="816"/>
        <item x="513"/>
        <item x="763"/>
        <item x="586"/>
        <item x="471"/>
        <item x="80"/>
        <item x="695"/>
        <item x="202"/>
        <item x="981"/>
        <item x="825"/>
        <item x="778"/>
        <item x="494"/>
        <item x="140"/>
        <item x="249"/>
        <item x="340"/>
        <item x="644"/>
        <item x="820"/>
        <item x="64"/>
        <item x="303"/>
        <item x="44"/>
        <item x="381"/>
        <item x="166"/>
        <item x="394"/>
        <item x="223"/>
        <item x="838"/>
        <item x="347"/>
        <item x="398"/>
        <item x="47"/>
        <item x="943"/>
        <item x="821"/>
        <item x="306"/>
        <item x="977"/>
        <item x="286"/>
        <item x="938"/>
        <item x="524"/>
        <item x="268"/>
        <item x="321"/>
        <item x="581"/>
        <item x="10"/>
        <item x="878"/>
        <item x="174"/>
        <item x="620"/>
        <item x="859"/>
        <item x="543"/>
        <item x="440"/>
        <item x="550"/>
        <item x="412"/>
        <item x="834"/>
        <item x="833"/>
        <item x="391"/>
        <item x="329"/>
        <item x="374"/>
        <item x="567"/>
        <item x="749"/>
        <item x="37"/>
        <item x="935"/>
        <item x="247"/>
        <item x="766"/>
        <item x="709"/>
        <item x="827"/>
        <item x="729"/>
        <item x="79"/>
        <item x="551"/>
        <item x="22"/>
        <item x="401"/>
        <item x="115"/>
        <item x="520"/>
        <item x="920"/>
        <item x="876"/>
        <item x="824"/>
        <item x="907"/>
        <item x="45"/>
        <item x="752"/>
        <item x="710"/>
        <item x="152"/>
        <item x="533"/>
        <item x="290"/>
        <item x="430"/>
        <item x="53"/>
        <item x="595"/>
        <item x="864"/>
        <item x="132"/>
        <item x="240"/>
        <item x="67"/>
        <item x="212"/>
        <item x="979"/>
        <item x="480"/>
        <item x="199"/>
        <item x="254"/>
        <item x="134"/>
        <item x="898"/>
        <item x="518"/>
        <item x="421"/>
        <item x="664"/>
        <item x="349"/>
        <item x="569"/>
        <item x="870"/>
        <item x="312"/>
        <item x="522"/>
        <item x="26"/>
        <item x="534"/>
        <item x="701"/>
        <item x="882"/>
        <item x="467"/>
        <item x="658"/>
        <item x="634"/>
        <item x="244"/>
        <item x="594"/>
        <item x="109"/>
        <item x="783"/>
        <item x="721"/>
        <item x="14"/>
        <item x="204"/>
        <item x="765"/>
        <item x="122"/>
        <item x="485"/>
        <item x="832"/>
        <item x="260"/>
        <item x="510"/>
        <item x="871"/>
        <item x="780"/>
        <item x="417"/>
        <item x="75"/>
        <item x="629"/>
        <item x="272"/>
        <item x="788"/>
        <item x="282"/>
        <item x="983"/>
        <item x="863"/>
        <item x="653"/>
        <item x="307"/>
        <item x="328"/>
        <item x="363"/>
        <item x="448"/>
        <item x="215"/>
        <item x="279"/>
        <item x="9"/>
        <item x="311"/>
        <item x="563"/>
        <item x="81"/>
        <item x="86"/>
        <item x="769"/>
        <item x="888"/>
        <item x="587"/>
        <item x="141"/>
        <item x="24"/>
        <item x="90"/>
        <item x="818"/>
        <item x="537"/>
        <item x="292"/>
        <item x="88"/>
        <item x="48"/>
        <item x="487"/>
        <item x="309"/>
        <item x="771"/>
        <item x="937"/>
        <item x="711"/>
        <item x="404"/>
        <item x="489"/>
        <item x="967"/>
        <item x="159"/>
        <item x="6"/>
        <item x="928"/>
        <item x="33"/>
        <item x="441"/>
        <item x="29"/>
        <item x="108"/>
        <item x="162"/>
        <item x="423"/>
        <item x="106"/>
        <item x="287"/>
        <item x="310"/>
        <item x="608"/>
        <item x="908"/>
        <item x="78"/>
        <item x="243"/>
        <item x="456"/>
        <item x="913"/>
        <item x="359"/>
        <item x="384"/>
        <item x="255"/>
        <item x="953"/>
        <item x="154"/>
        <item x="492"/>
        <item x="266"/>
        <item x="422"/>
        <item x="982"/>
        <item x="802"/>
        <item x="323"/>
        <item x="278"/>
        <item x="135"/>
        <item x="5"/>
        <item x="697"/>
        <item x="125"/>
        <item x="95"/>
        <item x="451"/>
        <item x="700"/>
        <item x="811"/>
        <item x="420"/>
        <item x="613"/>
        <item x="144"/>
        <item x="944"/>
        <item x="986"/>
        <item x="598"/>
        <item x="762"/>
        <item x="633"/>
        <item x="738"/>
        <item x="807"/>
        <item x="968"/>
        <item x="164"/>
        <item x="753"/>
        <item x="211"/>
        <item x="63"/>
        <item x="796"/>
        <item x="179"/>
        <item x="333"/>
        <item x="367"/>
        <item x="304"/>
        <item x="626"/>
        <item x="289"/>
        <item x="189"/>
        <item x="884"/>
        <item x="956"/>
        <item x="795"/>
        <item x="231"/>
        <item x="330"/>
        <item x="313"/>
        <item x="150"/>
        <item x="656"/>
        <item x="18"/>
        <item x="840"/>
        <item x="458"/>
        <item x="493"/>
        <item x="755"/>
        <item x="327"/>
        <item x="325"/>
        <item x="545"/>
        <item x="910"/>
        <item x="671"/>
        <item x="180"/>
        <item x="521"/>
        <item x="985"/>
        <item x="145"/>
        <item x="341"/>
        <item x="301"/>
        <item x="873"/>
        <item x="841"/>
        <item x="945"/>
        <item x="281"/>
        <item x="865"/>
        <item x="830"/>
        <item x="699"/>
        <item x="585"/>
        <item x="477"/>
        <item x="785"/>
        <item x="640"/>
        <item x="889"/>
        <item x="562"/>
        <item x="684"/>
        <item x="52"/>
        <item x="119"/>
        <item x="837"/>
        <item x="707"/>
        <item x="856"/>
        <item x="445"/>
        <item x="860"/>
        <item x="601"/>
        <item x="127"/>
        <item x="400"/>
        <item x="143"/>
        <item x="643"/>
        <item x="124"/>
        <item x="331"/>
        <item x="271"/>
        <item x="299"/>
        <item x="262"/>
        <item x="153"/>
        <item x="446"/>
        <item x="368"/>
        <item x="810"/>
        <item x="72"/>
        <item x="866"/>
        <item x="0"/>
        <item x="280"/>
        <item x="503"/>
        <item x="274"/>
        <item x="195"/>
        <item x="940"/>
        <item x="415"/>
        <item x="892"/>
        <item x="2"/>
        <item x="55"/>
        <item x="32"/>
        <item x="3"/>
        <item x="942"/>
        <item x="295"/>
        <item x="483"/>
        <item x="552"/>
        <item x="717"/>
        <item x="277"/>
        <item x="808"/>
        <item x="732"/>
        <item x="665"/>
        <item x="734"/>
        <item x="73"/>
        <item x="776"/>
        <item x="101"/>
        <item x="750"/>
        <item x="948"/>
        <item x="575"/>
        <item x="554"/>
        <item x="955"/>
        <item x="692"/>
        <item x="413"/>
        <item x="588"/>
        <item x="984"/>
        <item x="338"/>
        <item x="509"/>
        <item x="447"/>
        <item x="133"/>
        <item x="627"/>
        <item x="187"/>
        <item x="636"/>
        <item x="469"/>
        <item x="954"/>
        <item x="429"/>
        <item x="8"/>
        <item x="256"/>
        <item x="672"/>
        <item x="314"/>
        <item x="169"/>
        <item x="589"/>
        <item x="165"/>
        <item x="623"/>
        <item x="218"/>
        <item x="205"/>
        <item x="38"/>
        <item x="845"/>
        <item x="975"/>
        <item x="455"/>
        <item x="741"/>
        <item x="316"/>
        <item x="43"/>
        <item x="402"/>
        <item x="760"/>
        <item x="923"/>
        <item x="883"/>
        <item x="397"/>
        <item x="659"/>
        <item x="248"/>
        <item x="877"/>
        <item x="399"/>
        <item x="193"/>
        <item x="98"/>
        <item x="772"/>
        <item x="375"/>
        <item x="638"/>
        <item x="388"/>
        <item x="767"/>
        <item x="891"/>
        <item x="784"/>
        <item x="56"/>
        <item x="675"/>
        <item x="708"/>
        <item x="532"/>
        <item x="481"/>
        <item x="99"/>
        <item x="507"/>
        <item x="19"/>
        <item x="40"/>
        <item x="916"/>
        <item x="454"/>
        <item x="449"/>
        <item x="770"/>
        <item x="850"/>
        <item x="91"/>
        <item x="259"/>
        <item x="685"/>
        <item x="682"/>
        <item x="490"/>
        <item x="184"/>
        <item x="848"/>
        <item x="76"/>
        <item x="745"/>
        <item x="161"/>
        <item x="102"/>
        <item x="549"/>
        <item x="100"/>
        <item x="688"/>
        <item x="553"/>
        <item x="972"/>
        <item x="232"/>
        <item x="757"/>
        <item x="828"/>
        <item x="727"/>
        <item x="196"/>
        <item x="83"/>
        <item x="216"/>
        <item x="92"/>
        <item x="919"/>
        <item x="895"/>
        <item x="237"/>
        <item x="819"/>
        <item x="631"/>
        <item x="857"/>
        <item x="410"/>
        <item x="836"/>
        <item x="679"/>
        <item x="495"/>
        <item x="526"/>
        <item x="548"/>
        <item x="366"/>
        <item x="50"/>
        <item x="242"/>
        <item x="484"/>
        <item x="591"/>
        <item x="963"/>
        <item x="570"/>
        <item x="805"/>
        <item x="647"/>
        <item x="209"/>
        <item x="419"/>
        <item x="667"/>
        <item x="238"/>
        <item x="670"/>
        <item x="639"/>
        <item x="604"/>
        <item x="794"/>
        <item x="486"/>
        <item x="326"/>
        <item x="370"/>
        <item x="621"/>
        <item x="528"/>
        <item x="680"/>
        <item x="844"/>
        <item x="31"/>
        <item x="572"/>
        <item x="516"/>
        <item x="759"/>
        <item x="775"/>
        <item x="978"/>
        <item x="466"/>
        <item x="793"/>
        <item x="737"/>
        <item x="529"/>
        <item x="473"/>
        <item x="354"/>
        <item x="470"/>
        <item x="434"/>
        <item x="651"/>
        <item x="847"/>
        <item x="686"/>
        <item x="4"/>
        <item x="941"/>
        <item x="525"/>
        <item x="163"/>
        <item x="564"/>
        <item x="893"/>
        <item x="123"/>
        <item x="267"/>
        <item x="751"/>
        <item x="885"/>
        <item x="192"/>
        <item x="342"/>
        <item x="463"/>
        <item x="460"/>
        <item x="317"/>
        <item x="739"/>
        <item x="235"/>
        <item x="632"/>
        <item x="355"/>
        <item x="319"/>
        <item x="85"/>
        <item x="777"/>
        <item x="642"/>
        <item x="318"/>
        <item x="790"/>
        <item x="357"/>
        <item x="207"/>
        <item x="822"/>
        <item x="131"/>
        <item x="118"/>
        <item x="657"/>
        <item x="414"/>
        <item x="257"/>
        <item x="580"/>
        <item x="71"/>
        <item x="62"/>
        <item x="909"/>
        <item x="217"/>
        <item x="854"/>
        <item x="713"/>
        <item x="602"/>
        <item x="263"/>
        <item x="687"/>
        <item x="976"/>
        <item x="582"/>
        <item x="706"/>
        <item x="926"/>
        <item x="803"/>
        <item x="94"/>
        <item x="225"/>
        <item x="925"/>
        <item x="786"/>
        <item x="731"/>
        <item x="173"/>
        <item x="251"/>
        <item x="177"/>
        <item x="973"/>
        <item x="198"/>
        <item x="324"/>
        <item x="377"/>
        <item x="815"/>
        <item x="236"/>
        <item x="789"/>
        <item x="590"/>
        <item x="194"/>
        <item x="39"/>
        <item x="669"/>
        <item x="566"/>
        <item x="382"/>
        <item x="573"/>
        <item x="663"/>
        <item x="705"/>
        <item x="443"/>
        <item x="514"/>
        <item x="917"/>
        <item x="345"/>
        <item x="453"/>
        <item x="61"/>
        <item x="875"/>
        <item x="472"/>
        <item x="959"/>
        <item x="691"/>
        <item x="482"/>
        <item x="868"/>
        <item x="130"/>
        <item x="540"/>
        <item x="791"/>
        <item x="742"/>
        <item x="226"/>
        <item x="1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9">
        <item sd="0" x="2"/>
        <item x="3"/>
        <item sd="0" x="5"/>
        <item sd="0" x="6"/>
        <item sd="0" x="4"/>
        <item sd="0" x="0"/>
        <item sd="0" x="1"/>
        <item m="1" x="7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3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m="1" x="21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55">
        <item x="304"/>
        <item x="269"/>
        <item x="185"/>
        <item x="31"/>
        <item x="217"/>
        <item x="95"/>
        <item x="241"/>
        <item x="342"/>
        <item x="84"/>
        <item x="340"/>
        <item x="165"/>
        <item x="125"/>
        <item x="157"/>
        <item x="136"/>
        <item x="76"/>
        <item x="353"/>
        <item x="302"/>
        <item x="230"/>
        <item x="350"/>
        <item x="40"/>
        <item x="166"/>
        <item x="234"/>
        <item x="315"/>
        <item x="42"/>
        <item x="248"/>
        <item x="266"/>
        <item x="345"/>
        <item x="138"/>
        <item x="67"/>
        <item x="3"/>
        <item x="203"/>
        <item x="123"/>
        <item x="235"/>
        <item x="317"/>
        <item x="254"/>
        <item x="109"/>
        <item x="250"/>
        <item x="154"/>
        <item x="244"/>
        <item x="143"/>
        <item x="148"/>
        <item x="155"/>
        <item x="198"/>
        <item x="101"/>
        <item x="219"/>
        <item x="47"/>
        <item x="310"/>
        <item x="323"/>
        <item x="216"/>
        <item x="46"/>
        <item x="249"/>
        <item x="314"/>
        <item x="251"/>
        <item x="190"/>
        <item x="330"/>
        <item x="282"/>
        <item x="111"/>
        <item x="115"/>
        <item x="343"/>
        <item x="60"/>
        <item x="305"/>
        <item x="201"/>
        <item x="331"/>
        <item x="105"/>
        <item x="10"/>
        <item x="208"/>
        <item x="93"/>
        <item x="104"/>
        <item x="20"/>
        <item x="191"/>
        <item x="329"/>
        <item x="75"/>
        <item x="228"/>
        <item x="271"/>
        <item x="177"/>
        <item x="32"/>
        <item x="339"/>
        <item x="187"/>
        <item x="349"/>
        <item x="229"/>
        <item x="65"/>
        <item x="333"/>
        <item x="145"/>
        <item x="215"/>
        <item x="242"/>
        <item x="258"/>
        <item x="178"/>
        <item x="270"/>
        <item x="152"/>
        <item x="179"/>
        <item x="16"/>
        <item x="142"/>
        <item x="308"/>
        <item x="318"/>
        <item x="124"/>
        <item x="57"/>
        <item x="291"/>
        <item x="169"/>
        <item x="1"/>
        <item x="296"/>
        <item x="320"/>
        <item x="257"/>
        <item x="238"/>
        <item x="335"/>
        <item x="321"/>
        <item x="120"/>
        <item x="295"/>
        <item x="163"/>
        <item x="199"/>
        <item x="102"/>
        <item x="287"/>
        <item x="280"/>
        <item x="21"/>
        <item x="288"/>
        <item x="83"/>
        <item x="336"/>
        <item x="240"/>
        <item x="283"/>
        <item x="297"/>
        <item x="79"/>
        <item x="78"/>
        <item x="87"/>
        <item x="284"/>
        <item x="100"/>
        <item x="28"/>
        <item x="45"/>
        <item x="306"/>
        <item x="49"/>
        <item x="70"/>
        <item x="91"/>
        <item x="252"/>
        <item x="94"/>
        <item x="71"/>
        <item x="52"/>
        <item x="183"/>
        <item x="56"/>
        <item x="151"/>
        <item x="51"/>
        <item x="69"/>
        <item x="43"/>
        <item x="279"/>
        <item x="227"/>
        <item x="18"/>
        <item x="15"/>
        <item x="7"/>
        <item x="348"/>
        <item x="161"/>
        <item x="256"/>
        <item x="26"/>
        <item x="232"/>
        <item x="63"/>
        <item x="184"/>
        <item x="135"/>
        <item x="316"/>
        <item x="160"/>
        <item x="167"/>
        <item x="77"/>
        <item x="110"/>
        <item x="59"/>
        <item x="149"/>
        <item x="12"/>
        <item x="121"/>
        <item x="312"/>
        <item x="276"/>
        <item x="221"/>
        <item x="209"/>
        <item x="114"/>
        <item x="328"/>
        <item x="298"/>
        <item x="294"/>
        <item x="200"/>
        <item x="134"/>
        <item x="214"/>
        <item x="33"/>
        <item x="289"/>
        <item x="90"/>
        <item x="192"/>
        <item x="82"/>
        <item x="5"/>
        <item x="277"/>
        <item x="324"/>
        <item x="180"/>
        <item x="35"/>
        <item x="34"/>
        <item x="231"/>
        <item x="322"/>
        <item x="347"/>
        <item x="29"/>
        <item x="128"/>
        <item x="263"/>
        <item x="17"/>
        <item x="30"/>
        <item x="313"/>
        <item x="150"/>
        <item x="341"/>
        <item x="247"/>
        <item x="246"/>
        <item x="133"/>
        <item x="275"/>
        <item x="281"/>
        <item x="233"/>
        <item x="53"/>
        <item x="175"/>
        <item x="62"/>
        <item x="273"/>
        <item x="116"/>
        <item x="119"/>
        <item x="144"/>
        <item x="24"/>
        <item x="286"/>
        <item x="210"/>
        <item x="2"/>
        <item x="27"/>
        <item x="267"/>
        <item x="188"/>
        <item x="170"/>
        <item x="64"/>
        <item x="86"/>
        <item x="38"/>
        <item x="272"/>
        <item x="73"/>
        <item x="74"/>
        <item x="290"/>
        <item x="41"/>
        <item x="255"/>
        <item x="337"/>
        <item x="153"/>
        <item x="182"/>
        <item x="193"/>
        <item x="332"/>
        <item x="325"/>
        <item x="261"/>
        <item x="68"/>
        <item x="36"/>
        <item x="226"/>
        <item x="172"/>
        <item x="159"/>
        <item x="212"/>
        <item x="211"/>
        <item x="168"/>
        <item x="146"/>
        <item x="260"/>
        <item x="301"/>
        <item x="173"/>
        <item x="156"/>
        <item x="113"/>
        <item x="85"/>
        <item x="195"/>
        <item x="206"/>
        <item x="55"/>
        <item x="129"/>
        <item x="319"/>
        <item x="309"/>
        <item x="39"/>
        <item x="268"/>
        <item x="23"/>
        <item x="236"/>
        <item x="292"/>
        <item x="264"/>
        <item x="99"/>
        <item x="25"/>
        <item x="141"/>
        <item x="218"/>
        <item x="4"/>
        <item x="92"/>
        <item x="205"/>
        <item x="54"/>
        <item x="262"/>
        <item x="140"/>
        <item x="237"/>
        <item x="186"/>
        <item x="72"/>
        <item x="162"/>
        <item x="8"/>
        <item x="126"/>
        <item x="207"/>
        <item x="103"/>
        <item x="245"/>
        <item x="176"/>
        <item x="300"/>
        <item x="98"/>
        <item x="171"/>
        <item x="224"/>
        <item x="344"/>
        <item x="274"/>
        <item x="58"/>
        <item x="285"/>
        <item x="278"/>
        <item x="202"/>
        <item x="137"/>
        <item x="299"/>
        <item x="307"/>
        <item x="222"/>
        <item x="97"/>
        <item x="259"/>
        <item x="117"/>
        <item x="130"/>
        <item x="118"/>
        <item x="213"/>
        <item x="223"/>
        <item x="6"/>
        <item x="243"/>
        <item x="106"/>
        <item x="131"/>
        <item x="352"/>
        <item x="61"/>
        <item x="311"/>
        <item x="48"/>
        <item x="80"/>
        <item x="11"/>
        <item x="327"/>
        <item x="338"/>
        <item x="204"/>
        <item x="89"/>
        <item x="14"/>
        <item x="181"/>
        <item x="13"/>
        <item x="293"/>
        <item x="174"/>
        <item x="22"/>
        <item x="253"/>
        <item x="147"/>
        <item x="303"/>
        <item x="127"/>
        <item x="9"/>
        <item x="81"/>
        <item x="239"/>
        <item x="112"/>
        <item x="107"/>
        <item x="50"/>
        <item x="19"/>
        <item x="164"/>
        <item x="88"/>
        <item x="139"/>
        <item x="351"/>
        <item x="326"/>
        <item x="44"/>
        <item x="66"/>
        <item x="122"/>
        <item x="37"/>
        <item x="225"/>
        <item x="265"/>
        <item x="197"/>
        <item x="334"/>
        <item x="132"/>
        <item x="189"/>
        <item x="96"/>
        <item x="158"/>
        <item x="196"/>
        <item x="108"/>
        <item x="194"/>
        <item x="220"/>
        <item x="346"/>
        <item x="0"/>
        <item t="default"/>
      </items>
    </pivotField>
    <pivotField numFmtId="164" showAll="0"/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axis="axisCol" showAll="0">
      <items count="5">
        <item h="1" x="1"/>
        <item h="1" x="0"/>
        <item x="2"/>
        <item h="1" x="3"/>
        <item t="default"/>
      </items>
    </pivotField>
    <pivotField axis="axisRow" showAll="0">
      <items count="7">
        <item x="4"/>
        <item x="2"/>
        <item h="1" x="1"/>
        <item x="3"/>
        <item x="0"/>
        <item x="5"/>
        <item t="default"/>
      </items>
    </pivotField>
    <pivotField showAll="0"/>
    <pivotField showAll="0"/>
    <pivotField showAll="0">
      <items count="1000">
        <item x="83"/>
        <item x="102"/>
        <item x="904"/>
        <item x="794"/>
        <item x="340"/>
        <item x="846"/>
        <item x="933"/>
        <item x="399"/>
        <item x="130"/>
        <item x="320"/>
        <item x="298"/>
        <item x="92"/>
        <item x="926"/>
        <item x="800"/>
        <item x="678"/>
        <item x="352"/>
        <item x="64"/>
        <item x="383"/>
        <item x="972"/>
        <item x="126"/>
        <item x="564"/>
        <item x="275"/>
        <item x="63"/>
        <item x="236"/>
        <item x="780"/>
        <item x="893"/>
        <item x="586"/>
        <item x="324"/>
        <item x="971"/>
        <item x="502"/>
        <item x="481"/>
        <item x="90"/>
        <item x="758"/>
        <item x="319"/>
        <item x="871"/>
        <item x="347"/>
        <item x="821"/>
        <item x="270"/>
        <item x="806"/>
        <item x="769"/>
        <item x="562"/>
        <item x="788"/>
        <item x="152"/>
        <item x="998"/>
        <item x="739"/>
        <item x="799"/>
        <item x="111"/>
        <item x="867"/>
        <item x="882"/>
        <item x="569"/>
        <item x="328"/>
        <item x="409"/>
        <item x="673"/>
        <item x="705"/>
        <item x="496"/>
        <item x="494"/>
        <item x="144"/>
        <item x="335"/>
        <item x="790"/>
        <item x="621"/>
        <item x="362"/>
        <item x="10"/>
        <item x="158"/>
        <item x="879"/>
        <item x="519"/>
        <item x="859"/>
        <item x="384"/>
        <item x="124"/>
        <item x="477"/>
        <item x="746"/>
        <item x="863"/>
        <item x="118"/>
        <item x="992"/>
        <item x="943"/>
        <item x="429"/>
        <item x="96"/>
        <item x="159"/>
        <item x="584"/>
        <item x="43"/>
        <item x="991"/>
        <item x="380"/>
        <item x="632"/>
        <item x="462"/>
        <item x="839"/>
        <item x="648"/>
        <item x="948"/>
        <item x="930"/>
        <item x="556"/>
        <item x="161"/>
        <item x="724"/>
        <item x="596"/>
        <item x="786"/>
        <item x="246"/>
        <item x="731"/>
        <item x="652"/>
        <item x="248"/>
        <item x="189"/>
        <item x="763"/>
        <item x="860"/>
        <item x="402"/>
        <item x="377"/>
        <item x="772"/>
        <item x="363"/>
        <item x="273"/>
        <item x="414"/>
        <item x="831"/>
        <item x="785"/>
        <item x="653"/>
        <item x="576"/>
        <item x="470"/>
        <item x="379"/>
        <item x="736"/>
        <item x="472"/>
        <item x="791"/>
        <item x="185"/>
        <item x="220"/>
        <item x="541"/>
        <item x="729"/>
        <item x="452"/>
        <item x="609"/>
        <item x="75"/>
        <item x="497"/>
        <item x="86"/>
        <item x="28"/>
        <item x="120"/>
        <item x="242"/>
        <item x="797"/>
        <item x="808"/>
        <item x="532"/>
        <item x="101"/>
        <item x="239"/>
        <item x="146"/>
        <item x="552"/>
        <item x="795"/>
        <item x="406"/>
        <item x="305"/>
        <item x="965"/>
        <item x="777"/>
        <item x="123"/>
        <item x="50"/>
        <item x="488"/>
        <item x="522"/>
        <item x="182"/>
        <item x="58"/>
        <item x="376"/>
        <item x="107"/>
        <item x="907"/>
        <item x="261"/>
        <item x="71"/>
        <item x="82"/>
        <item x="336"/>
        <item x="658"/>
        <item x="917"/>
        <item x="235"/>
        <item x="835"/>
        <item x="554"/>
        <item x="98"/>
        <item x="62"/>
        <item x="308"/>
        <item x="910"/>
        <item x="412"/>
        <item x="190"/>
        <item x="24"/>
        <item x="608"/>
        <item x="22"/>
        <item x="25"/>
        <item x="815"/>
        <item x="233"/>
        <item x="875"/>
        <item x="135"/>
        <item x="490"/>
        <item x="283"/>
        <item x="51"/>
        <item x="894"/>
        <item x="825"/>
        <item x="359"/>
        <item x="386"/>
        <item x="807"/>
        <item x="422"/>
        <item x="614"/>
        <item x="932"/>
        <item x="669"/>
        <item x="544"/>
        <item x="163"/>
        <item x="700"/>
        <item x="427"/>
        <item x="627"/>
        <item x="435"/>
        <item x="366"/>
        <item x="436"/>
        <item x="811"/>
        <item x="76"/>
        <item x="131"/>
        <item x="812"/>
        <item x="824"/>
        <item x="929"/>
        <item x="606"/>
        <item x="874"/>
        <item x="484"/>
        <item x="818"/>
        <item x="350"/>
        <item x="299"/>
        <item x="817"/>
        <item x="253"/>
        <item x="977"/>
        <item x="762"/>
        <item x="704"/>
        <item x="463"/>
        <item x="744"/>
        <item x="294"/>
        <item x="517"/>
        <item x="360"/>
        <item x="696"/>
        <item x="674"/>
        <item x="314"/>
        <item x="518"/>
        <item x="710"/>
        <item x="623"/>
        <item x="689"/>
        <item x="536"/>
        <item x="4"/>
        <item x="108"/>
        <item x="526"/>
        <item x="925"/>
        <item x="9"/>
        <item x="79"/>
        <item x="545"/>
        <item x="995"/>
        <item x="302"/>
        <item x="771"/>
        <item x="741"/>
        <item x="688"/>
        <item x="291"/>
        <item x="34"/>
        <item x="404"/>
        <item x="660"/>
        <item x="717"/>
        <item x="207"/>
        <item x="476"/>
        <item x="909"/>
        <item x="214"/>
        <item x="865"/>
        <item x="263"/>
        <item x="869"/>
        <item x="27"/>
        <item x="41"/>
        <item x="550"/>
        <item x="613"/>
        <item x="683"/>
        <item x="890"/>
        <item x="549"/>
        <item x="641"/>
        <item x="94"/>
        <item x="579"/>
        <item x="634"/>
        <item x="565"/>
        <item x="208"/>
        <item x="770"/>
        <item x="288"/>
        <item x="682"/>
        <item x="213"/>
        <item x="272"/>
        <item x="453"/>
        <item x="38"/>
        <item x="722"/>
        <item x="285"/>
        <item x="745"/>
        <item x="947"/>
        <item x="474"/>
        <item x="202"/>
        <item x="829"/>
        <item x="960"/>
        <item x="509"/>
        <item x="313"/>
        <item x="531"/>
        <item x="7"/>
        <item x="33"/>
        <item x="229"/>
        <item x="455"/>
        <item x="686"/>
        <item x="61"/>
        <item x="199"/>
        <item x="618"/>
        <item x="603"/>
        <item x="804"/>
        <item x="901"/>
        <item x="193"/>
        <item x="231"/>
        <item x="183"/>
        <item x="282"/>
        <item x="570"/>
        <item x="514"/>
        <item x="587"/>
        <item x="410"/>
        <item x="401"/>
        <item x="589"/>
        <item x="520"/>
        <item x="444"/>
        <item x="823"/>
        <item x="205"/>
        <item x="747"/>
        <item x="775"/>
        <item x="503"/>
        <item x="157"/>
        <item x="733"/>
        <item x="936"/>
        <item x="26"/>
        <item x="277"/>
        <item x="268"/>
        <item x="666"/>
        <item x="442"/>
        <item x="631"/>
        <item x="334"/>
        <item x="116"/>
        <item x="610"/>
        <item x="346"/>
        <item x="316"/>
        <item x="876"/>
        <item x="18"/>
        <item x="752"/>
        <item x="864"/>
        <item x="679"/>
        <item x="210"/>
        <item x="973"/>
        <item x="458"/>
        <item x="441"/>
        <item x="956"/>
        <item x="440"/>
        <item x="419"/>
        <item x="611"/>
        <item x="866"/>
        <item x="37"/>
        <item x="289"/>
        <item x="962"/>
        <item x="327"/>
        <item x="638"/>
        <item x="287"/>
        <item x="513"/>
        <item x="701"/>
        <item x="637"/>
        <item x="97"/>
        <item x="728"/>
        <item x="179"/>
        <item x="443"/>
        <item x="249"/>
        <item x="702"/>
        <item x="177"/>
        <item x="646"/>
        <item x="201"/>
        <item x="338"/>
        <item x="368"/>
        <item x="103"/>
        <item x="276"/>
        <item x="598"/>
        <item x="571"/>
        <item x="394"/>
        <item x="670"/>
        <item x="465"/>
        <item x="523"/>
        <item x="44"/>
        <item x="749"/>
        <item x="447"/>
        <item x="957"/>
        <item x="766"/>
        <item x="551"/>
        <item x="155"/>
        <item x="329"/>
        <item x="841"/>
        <item x="914"/>
        <item x="57"/>
        <item x="456"/>
        <item x="339"/>
        <item x="939"/>
        <item x="798"/>
        <item x="801"/>
        <item x="516"/>
        <item x="358"/>
        <item x="725"/>
        <item x="330"/>
        <item x="810"/>
        <item x="691"/>
        <item x="819"/>
        <item x="898"/>
        <item x="983"/>
        <item x="911"/>
        <item x="433"/>
        <item x="664"/>
        <item x="921"/>
        <item x="174"/>
        <item x="809"/>
        <item x="114"/>
        <item x="776"/>
        <item x="17"/>
        <item x="511"/>
        <item x="647"/>
        <item x="482"/>
        <item x="113"/>
        <item x="833"/>
        <item x="372"/>
        <item x="117"/>
        <item x="413"/>
        <item x="322"/>
        <item x="495"/>
        <item x="853"/>
        <item x="438"/>
        <item x="987"/>
        <item x="698"/>
        <item x="581"/>
        <item x="693"/>
        <item x="309"/>
        <item x="145"/>
        <item x="29"/>
        <item x="234"/>
        <item x="730"/>
        <item x="626"/>
        <item x="980"/>
        <item x="616"/>
        <item x="989"/>
        <item x="73"/>
        <item x="856"/>
        <item x="726"/>
        <item x="105"/>
        <item x="834"/>
        <item x="878"/>
        <item x="656"/>
        <item x="781"/>
        <item x="39"/>
        <item x="55"/>
        <item x="8"/>
        <item x="706"/>
        <item x="954"/>
        <item x="803"/>
        <item x="166"/>
        <item x="357"/>
        <item x="714"/>
        <item x="630"/>
        <item x="976"/>
        <item x="195"/>
        <item x="687"/>
        <item x="223"/>
        <item x="196"/>
        <item x="133"/>
        <item x="407"/>
        <item x="560"/>
        <item x="35"/>
        <item x="250"/>
        <item x="169"/>
        <item x="892"/>
        <item x="672"/>
        <item x="599"/>
        <item x="721"/>
        <item x="753"/>
        <item x="415"/>
        <item x="74"/>
        <item x="740"/>
        <item x="132"/>
        <item x="667"/>
        <item x="121"/>
        <item x="16"/>
        <item x="592"/>
        <item x="49"/>
        <item x="81"/>
        <item x="640"/>
        <item x="400"/>
        <item x="279"/>
        <item x="572"/>
        <item x="820"/>
        <item x="512"/>
        <item x="109"/>
        <item x="304"/>
        <item x="732"/>
        <item x="254"/>
        <item x="615"/>
        <item x="91"/>
        <item x="837"/>
        <item x="761"/>
        <item x="230"/>
        <item x="296"/>
        <item x="918"/>
        <item x="990"/>
        <item x="851"/>
        <item x="832"/>
        <item x="778"/>
        <item x="711"/>
        <item x="553"/>
        <item x="20"/>
        <item x="897"/>
        <item x="56"/>
        <item x="148"/>
        <item x="186"/>
        <item x="964"/>
        <item x="266"/>
        <item x="805"/>
        <item x="845"/>
        <item x="969"/>
        <item x="364"/>
        <item x="219"/>
        <item x="764"/>
        <item x="578"/>
        <item x="240"/>
        <item x="649"/>
        <item x="140"/>
        <item x="87"/>
        <item x="854"/>
        <item x="439"/>
        <item x="858"/>
        <item x="417"/>
        <item x="937"/>
        <item x="153"/>
        <item x="112"/>
        <item x="895"/>
        <item x="345"/>
        <item x="227"/>
        <item x="382"/>
        <item x="915"/>
        <item x="558"/>
        <item x="986"/>
        <item x="23"/>
        <item x="920"/>
        <item x="40"/>
        <item x="685"/>
        <item x="460"/>
        <item x="873"/>
        <item x="755"/>
        <item x="349"/>
        <item x="267"/>
        <item x="707"/>
        <item x="343"/>
        <item x="703"/>
        <item x="67"/>
        <item x="600"/>
        <item x="881"/>
        <item x="194"/>
        <item x="260"/>
        <item x="767"/>
        <item x="53"/>
        <item x="225"/>
        <item x="883"/>
        <item x="6"/>
        <item x="480"/>
        <item x="255"/>
        <item x="469"/>
        <item x="850"/>
        <item x="525"/>
        <item x="642"/>
        <item x="593"/>
        <item x="286"/>
        <item x="173"/>
        <item x="315"/>
        <item x="325"/>
        <item x="317"/>
        <item x="843"/>
        <item x="11"/>
        <item x="588"/>
        <item x="203"/>
        <item x="461"/>
        <item x="48"/>
        <item x="176"/>
        <item x="405"/>
        <item x="448"/>
        <item x="994"/>
        <item x="944"/>
        <item x="247"/>
        <item x="927"/>
        <item x="31"/>
        <item x="215"/>
        <item x="712"/>
        <item x="421"/>
        <item x="997"/>
        <item x="896"/>
        <item x="200"/>
        <item x="650"/>
        <item x="192"/>
        <item x="665"/>
        <item x="323"/>
        <item x="178"/>
        <item x="546"/>
        <item x="318"/>
        <item x="826"/>
        <item x="663"/>
        <item x="257"/>
        <item x="543"/>
        <item x="540"/>
        <item x="644"/>
        <item x="321"/>
        <item x="143"/>
        <item x="361"/>
        <item x="505"/>
        <item x="737"/>
        <item x="312"/>
        <item x="951"/>
        <item x="243"/>
        <item x="156"/>
        <item x="585"/>
        <item x="709"/>
        <item x="396"/>
        <item x="716"/>
        <item x="139"/>
        <item x="398"/>
        <item x="492"/>
        <item x="238"/>
        <item x="563"/>
        <item x="880"/>
        <item x="486"/>
        <item x="274"/>
        <item x="381"/>
        <item x="643"/>
        <item x="491"/>
        <item x="510"/>
        <item x="425"/>
        <item x="264"/>
        <item x="619"/>
        <item x="467"/>
        <item x="573"/>
        <item x="993"/>
        <item x="295"/>
        <item x="78"/>
        <item x="945"/>
        <item x="95"/>
        <item x="668"/>
        <item x="750"/>
        <item x="13"/>
        <item x="424"/>
        <item x="590"/>
        <item x="906"/>
        <item x="290"/>
        <item x="620"/>
        <item x="1"/>
        <item x="59"/>
        <item x="47"/>
        <item x="221"/>
        <item x="919"/>
        <item x="12"/>
        <item x="378"/>
        <item x="42"/>
        <item x="760"/>
        <item x="36"/>
        <item x="524"/>
        <item x="628"/>
        <item x="387"/>
        <item x="953"/>
        <item x="963"/>
        <item x="708"/>
        <item x="420"/>
        <item x="306"/>
        <item x="54"/>
        <item x="912"/>
        <item x="872"/>
        <item x="373"/>
        <item x="393"/>
        <item x="796"/>
        <item x="487"/>
        <item x="70"/>
        <item x="337"/>
        <item x="654"/>
        <item x="423"/>
        <item x="748"/>
        <item x="14"/>
        <item x="582"/>
        <item x="597"/>
        <item x="353"/>
        <item x="916"/>
        <item x="418"/>
        <item x="940"/>
        <item x="395"/>
        <item x="836"/>
        <item x="344"/>
        <item x="191"/>
        <item x="3"/>
        <item x="408"/>
        <item x="566"/>
        <item x="938"/>
        <item x="310"/>
        <item x="855"/>
        <item x="527"/>
        <item x="982"/>
        <item x="501"/>
        <item x="431"/>
        <item x="591"/>
        <item x="950"/>
        <item x="80"/>
        <item x="974"/>
        <item x="727"/>
        <item x="149"/>
        <item x="2"/>
        <item x="369"/>
        <item x="515"/>
        <item x="293"/>
        <item x="885"/>
        <item x="768"/>
        <item x="265"/>
        <item x="574"/>
        <item x="499"/>
        <item x="838"/>
        <item x="888"/>
        <item x="528"/>
        <item x="751"/>
        <item x="88"/>
        <item x="547"/>
        <item x="110"/>
        <item x="391"/>
        <item x="813"/>
        <item x="861"/>
        <item x="426"/>
        <item x="719"/>
        <item x="695"/>
        <item x="445"/>
        <item x="226"/>
        <item x="232"/>
        <item x="787"/>
        <item x="828"/>
        <item x="958"/>
        <item x="754"/>
        <item x="106"/>
        <item x="278"/>
        <item x="595"/>
        <item x="60"/>
        <item x="348"/>
        <item x="52"/>
        <item x="45"/>
        <item x="84"/>
        <item x="567"/>
        <item x="913"/>
        <item x="451"/>
        <item x="852"/>
        <item x="978"/>
        <item x="981"/>
        <item x="160"/>
        <item x="331"/>
        <item x="170"/>
        <item x="934"/>
        <item x="887"/>
        <item x="122"/>
        <item x="942"/>
        <item x="979"/>
        <item x="392"/>
        <item x="735"/>
        <item x="483"/>
        <item x="374"/>
        <item x="151"/>
        <item x="941"/>
        <item x="639"/>
        <item x="580"/>
        <item x="397"/>
        <item x="622"/>
        <item x="996"/>
        <item x="884"/>
        <item x="206"/>
        <item x="471"/>
        <item x="164"/>
        <item x="281"/>
        <item x="475"/>
        <item x="692"/>
        <item x="224"/>
        <item x="604"/>
        <item x="136"/>
        <item x="99"/>
        <item x="68"/>
        <item x="699"/>
        <item x="125"/>
        <item x="779"/>
        <item x="292"/>
        <item x="128"/>
        <item x="100"/>
        <item x="583"/>
        <item x="388"/>
        <item x="167"/>
        <item x="891"/>
        <item x="311"/>
        <item x="713"/>
        <item x="602"/>
        <item x="757"/>
        <item x="188"/>
        <item x="535"/>
        <item x="259"/>
        <item x="903"/>
        <item x="955"/>
        <item x="256"/>
        <item x="478"/>
        <item x="77"/>
        <item x="966"/>
        <item x="902"/>
        <item x="468"/>
        <item x="72"/>
        <item x="789"/>
        <item x="949"/>
        <item x="928"/>
        <item x="575"/>
        <item x="961"/>
        <item x="671"/>
        <item x="69"/>
        <item x="975"/>
        <item x="434"/>
        <item x="466"/>
        <item x="307"/>
        <item x="297"/>
        <item x="138"/>
        <item x="529"/>
        <item x="104"/>
        <item x="332"/>
        <item x="633"/>
        <item x="548"/>
        <item x="19"/>
        <item x="115"/>
        <item x="877"/>
        <item x="154"/>
        <item x="968"/>
        <item x="303"/>
        <item x="946"/>
        <item x="341"/>
        <item x="537"/>
        <item x="782"/>
        <item x="617"/>
        <item x="645"/>
        <item x="662"/>
        <item x="970"/>
        <item x="697"/>
        <item x="301"/>
        <item x="985"/>
        <item x="237"/>
        <item x="489"/>
        <item x="636"/>
        <item x="32"/>
        <item x="802"/>
        <item x="119"/>
        <item x="241"/>
        <item x="89"/>
        <item x="738"/>
        <item x="900"/>
        <item x="594"/>
        <item x="280"/>
        <item x="504"/>
        <item x="870"/>
        <item x="774"/>
        <item x="816"/>
        <item x="300"/>
        <item x="899"/>
        <item x="66"/>
        <item x="355"/>
        <item x="657"/>
        <item x="142"/>
        <item x="184"/>
        <item x="150"/>
        <item x="605"/>
        <item x="783"/>
        <item x="530"/>
        <item x="209"/>
        <item x="743"/>
        <item x="924"/>
        <item x="684"/>
        <item x="222"/>
        <item x="629"/>
        <item x="134"/>
        <item x="171"/>
        <item x="734"/>
        <item x="601"/>
        <item x="198"/>
        <item x="694"/>
        <item x="168"/>
        <item x="390"/>
        <item x="715"/>
        <item x="793"/>
        <item x="217"/>
        <item x="889"/>
        <item x="262"/>
        <item x="967"/>
        <item x="252"/>
        <item x="765"/>
        <item x="862"/>
        <item x="354"/>
        <item x="922"/>
        <item x="508"/>
        <item x="365"/>
        <item x="720"/>
        <item x="681"/>
        <item x="449"/>
        <item x="533"/>
        <item x="385"/>
        <item x="46"/>
        <item x="773"/>
        <item x="326"/>
        <item x="718"/>
        <item x="464"/>
        <item x="351"/>
        <item x="690"/>
        <item x="822"/>
        <item x="624"/>
        <item x="403"/>
        <item x="21"/>
        <item x="180"/>
        <item x="5"/>
        <item x="127"/>
        <item x="542"/>
        <item x="165"/>
        <item x="848"/>
        <item x="857"/>
        <item x="568"/>
        <item x="245"/>
        <item x="129"/>
        <item x="30"/>
        <item x="935"/>
        <item x="498"/>
        <item x="370"/>
        <item x="457"/>
        <item x="561"/>
        <item x="493"/>
        <item x="830"/>
        <item x="141"/>
        <item x="742"/>
        <item x="375"/>
        <item x="521"/>
        <item x="212"/>
        <item x="204"/>
        <item x="840"/>
        <item x="172"/>
        <item x="342"/>
        <item x="485"/>
        <item x="65"/>
        <item x="842"/>
        <item x="651"/>
        <item x="847"/>
        <item x="507"/>
        <item x="675"/>
        <item x="271"/>
        <item x="759"/>
        <item x="371"/>
        <item x="905"/>
        <item x="284"/>
        <item x="389"/>
        <item x="506"/>
        <item x="162"/>
        <item x="923"/>
        <item x="952"/>
        <item x="479"/>
        <item x="931"/>
        <item x="137"/>
        <item x="428"/>
        <item x="446"/>
        <item x="269"/>
        <item x="680"/>
        <item x="356"/>
        <item x="333"/>
        <item x="792"/>
        <item x="677"/>
        <item x="984"/>
        <item x="147"/>
        <item x="450"/>
        <item x="85"/>
        <item x="908"/>
        <item x="723"/>
        <item x="655"/>
        <item x="635"/>
        <item x="15"/>
        <item x="849"/>
        <item x="197"/>
        <item x="557"/>
        <item x="228"/>
        <item x="534"/>
        <item x="959"/>
        <item x="559"/>
        <item x="539"/>
        <item x="676"/>
        <item x="459"/>
        <item x="988"/>
        <item x="473"/>
        <item x="175"/>
        <item x="868"/>
        <item x="430"/>
        <item x="827"/>
        <item x="432"/>
        <item x="187"/>
        <item x="659"/>
        <item x="93"/>
        <item x="216"/>
        <item x="251"/>
        <item x="181"/>
        <item x="244"/>
        <item x="625"/>
        <item x="607"/>
        <item x="211"/>
        <item x="538"/>
        <item x="555"/>
        <item x="218"/>
        <item x="661"/>
        <item x="756"/>
        <item x="500"/>
        <item x="437"/>
        <item x="784"/>
        <item x="454"/>
        <item x="814"/>
        <item x="411"/>
        <item x="416"/>
        <item x="612"/>
        <item x="577"/>
        <item x="367"/>
        <item x="0"/>
        <item x="844"/>
        <item x="258"/>
        <item x="886"/>
        <item t="default"/>
      </items>
    </pivotField>
    <pivotField showAll="0">
      <items count="25">
        <item x="5"/>
        <item x="17"/>
        <item x="23"/>
        <item x="19"/>
        <item x="14"/>
        <item x="0"/>
        <item x="13"/>
        <item x="2"/>
        <item x="1"/>
        <item x="10"/>
        <item x="15"/>
        <item x="20"/>
        <item x="11"/>
        <item x="21"/>
        <item x="8"/>
        <item x="12"/>
        <item x="16"/>
        <item x="18"/>
        <item x="22"/>
        <item x="4"/>
        <item x="3"/>
        <item x="7"/>
        <item x="9"/>
        <item x="6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>
      <items count="762">
        <item x="632"/>
        <item x="600"/>
        <item x="457"/>
        <item x="430"/>
        <item x="54"/>
        <item x="191"/>
        <item x="51"/>
        <item x="459"/>
        <item x="333"/>
        <item x="540"/>
        <item x="98"/>
        <item x="249"/>
        <item x="307"/>
        <item x="227"/>
        <item x="274"/>
        <item x="750"/>
        <item x="654"/>
        <item x="332"/>
        <item x="130"/>
        <item x="638"/>
        <item x="393"/>
        <item x="452"/>
        <item x="238"/>
        <item x="721"/>
        <item x="556"/>
        <item x="121"/>
        <item x="658"/>
        <item x="567"/>
        <item x="401"/>
        <item x="49"/>
        <item x="100"/>
        <item x="518"/>
        <item x="329"/>
        <item x="664"/>
        <item x="509"/>
        <item x="480"/>
        <item x="433"/>
        <item x="84"/>
        <item x="259"/>
        <item x="741"/>
        <item x="525"/>
        <item x="171"/>
        <item x="374"/>
        <item x="550"/>
        <item x="1"/>
        <item x="508"/>
        <item x="483"/>
        <item x="135"/>
        <item x="189"/>
        <item x="356"/>
        <item x="188"/>
        <item x="35"/>
        <item x="182"/>
        <item x="93"/>
        <item x="541"/>
        <item x="179"/>
        <item x="331"/>
        <item x="671"/>
        <item x="94"/>
        <item x="306"/>
        <item x="278"/>
        <item x="676"/>
        <item x="25"/>
        <item x="192"/>
        <item x="595"/>
        <item x="368"/>
        <item x="88"/>
        <item x="194"/>
        <item x="160"/>
        <item x="702"/>
        <item x="507"/>
        <item x="534"/>
        <item x="166"/>
        <item x="201"/>
        <item x="153"/>
        <item x="152"/>
        <item x="313"/>
        <item x="225"/>
        <item x="264"/>
        <item x="757"/>
        <item x="79"/>
        <item x="4"/>
        <item x="445"/>
        <item x="77"/>
        <item x="161"/>
        <item x="260"/>
        <item x="243"/>
        <item x="91"/>
        <item x="185"/>
        <item x="108"/>
        <item x="597"/>
        <item x="593"/>
        <item x="205"/>
        <item x="48"/>
        <item x="13"/>
        <item x="45"/>
        <item x="542"/>
        <item x="394"/>
        <item x="232"/>
        <item x="78"/>
        <item x="739"/>
        <item x="690"/>
        <item x="370"/>
        <item x="617"/>
        <item x="74"/>
        <item x="136"/>
        <item x="476"/>
        <item x="522"/>
        <item x="266"/>
        <item x="200"/>
        <item x="701"/>
        <item x="666"/>
        <item x="24"/>
        <item x="610"/>
        <item x="469"/>
        <item x="178"/>
        <item x="195"/>
        <item x="366"/>
        <item x="484"/>
        <item x="341"/>
        <item x="8"/>
        <item x="208"/>
        <item x="641"/>
        <item x="97"/>
        <item x="614"/>
        <item x="30"/>
        <item x="68"/>
        <item x="647"/>
        <item x="285"/>
        <item x="631"/>
        <item x="292"/>
        <item x="491"/>
        <item x="565"/>
        <item x="569"/>
        <item x="720"/>
        <item x="296"/>
        <item x="566"/>
        <item x="217"/>
        <item x="64"/>
        <item x="696"/>
        <item x="754"/>
        <item x="202"/>
        <item x="2"/>
        <item x="649"/>
        <item x="286"/>
        <item x="581"/>
        <item x="448"/>
        <item x="639"/>
        <item x="319"/>
        <item x="119"/>
        <item x="494"/>
        <item x="756"/>
        <item x="280"/>
        <item x="694"/>
        <item x="598"/>
        <item x="149"/>
        <item x="495"/>
        <item x="253"/>
        <item x="630"/>
        <item x="21"/>
        <item x="414"/>
        <item x="619"/>
        <item x="643"/>
        <item x="222"/>
        <item x="316"/>
        <item x="545"/>
        <item x="434"/>
        <item x="673"/>
        <item x="38"/>
        <item x="186"/>
        <item x="571"/>
        <item x="120"/>
        <item x="705"/>
        <item x="527"/>
        <item x="530"/>
        <item x="612"/>
        <item x="686"/>
        <item x="220"/>
        <item x="246"/>
        <item x="543"/>
        <item x="582"/>
        <item x="560"/>
        <item x="481"/>
        <item x="390"/>
        <item x="118"/>
        <item x="688"/>
        <item x="9"/>
        <item x="478"/>
        <item x="710"/>
        <item x="330"/>
        <item x="449"/>
        <item x="439"/>
        <item x="70"/>
        <item x="367"/>
        <item x="472"/>
        <item x="734"/>
        <item x="558"/>
        <item x="517"/>
        <item x="338"/>
        <item x="297"/>
        <item x="345"/>
        <item x="717"/>
        <item x="487"/>
        <item x="58"/>
        <item x="645"/>
        <item x="576"/>
        <item x="304"/>
        <item x="123"/>
        <item x="362"/>
        <item x="164"/>
        <item x="625"/>
        <item x="659"/>
        <item x="85"/>
        <item x="738"/>
        <item x="528"/>
        <item x="343"/>
        <item x="642"/>
        <item x="138"/>
        <item x="283"/>
        <item x="14"/>
        <item x="258"/>
        <item x="127"/>
        <item x="730"/>
        <item x="755"/>
        <item x="529"/>
        <item x="20"/>
        <item x="141"/>
        <item x="498"/>
        <item x="683"/>
        <item x="213"/>
        <item x="109"/>
        <item x="455"/>
        <item x="409"/>
        <item x="237"/>
        <item x="451"/>
        <item x="651"/>
        <item x="145"/>
        <item x="470"/>
        <item x="165"/>
        <item x="427"/>
        <item x="554"/>
        <item x="353"/>
        <item x="403"/>
        <item x="726"/>
        <item x="670"/>
        <item x="335"/>
        <item x="209"/>
        <item x="745"/>
        <item x="348"/>
        <item x="636"/>
        <item x="396"/>
        <item x="680"/>
        <item x="438"/>
        <item x="590"/>
        <item x="346"/>
        <item x="426"/>
        <item x="640"/>
        <item x="603"/>
        <item x="311"/>
        <item x="298"/>
        <item x="183"/>
        <item x="235"/>
        <item x="607"/>
        <item x="76"/>
        <item x="126"/>
        <item x="471"/>
        <item x="502"/>
        <item x="172"/>
        <item x="41"/>
        <item x="71"/>
        <item x="110"/>
        <item x="668"/>
        <item x="586"/>
        <item x="725"/>
        <item x="354"/>
        <item x="268"/>
        <item x="7"/>
        <item x="669"/>
        <item x="40"/>
        <item x="355"/>
        <item x="162"/>
        <item x="744"/>
        <item x="302"/>
        <item x="608"/>
        <item x="749"/>
        <item x="547"/>
        <item x="134"/>
        <item x="16"/>
        <item x="320"/>
        <item x="699"/>
        <item x="622"/>
        <item x="727"/>
        <item x="465"/>
        <item x="337"/>
        <item x="687"/>
        <item x="269"/>
        <item x="96"/>
        <item x="365"/>
        <item x="344"/>
        <item x="33"/>
        <item x="416"/>
        <item x="244"/>
        <item x="441"/>
        <item x="271"/>
        <item x="308"/>
        <item x="203"/>
        <item x="223"/>
        <item x="163"/>
        <item x="233"/>
        <item x="216"/>
        <item x="447"/>
        <item x="538"/>
        <item x="440"/>
        <item x="700"/>
        <item x="334"/>
        <item x="431"/>
        <item x="352"/>
        <item x="743"/>
        <item x="148"/>
        <item x="490"/>
        <item x="385"/>
        <item x="539"/>
        <item x="196"/>
        <item x="515"/>
        <item x="747"/>
        <item x="395"/>
        <item x="523"/>
        <item x="176"/>
        <item x="672"/>
        <item x="501"/>
        <item x="579"/>
        <item x="43"/>
        <item x="386"/>
        <item x="609"/>
        <item x="724"/>
        <item x="589"/>
        <item x="116"/>
        <item x="184"/>
        <item x="373"/>
        <item x="303"/>
        <item x="187"/>
        <item x="383"/>
        <item x="594"/>
        <item x="419"/>
        <item x="400"/>
        <item x="399"/>
        <item x="573"/>
        <item x="59"/>
        <item x="678"/>
        <item x="633"/>
        <item x="42"/>
        <item x="53"/>
        <item x="12"/>
        <item x="648"/>
        <item x="514"/>
        <item x="578"/>
        <item x="210"/>
        <item x="548"/>
        <item x="69"/>
        <item x="718"/>
        <item x="644"/>
        <item x="660"/>
        <item x="391"/>
        <item x="521"/>
        <item x="415"/>
        <item x="242"/>
        <item x="236"/>
        <item x="488"/>
        <item x="107"/>
        <item x="312"/>
        <item x="629"/>
        <item x="568"/>
        <item x="229"/>
        <item x="421"/>
        <item x="380"/>
        <item x="81"/>
        <item x="413"/>
        <item x="387"/>
        <item x="692"/>
        <item x="446"/>
        <item x="681"/>
        <item x="456"/>
        <item x="239"/>
        <item x="214"/>
        <item x="428"/>
        <item x="281"/>
        <item x="61"/>
        <item x="704"/>
        <item x="684"/>
        <item x="190"/>
        <item x="689"/>
        <item x="559"/>
        <item x="408"/>
        <item x="361"/>
        <item x="251"/>
        <item x="73"/>
        <item x="197"/>
        <item x="261"/>
        <item x="388"/>
        <item x="706"/>
        <item x="37"/>
        <item x="207"/>
        <item x="34"/>
        <item x="557"/>
        <item x="752"/>
        <item x="255"/>
        <item x="19"/>
        <item x="570"/>
        <item x="536"/>
        <item x="381"/>
        <item x="378"/>
        <item x="753"/>
        <item x="402"/>
        <item x="735"/>
        <item x="80"/>
        <item x="662"/>
        <item x="748"/>
        <item x="371"/>
        <item x="67"/>
        <item x="697"/>
        <item x="158"/>
        <item x="466"/>
        <item x="691"/>
        <item x="241"/>
        <item x="125"/>
        <item x="486"/>
        <item x="442"/>
        <item x="411"/>
        <item x="326"/>
        <item x="520"/>
        <item x="626"/>
        <item x="516"/>
        <item x="546"/>
        <item x="340"/>
        <item x="36"/>
        <item x="384"/>
        <item x="350"/>
        <item x="169"/>
        <item x="714"/>
        <item x="44"/>
        <item x="351"/>
        <item x="562"/>
        <item x="424"/>
        <item x="56"/>
        <item x="574"/>
        <item x="561"/>
        <item x="15"/>
        <item x="147"/>
        <item x="234"/>
        <item x="429"/>
        <item x="3"/>
        <item x="575"/>
        <item x="146"/>
        <item x="435"/>
        <item x="295"/>
        <item x="275"/>
        <item x="420"/>
        <item x="122"/>
        <item x="618"/>
        <item x="263"/>
        <item x="140"/>
        <item x="254"/>
        <item x="5"/>
        <item x="503"/>
        <item x="83"/>
        <item x="512"/>
        <item x="708"/>
        <item x="291"/>
        <item x="256"/>
        <item x="599"/>
        <item x="627"/>
        <item x="417"/>
        <item x="703"/>
        <item x="32"/>
        <item x="92"/>
        <item x="318"/>
        <item x="252"/>
        <item x="324"/>
        <item x="199"/>
        <item x="511"/>
        <item x="309"/>
        <item x="226"/>
        <item x="709"/>
        <item x="564"/>
        <item x="131"/>
        <item x="328"/>
        <item x="624"/>
        <item x="301"/>
        <item x="55"/>
        <item x="279"/>
        <item x="342"/>
        <item x="563"/>
        <item x="588"/>
        <item x="300"/>
        <item x="314"/>
        <item x="604"/>
        <item x="265"/>
        <item x="349"/>
        <item x="379"/>
        <item x="685"/>
        <item x="86"/>
        <item x="29"/>
        <item x="322"/>
        <item x="477"/>
        <item x="693"/>
        <item x="504"/>
        <item x="760"/>
        <item x="611"/>
        <item x="317"/>
        <item x="497"/>
        <item x="665"/>
        <item x="287"/>
        <item x="733"/>
        <item x="506"/>
        <item x="736"/>
        <item x="623"/>
        <item x="729"/>
        <item x="549"/>
        <item x="66"/>
        <item x="82"/>
        <item x="60"/>
        <item x="65"/>
        <item x="674"/>
        <item x="397"/>
        <item x="323"/>
        <item x="247"/>
        <item x="475"/>
        <item x="663"/>
        <item x="218"/>
        <item x="129"/>
        <item x="114"/>
        <item x="637"/>
        <item x="500"/>
        <item x="57"/>
        <item x="715"/>
        <item x="382"/>
        <item x="493"/>
        <item x="634"/>
        <item x="26"/>
        <item x="423"/>
        <item x="551"/>
        <item x="105"/>
        <item x="587"/>
        <item x="206"/>
        <item x="111"/>
        <item x="628"/>
        <item x="50"/>
        <item x="240"/>
        <item x="89"/>
        <item x="656"/>
        <item x="137"/>
        <item x="732"/>
        <item x="257"/>
        <item x="315"/>
        <item x="221"/>
        <item x="499"/>
        <item x="713"/>
        <item x="159"/>
        <item x="372"/>
        <item x="22"/>
        <item x="0"/>
        <item x="519"/>
        <item x="142"/>
        <item x="250"/>
        <item x="728"/>
        <item x="198"/>
        <item x="150"/>
        <item x="272"/>
        <item x="75"/>
        <item x="510"/>
        <item x="712"/>
        <item x="113"/>
        <item x="533"/>
        <item x="655"/>
        <item x="18"/>
        <item x="650"/>
        <item x="357"/>
        <item x="436"/>
        <item x="389"/>
        <item x="211"/>
        <item x="133"/>
        <item x="224"/>
        <item x="652"/>
        <item x="180"/>
        <item x="524"/>
        <item x="467"/>
        <item x="443"/>
        <item x="102"/>
        <item x="293"/>
        <item x="339"/>
        <item x="580"/>
        <item x="723"/>
        <item x="104"/>
        <item x="657"/>
        <item x="591"/>
        <item x="358"/>
        <item x="228"/>
        <item x="474"/>
        <item x="289"/>
        <item x="461"/>
        <item x="28"/>
        <item x="707"/>
        <item x="719"/>
        <item x="460"/>
        <item x="716"/>
        <item x="154"/>
        <item x="132"/>
        <item x="407"/>
        <item x="473"/>
        <item x="615"/>
        <item x="115"/>
        <item x="46"/>
        <item x="193"/>
        <item x="398"/>
        <item x="751"/>
        <item x="359"/>
        <item x="453"/>
        <item x="168"/>
        <item x="273"/>
        <item x="31"/>
        <item x="117"/>
        <item x="577"/>
        <item x="482"/>
        <item x="282"/>
        <item x="305"/>
        <item x="552"/>
        <item x="526"/>
        <item x="336"/>
        <item x="17"/>
        <item x="360"/>
        <item x="321"/>
        <item x="327"/>
        <item x="128"/>
        <item x="653"/>
        <item x="151"/>
        <item x="245"/>
        <item x="605"/>
        <item x="731"/>
        <item x="585"/>
        <item x="6"/>
        <item x="458"/>
        <item x="52"/>
        <item x="531"/>
        <item x="464"/>
        <item x="496"/>
        <item x="95"/>
        <item x="583"/>
        <item x="406"/>
        <item x="215"/>
        <item x="262"/>
        <item x="167"/>
        <item x="698"/>
        <item x="219"/>
        <item x="101"/>
        <item x="513"/>
        <item x="740"/>
        <item x="444"/>
        <item x="432"/>
        <item x="294"/>
        <item x="284"/>
        <item x="231"/>
        <item x="635"/>
        <item x="463"/>
        <item x="106"/>
        <item x="376"/>
        <item x="613"/>
        <item x="204"/>
        <item x="412"/>
        <item x="425"/>
        <item x="47"/>
        <item x="175"/>
        <item x="392"/>
        <item x="621"/>
        <item x="602"/>
        <item x="62"/>
        <item x="682"/>
        <item x="584"/>
        <item x="144"/>
        <item x="325"/>
        <item x="363"/>
        <item x="468"/>
        <item x="679"/>
        <item x="485"/>
        <item x="364"/>
        <item x="288"/>
        <item x="410"/>
        <item x="492"/>
        <item x="124"/>
        <item x="661"/>
        <item x="505"/>
        <item x="170"/>
        <item x="532"/>
        <item x="248"/>
        <item x="667"/>
        <item x="695"/>
        <item x="596"/>
        <item x="155"/>
        <item x="601"/>
        <item x="479"/>
        <item x="437"/>
        <item x="10"/>
        <item x="310"/>
        <item x="758"/>
        <item x="277"/>
        <item x="711"/>
        <item x="535"/>
        <item x="620"/>
        <item x="450"/>
        <item x="454"/>
        <item x="537"/>
        <item x="299"/>
        <item x="177"/>
        <item x="212"/>
        <item x="72"/>
        <item x="737"/>
        <item x="544"/>
        <item x="63"/>
        <item x="112"/>
        <item x="462"/>
        <item x="742"/>
        <item x="418"/>
        <item x="616"/>
        <item x="290"/>
        <item x="675"/>
        <item x="174"/>
        <item x="553"/>
        <item x="377"/>
        <item x="722"/>
        <item x="27"/>
        <item x="646"/>
        <item x="99"/>
        <item x="90"/>
        <item x="276"/>
        <item x="267"/>
        <item x="369"/>
        <item x="677"/>
        <item x="555"/>
        <item x="404"/>
        <item x="375"/>
        <item x="572"/>
        <item x="39"/>
        <item x="23"/>
        <item x="746"/>
        <item x="87"/>
        <item x="230"/>
        <item x="139"/>
        <item x="157"/>
        <item x="347"/>
        <item x="173"/>
        <item x="270"/>
        <item x="181"/>
        <item x="405"/>
        <item x="422"/>
        <item x="606"/>
        <item x="592"/>
        <item x="156"/>
        <item x="489"/>
        <item x="759"/>
        <item x="143"/>
        <item x="11"/>
        <item x="103"/>
        <item t="default"/>
      </items>
    </pivotField>
    <pivotField showAll="0">
      <items count="639">
        <item x="20"/>
        <item x="544"/>
        <item x="596"/>
        <item x="384"/>
        <item x="174"/>
        <item x="332"/>
        <item x="53"/>
        <item x="94"/>
        <item x="224"/>
        <item x="300"/>
        <item x="626"/>
        <item x="466"/>
        <item x="121"/>
        <item x="589"/>
        <item x="49"/>
        <item x="495"/>
        <item x="154"/>
        <item x="480"/>
        <item x="125"/>
        <item x="51"/>
        <item x="459"/>
        <item x="448"/>
        <item x="444"/>
        <item x="387"/>
        <item x="171"/>
        <item x="575"/>
        <item x="496"/>
        <item x="139"/>
        <item x="582"/>
        <item x="277"/>
        <item x="85"/>
        <item x="251"/>
        <item x="150"/>
        <item x="299"/>
        <item x="212"/>
        <item x="214"/>
        <item x="172"/>
        <item x="75"/>
        <item x="145"/>
        <item x="218"/>
        <item x="91"/>
        <item x="565"/>
        <item x="177"/>
        <item x="76"/>
        <item x="572"/>
        <item x="591"/>
        <item x="1"/>
        <item x="516"/>
        <item x="45"/>
        <item x="398"/>
        <item x="421"/>
        <item x="63"/>
        <item x="454"/>
        <item x="90"/>
        <item x="82"/>
        <item x="175"/>
        <item x="165"/>
        <item x="338"/>
        <item x="185"/>
        <item x="25"/>
        <item x="229"/>
        <item x="252"/>
        <item x="162"/>
        <item x="13"/>
        <item x="77"/>
        <item x="503"/>
        <item x="35"/>
        <item x="72"/>
        <item x="88"/>
        <item x="168"/>
        <item x="4"/>
        <item x="48"/>
        <item x="597"/>
        <item x="523"/>
        <item x="191"/>
        <item x="245"/>
        <item x="24"/>
        <item x="415"/>
        <item x="184"/>
        <item x="126"/>
        <item x="330"/>
        <item x="161"/>
        <item x="424"/>
        <item x="8"/>
        <item x="194"/>
        <item x="261"/>
        <item x="526"/>
        <item x="66"/>
        <item x="203"/>
        <item x="555"/>
        <item x="551"/>
        <item x="549"/>
        <item x="270"/>
        <item x="111"/>
        <item x="30"/>
        <item x="593"/>
        <item x="557"/>
        <item x="262"/>
        <item x="368"/>
        <item x="543"/>
        <item x="210"/>
        <item x="401"/>
        <item x="433"/>
        <item x="498"/>
        <item x="634"/>
        <item x="588"/>
        <item x="494"/>
        <item x="508"/>
        <item x="633"/>
        <item x="603"/>
        <item x="425"/>
        <item x="304"/>
        <item x="483"/>
        <item x="493"/>
        <item x="598"/>
        <item x="461"/>
        <item x="464"/>
        <item x="256"/>
        <item x="237"/>
        <item x="14"/>
        <item x="179"/>
        <item x="419"/>
        <item x="497"/>
        <item x="463"/>
        <item x="505"/>
        <item x="405"/>
        <item x="451"/>
        <item x="310"/>
        <item x="359"/>
        <item x="629"/>
        <item x="302"/>
        <item x="385"/>
        <item x="473"/>
        <item x="207"/>
        <item x="282"/>
        <item x="232"/>
        <item x="507"/>
        <item x="350"/>
        <item x="118"/>
        <item x="434"/>
        <item x="9"/>
        <item x="12"/>
        <item x="130"/>
        <item x="102"/>
        <item x="403"/>
        <item x="257"/>
        <item x="530"/>
        <item x="622"/>
        <item x="307"/>
        <item x="202"/>
        <item x="279"/>
        <item x="354"/>
        <item x="114"/>
        <item x="148"/>
        <item x="439"/>
        <item x="506"/>
        <item x="169"/>
        <item x="217"/>
        <item x="400"/>
        <item x="275"/>
        <item x="127"/>
        <item x="474"/>
        <item x="613"/>
        <item x="319"/>
        <item x="627"/>
        <item x="306"/>
        <item x="608"/>
        <item x="569"/>
        <item x="289"/>
        <item x="228"/>
        <item x="190"/>
        <item x="580"/>
        <item x="521"/>
        <item x="621"/>
        <item x="223"/>
        <item x="248"/>
        <item x="211"/>
        <item x="206"/>
        <item x="380"/>
        <item x="430"/>
        <item x="595"/>
        <item x="614"/>
        <item x="578"/>
        <item x="180"/>
        <item x="313"/>
        <item x="564"/>
        <item x="159"/>
        <item x="427"/>
        <item x="78"/>
        <item x="167"/>
        <item x="335"/>
        <item x="227"/>
        <item x="559"/>
        <item x="166"/>
        <item x="58"/>
        <item x="476"/>
        <item x="346"/>
        <item x="41"/>
        <item x="412"/>
        <item x="478"/>
        <item x="318"/>
        <item x="246"/>
        <item x="40"/>
        <item x="220"/>
        <item x="112"/>
        <item x="501"/>
        <item x="388"/>
        <item x="16"/>
        <item x="244"/>
        <item x="344"/>
        <item x="79"/>
        <item x="240"/>
        <item x="538"/>
        <item x="86"/>
        <item x="225"/>
        <item x="258"/>
        <item x="632"/>
        <item x="394"/>
        <item x="173"/>
        <item x="219"/>
        <item x="364"/>
        <item x="181"/>
        <item x="301"/>
        <item x="34"/>
        <item x="19"/>
        <item x="449"/>
        <item x="341"/>
        <item x="343"/>
        <item x="353"/>
        <item x="321"/>
        <item x="348"/>
        <item x="413"/>
        <item x="116"/>
        <item x="395"/>
        <item x="296"/>
        <item x="396"/>
        <item x="357"/>
        <item x="500"/>
        <item x="545"/>
        <item x="311"/>
        <item x="44"/>
        <item x="446"/>
        <item x="465"/>
        <item x="490"/>
        <item x="407"/>
        <item x="3"/>
        <item x="269"/>
        <item x="351"/>
        <item x="372"/>
        <item x="529"/>
        <item x="104"/>
        <item x="5"/>
        <item x="440"/>
        <item x="601"/>
        <item x="517"/>
        <item x="209"/>
        <item x="342"/>
        <item x="290"/>
        <item x="0"/>
        <item x="122"/>
        <item x="200"/>
        <item x="60"/>
        <item x="285"/>
        <item x="411"/>
        <item x="456"/>
        <item x="590"/>
        <item x="308"/>
        <item x="18"/>
        <item x="96"/>
        <item x="349"/>
        <item x="486"/>
        <item x="147"/>
        <item x="291"/>
        <item x="345"/>
        <item x="546"/>
        <item x="358"/>
        <item x="316"/>
        <item x="188"/>
        <item x="611"/>
        <item x="524"/>
        <item x="65"/>
        <item x="479"/>
        <item x="198"/>
        <item x="366"/>
        <item x="453"/>
        <item x="408"/>
        <item x="450"/>
        <item x="43"/>
        <item x="204"/>
        <item x="442"/>
        <item x="339"/>
        <item x="315"/>
        <item x="527"/>
        <item x="170"/>
        <item x="432"/>
        <item x="356"/>
        <item x="110"/>
        <item x="511"/>
        <item x="392"/>
        <item x="539"/>
        <item x="226"/>
        <item x="563"/>
        <item x="23"/>
        <item x="323"/>
        <item x="586"/>
        <item x="437"/>
        <item x="238"/>
        <item x="178"/>
        <item x="406"/>
        <item x="288"/>
        <item x="182"/>
        <item x="89"/>
        <item x="183"/>
        <item x="445"/>
        <item x="278"/>
        <item x="373"/>
        <item x="54"/>
        <item x="260"/>
        <item x="197"/>
        <item x="189"/>
        <item x="57"/>
        <item x="97"/>
        <item x="29"/>
        <item x="98"/>
        <item x="637"/>
        <item x="510"/>
        <item x="133"/>
        <item x="326"/>
        <item x="215"/>
        <item x="265"/>
        <item x="489"/>
        <item x="583"/>
        <item x="581"/>
        <item x="128"/>
        <item x="176"/>
        <item x="327"/>
        <item x="447"/>
        <item x="2"/>
        <item x="250"/>
        <item x="570"/>
        <item x="553"/>
        <item x="26"/>
        <item x="481"/>
        <item x="280"/>
        <item x="331"/>
        <item x="619"/>
        <item x="334"/>
        <item x="390"/>
        <item x="10"/>
        <item x="558"/>
        <item x="579"/>
        <item x="604"/>
        <item x="38"/>
        <item x="607"/>
        <item x="160"/>
        <item x="502"/>
        <item x="367"/>
        <item x="475"/>
        <item x="325"/>
        <item x="22"/>
        <item x="566"/>
        <item x="584"/>
        <item x="552"/>
        <item x="610"/>
        <item x="422"/>
        <item x="541"/>
        <item x="600"/>
        <item x="117"/>
        <item x="617"/>
        <item x="616"/>
        <item x="152"/>
        <item x="109"/>
        <item x="186"/>
        <item x="362"/>
        <item x="520"/>
        <item x="281"/>
        <item x="487"/>
        <item x="416"/>
        <item x="379"/>
        <item x="542"/>
        <item x="397"/>
        <item x="195"/>
        <item x="336"/>
        <item x="84"/>
        <item x="131"/>
        <item x="547"/>
        <item x="624"/>
        <item x="137"/>
        <item x="309"/>
        <item x="324"/>
        <item x="522"/>
        <item x="531"/>
        <item x="193"/>
        <item x="631"/>
        <item x="103"/>
        <item x="576"/>
        <item x="298"/>
        <item x="7"/>
        <item x="274"/>
        <item x="477"/>
        <item x="124"/>
        <item x="436"/>
        <item x="484"/>
        <item x="67"/>
        <item x="68"/>
        <item x="369"/>
        <item x="329"/>
        <item x="504"/>
        <item x="317"/>
        <item x="187"/>
        <item x="472"/>
        <item x="135"/>
        <item x="271"/>
        <item x="221"/>
        <item x="347"/>
        <item x="512"/>
        <item x="276"/>
        <item x="391"/>
        <item x="457"/>
        <item x="452"/>
        <item x="462"/>
        <item x="272"/>
        <item x="222"/>
        <item x="74"/>
        <item x="155"/>
        <item x="592"/>
        <item x="83"/>
        <item x="577"/>
        <item x="560"/>
        <item x="15"/>
        <item x="136"/>
        <item x="93"/>
        <item x="568"/>
        <item x="33"/>
        <item x="113"/>
        <item x="134"/>
        <item x="492"/>
        <item x="550"/>
        <item x="141"/>
        <item x="32"/>
        <item x="236"/>
        <item x="294"/>
        <item x="71"/>
        <item x="213"/>
        <item x="320"/>
        <item x="37"/>
        <item x="239"/>
        <item x="470"/>
        <item x="235"/>
        <item x="149"/>
        <item x="337"/>
        <item x="143"/>
        <item x="458"/>
        <item x="599"/>
        <item x="42"/>
        <item x="573"/>
        <item x="556"/>
        <item x="623"/>
        <item x="69"/>
        <item x="80"/>
        <item x="59"/>
        <item x="55"/>
        <item x="293"/>
        <item x="292"/>
        <item x="428"/>
        <item x="548"/>
        <item x="333"/>
        <item x="383"/>
        <item x="81"/>
        <item x="140"/>
        <item x="399"/>
        <item x="284"/>
        <item x="230"/>
        <item x="587"/>
        <item x="485"/>
        <item x="488"/>
        <item x="536"/>
        <item x="146"/>
        <item x="382"/>
        <item x="242"/>
        <item x="249"/>
        <item x="273"/>
        <item x="567"/>
        <item x="468"/>
        <item x="418"/>
        <item x="441"/>
        <item x="123"/>
        <item x="286"/>
        <item x="625"/>
        <item x="537"/>
        <item x="267"/>
        <item x="534"/>
        <item x="64"/>
        <item x="36"/>
        <item x="513"/>
        <item x="355"/>
        <item x="233"/>
        <item x="571"/>
        <item x="376"/>
        <item x="28"/>
        <item x="381"/>
        <item x="375"/>
        <item x="393"/>
        <item x="108"/>
        <item x="192"/>
        <item x="129"/>
        <item x="50"/>
        <item x="144"/>
        <item x="196"/>
        <item x="199"/>
        <item x="264"/>
        <item x="525"/>
        <item x="138"/>
        <item x="443"/>
        <item x="153"/>
        <item x="255"/>
        <item x="612"/>
        <item x="509"/>
        <item x="106"/>
        <item x="243"/>
        <item x="594"/>
        <item x="361"/>
        <item x="389"/>
        <item x="386"/>
        <item x="268"/>
        <item x="163"/>
        <item x="414"/>
        <item x="535"/>
        <item x="305"/>
        <item x="628"/>
        <item x="263"/>
        <item x="585"/>
        <item x="352"/>
        <item x="499"/>
        <item x="61"/>
        <item x="609"/>
        <item x="62"/>
        <item x="606"/>
        <item x="120"/>
        <item x="107"/>
        <item x="438"/>
        <item x="99"/>
        <item x="31"/>
        <item x="340"/>
        <item x="423"/>
        <item x="259"/>
        <item x="27"/>
        <item x="115"/>
        <item x="460"/>
        <item x="17"/>
        <item x="241"/>
        <item x="208"/>
        <item x="615"/>
        <item x="435"/>
        <item x="420"/>
        <item x="253"/>
        <item x="101"/>
        <item x="73"/>
        <item x="201"/>
        <item x="205"/>
        <item x="602"/>
        <item x="605"/>
        <item x="562"/>
        <item x="402"/>
        <item x="410"/>
        <item x="100"/>
        <item x="287"/>
        <item x="158"/>
        <item x="70"/>
        <item x="533"/>
        <item x="518"/>
        <item x="322"/>
        <item x="378"/>
        <item x="409"/>
        <item x="371"/>
        <item x="266"/>
        <item x="620"/>
        <item x="216"/>
        <item x="417"/>
        <item x="46"/>
        <item x="365"/>
        <item x="630"/>
        <item x="455"/>
        <item x="56"/>
        <item x="467"/>
        <item x="247"/>
        <item x="303"/>
        <item x="95"/>
        <item x="297"/>
        <item x="561"/>
        <item x="231"/>
        <item x="618"/>
        <item x="52"/>
        <item x="92"/>
        <item x="363"/>
        <item x="151"/>
        <item x="328"/>
        <item x="469"/>
        <item x="404"/>
        <item x="471"/>
        <item x="519"/>
        <item x="39"/>
        <item x="514"/>
        <item x="377"/>
        <item x="47"/>
        <item x="528"/>
        <item x="157"/>
        <item x="482"/>
        <item x="429"/>
        <item x="283"/>
        <item x="314"/>
        <item x="156"/>
        <item x="426"/>
        <item x="554"/>
        <item x="431"/>
        <item x="87"/>
        <item x="234"/>
        <item x="515"/>
        <item x="132"/>
        <item x="360"/>
        <item x="119"/>
        <item x="540"/>
        <item x="491"/>
        <item x="635"/>
        <item x="254"/>
        <item x="532"/>
        <item x="11"/>
        <item x="21"/>
        <item x="105"/>
        <item x="636"/>
        <item x="142"/>
        <item x="312"/>
        <item x="164"/>
        <item x="374"/>
        <item x="295"/>
        <item x="574"/>
        <item x="6"/>
        <item x="370"/>
        <item t="default"/>
      </items>
    </pivotField>
    <pivotField showAll="0"/>
    <pivotField showAll="0">
      <items count="727">
        <item x="610"/>
        <item x="436"/>
        <item x="52"/>
        <item x="410"/>
        <item x="546"/>
        <item x="55"/>
        <item x="182"/>
        <item x="675"/>
        <item x="292"/>
        <item x="513"/>
        <item x="439"/>
        <item x="221"/>
        <item x="100"/>
        <item x="337"/>
        <item x="615"/>
        <item x="504"/>
        <item x="309"/>
        <item x="431"/>
        <item x="67"/>
        <item x="373"/>
        <item x="626"/>
        <item x="259"/>
        <item x="530"/>
        <item x="686"/>
        <item x="128"/>
        <item x="543"/>
        <item x="458"/>
        <item x="120"/>
        <item x="248"/>
        <item x="380"/>
        <item x="233"/>
        <item x="35"/>
        <item x="86"/>
        <item x="102"/>
        <item x="642"/>
        <item x="174"/>
        <item x="50"/>
        <item x="354"/>
        <item x="1"/>
        <item x="483"/>
        <item x="95"/>
        <item x="630"/>
        <item x="523"/>
        <item x="573"/>
        <item x="133"/>
        <item x="265"/>
        <item x="183"/>
        <item x="172"/>
        <item x="647"/>
        <item x="181"/>
        <item x="148"/>
        <item x="489"/>
        <item x="334"/>
        <item x="192"/>
        <item x="81"/>
        <item x="25"/>
        <item x="96"/>
        <item x="180"/>
        <item x="160"/>
        <item x="260"/>
        <item x="147"/>
        <item x="547"/>
        <item x="398"/>
        <item x="185"/>
        <item x="370"/>
        <item x="684"/>
        <item x="4"/>
        <item x="654"/>
        <item x="79"/>
        <item x="482"/>
        <item x="90"/>
        <item x="575"/>
        <item x="316"/>
        <item x="237"/>
        <item x="708"/>
        <item x="723"/>
        <item x="424"/>
        <item x="348"/>
        <item x="13"/>
        <item x="177"/>
        <item x="374"/>
        <item x="571"/>
        <item x="80"/>
        <item x="49"/>
        <item x="437"/>
        <item x="193"/>
        <item x="155"/>
        <item x="666"/>
        <item x="704"/>
        <item x="76"/>
        <item x="46"/>
        <item x="262"/>
        <item x="251"/>
        <item x="494"/>
        <item x="227"/>
        <item x="191"/>
        <item x="676"/>
        <item x="351"/>
        <item x="589"/>
        <item x="455"/>
        <item x="24"/>
        <item x="450"/>
        <item x="186"/>
        <item x="171"/>
        <item x="318"/>
        <item x="346"/>
        <item x="461"/>
        <item x="201"/>
        <item x="592"/>
        <item x="194"/>
        <item x="624"/>
        <item x="469"/>
        <item x="619"/>
        <item x="8"/>
        <item x="280"/>
        <item x="273"/>
        <item x="2"/>
        <item x="30"/>
        <item x="690"/>
        <item x="541"/>
        <item x="544"/>
        <item x="210"/>
        <item x="274"/>
        <item x="609"/>
        <item x="459"/>
        <item x="302"/>
        <item x="501"/>
        <item x="99"/>
        <item x="472"/>
        <item x="722"/>
        <item x="427"/>
        <item x="542"/>
        <item x="616"/>
        <item x="284"/>
        <item x="298"/>
        <item x="413"/>
        <item x="535"/>
        <item x="721"/>
        <item x="669"/>
        <item x="576"/>
        <item x="70"/>
        <item x="590"/>
        <item x="347"/>
        <item x="596"/>
        <item x="649"/>
        <item x="38"/>
        <item x="473"/>
        <item x="558"/>
        <item x="267"/>
        <item x="72"/>
        <item x="119"/>
        <item x="595"/>
        <item x="244"/>
        <item x="549"/>
        <item x="285"/>
        <item x="159"/>
        <item x="664"/>
        <item x="657"/>
        <item x="291"/>
        <item x="697"/>
        <item x="671"/>
        <item x="404"/>
        <item x="65"/>
        <item x="560"/>
        <item x="207"/>
        <item x="78"/>
        <item x="532"/>
        <item x="451"/>
        <item x="405"/>
        <item x="581"/>
        <item x="247"/>
        <item x="515"/>
        <item x="202"/>
        <item x="702"/>
        <item x="393"/>
        <item x="254"/>
        <item x="218"/>
        <item x="156"/>
        <item x="319"/>
        <item x="215"/>
        <item x="141"/>
        <item x="314"/>
        <item x="428"/>
        <item x="687"/>
        <item x="588"/>
        <item x="600"/>
        <item x="240"/>
        <item x="554"/>
        <item x="680"/>
        <item x="500"/>
        <item x="694"/>
        <item x="369"/>
        <item x="503"/>
        <item x="111"/>
        <item x="341"/>
        <item x="126"/>
        <item x="634"/>
        <item x="7"/>
        <item x="9"/>
        <item x="21"/>
        <item x="466"/>
        <item x="59"/>
        <item x="622"/>
        <item x="110"/>
        <item x="572"/>
        <item x="14"/>
        <item x="109"/>
        <item x="345"/>
        <item x="42"/>
        <item x="330"/>
        <item x="125"/>
        <item x="195"/>
        <item x="73"/>
        <item x="548"/>
        <item x="502"/>
        <item x="718"/>
        <item x="417"/>
        <item x="711"/>
        <item x="253"/>
        <item x="556"/>
        <item x="294"/>
        <item x="586"/>
        <item x="376"/>
        <item x="715"/>
        <item x="607"/>
        <item x="122"/>
        <item x="416"/>
        <item x="158"/>
        <item x="491"/>
        <item x="492"/>
        <item x="313"/>
        <item x="463"/>
        <item x="178"/>
        <item x="580"/>
        <item x="286"/>
        <item x="231"/>
        <item x="322"/>
        <item x="478"/>
        <item x="261"/>
        <item x="394"/>
        <item x="135"/>
        <item x="238"/>
        <item x="321"/>
        <item x="311"/>
        <item x="165"/>
        <item x="242"/>
        <item x="418"/>
        <item x="614"/>
        <item x="693"/>
        <item x="646"/>
        <item x="144"/>
        <item x="332"/>
        <item x="707"/>
        <item x="528"/>
        <item x="490"/>
        <item x="717"/>
        <item x="303"/>
        <item x="271"/>
        <item x="308"/>
        <item x="566"/>
        <item x="651"/>
        <item x="98"/>
        <item x="636"/>
        <item x="33"/>
        <item x="145"/>
        <item x="645"/>
        <item x="379"/>
        <item x="551"/>
        <item x="658"/>
        <item x="213"/>
        <item x="289"/>
        <item x="674"/>
        <item x="519"/>
        <item x="132"/>
        <item x="452"/>
        <item x="706"/>
        <item x="673"/>
        <item x="75"/>
        <item x="668"/>
        <item x="325"/>
        <item x="430"/>
        <item x="37"/>
        <item x="268"/>
        <item x="656"/>
        <item x="232"/>
        <item x="617"/>
        <item x="479"/>
        <item x="677"/>
        <item x="420"/>
        <item x="568"/>
        <item x="176"/>
        <item x="520"/>
        <item x="353"/>
        <item x="301"/>
        <item x="363"/>
        <item x="462"/>
        <item x="434"/>
        <item x="498"/>
        <item x="175"/>
        <item x="445"/>
        <item x="230"/>
        <item x="60"/>
        <item x="87"/>
        <item x="512"/>
        <item x="524"/>
        <item x="625"/>
        <item x="388"/>
        <item x="517"/>
        <item x="41"/>
        <item x="163"/>
        <item x="382"/>
        <item x="496"/>
        <item x="713"/>
        <item x="328"/>
        <item x="477"/>
        <item x="331"/>
        <item x="557"/>
        <item x="40"/>
        <item x="157"/>
        <item x="225"/>
        <item x="467"/>
        <item x="290"/>
        <item x="602"/>
        <item x="16"/>
        <item x="585"/>
        <item x="411"/>
        <item x="329"/>
        <item x="514"/>
        <item x="660"/>
        <item x="695"/>
        <item x="511"/>
        <item x="83"/>
        <item x="85"/>
        <item x="367"/>
        <item x="667"/>
        <item x="425"/>
        <item x="297"/>
        <item x="638"/>
        <item x="340"/>
        <item x="419"/>
        <item x="115"/>
        <item x="688"/>
        <item x="534"/>
        <item x="200"/>
        <item x="637"/>
        <item x="228"/>
        <item x="179"/>
        <item x="408"/>
        <item x="20"/>
        <item x="249"/>
        <item x="310"/>
        <item x="15"/>
        <item x="621"/>
        <item x="143"/>
        <item x="587"/>
        <item x="639"/>
        <item x="12"/>
        <item x="359"/>
        <item x="392"/>
        <item x="720"/>
        <item x="121"/>
        <item x="375"/>
        <item x="256"/>
        <item x="456"/>
        <item x="219"/>
        <item x="71"/>
        <item x="435"/>
        <item x="366"/>
        <item x="620"/>
        <item x="618"/>
        <item x="510"/>
        <item x="124"/>
        <item x="696"/>
        <item x="421"/>
        <item x="604"/>
        <item x="243"/>
        <item x="481"/>
        <item x="305"/>
        <item x="190"/>
        <item x="601"/>
        <item x="187"/>
        <item x="220"/>
        <item x="36"/>
        <item x="397"/>
        <item x="650"/>
        <item x="631"/>
        <item x="526"/>
        <item x="632"/>
        <item x="611"/>
        <item x="323"/>
        <item x="169"/>
        <item x="533"/>
        <item x="508"/>
        <item x="142"/>
        <item x="401"/>
        <item x="539"/>
        <item x="536"/>
        <item x="320"/>
        <item x="407"/>
        <item x="82"/>
        <item x="203"/>
        <item x="641"/>
        <item x="365"/>
        <item x="283"/>
        <item x="567"/>
        <item x="326"/>
        <item x="371"/>
        <item x="153"/>
        <item x="236"/>
        <item x="603"/>
        <item x="137"/>
        <item x="51"/>
        <item x="682"/>
        <item x="681"/>
        <item x="475"/>
        <item x="643"/>
        <item x="223"/>
        <item x="154"/>
        <item x="701"/>
        <item x="426"/>
        <item x="444"/>
        <item x="84"/>
        <item x="521"/>
        <item x="57"/>
        <item x="552"/>
        <item x="563"/>
        <item x="208"/>
        <item x="62"/>
        <item x="229"/>
        <item x="266"/>
        <item x="553"/>
        <item x="495"/>
        <item x="446"/>
        <item x="665"/>
        <item x="559"/>
        <item x="349"/>
        <item x="88"/>
        <item x="538"/>
        <item x="402"/>
        <item x="250"/>
        <item x="26"/>
        <item x="368"/>
        <item x="312"/>
        <item x="317"/>
        <item x="293"/>
        <item x="245"/>
        <item x="531"/>
        <item x="605"/>
        <item x="545"/>
        <item x="361"/>
        <item x="537"/>
        <item x="448"/>
        <item x="234"/>
        <item x="381"/>
        <item x="269"/>
        <item x="357"/>
        <item x="198"/>
        <item x="678"/>
        <item x="299"/>
        <item x="710"/>
        <item x="97"/>
        <item x="275"/>
        <item x="69"/>
        <item x="22"/>
        <item x="700"/>
        <item x="662"/>
        <item x="161"/>
        <item x="522"/>
        <item x="188"/>
        <item x="465"/>
        <item x="390"/>
        <item x="454"/>
        <item x="257"/>
        <item x="648"/>
        <item x="34"/>
        <item x="43"/>
        <item x="279"/>
        <item x="306"/>
        <item x="19"/>
        <item x="406"/>
        <item x="288"/>
        <item x="127"/>
        <item x="635"/>
        <item x="356"/>
        <item x="327"/>
        <item x="32"/>
        <item x="360"/>
        <item x="105"/>
        <item x="107"/>
        <item x="131"/>
        <item x="31"/>
        <item x="540"/>
        <item x="447"/>
        <item x="333"/>
        <item x="300"/>
        <item x="460"/>
        <item x="117"/>
        <item x="606"/>
        <item x="307"/>
        <item x="235"/>
        <item x="499"/>
        <item x="281"/>
        <item x="134"/>
        <item x="246"/>
        <item x="68"/>
        <item x="663"/>
        <item x="476"/>
        <item x="66"/>
        <item x="565"/>
        <item x="569"/>
        <item x="485"/>
        <item x="377"/>
        <item x="6"/>
        <item x="54"/>
        <item x="45"/>
        <item x="474"/>
        <item x="28"/>
        <item x="94"/>
        <item x="77"/>
        <item x="608"/>
        <item x="484"/>
        <item x="3"/>
        <item x="212"/>
        <item x="400"/>
        <item x="486"/>
        <item x="518"/>
        <item x="364"/>
        <item x="116"/>
        <item x="199"/>
        <item x="56"/>
        <item x="112"/>
        <item x="5"/>
        <item x="61"/>
        <item x="118"/>
        <item x="683"/>
        <item x="205"/>
        <item x="577"/>
        <item x="574"/>
        <item x="304"/>
        <item x="108"/>
        <item x="217"/>
        <item x="204"/>
        <item x="104"/>
        <item x="488"/>
        <item x="414"/>
        <item x="0"/>
        <item x="146"/>
        <item x="409"/>
        <item x="29"/>
        <item x="362"/>
        <item x="106"/>
        <item x="264"/>
        <item x="129"/>
        <item x="336"/>
        <item x="725"/>
        <item x="149"/>
        <item x="222"/>
        <item x="277"/>
        <item x="703"/>
        <item x="114"/>
        <item x="91"/>
        <item x="18"/>
        <item x="672"/>
        <item x="103"/>
        <item x="652"/>
        <item x="415"/>
        <item x="453"/>
        <item x="412"/>
        <item x="352"/>
        <item x="47"/>
        <item x="493"/>
        <item x="138"/>
        <item x="714"/>
        <item x="497"/>
        <item x="719"/>
        <item x="709"/>
        <item x="258"/>
        <item x="58"/>
        <item x="315"/>
        <item x="591"/>
        <item x="692"/>
        <item x="525"/>
        <item x="633"/>
        <item x="670"/>
        <item x="582"/>
        <item x="506"/>
        <item x="372"/>
        <item x="295"/>
        <item x="629"/>
        <item x="239"/>
        <item x="698"/>
        <item x="441"/>
        <item x="335"/>
        <item x="699"/>
        <item x="689"/>
        <item x="53"/>
        <item x="211"/>
        <item x="130"/>
        <item x="387"/>
        <item x="679"/>
        <item x="593"/>
        <item x="422"/>
        <item x="386"/>
        <item x="471"/>
        <item x="344"/>
        <item x="378"/>
        <item x="432"/>
        <item x="433"/>
        <item x="509"/>
        <item x="564"/>
        <item x="270"/>
        <item x="123"/>
        <item x="17"/>
        <item x="339"/>
        <item x="644"/>
        <item x="583"/>
        <item x="628"/>
        <item x="403"/>
        <item x="612"/>
        <item x="216"/>
        <item x="48"/>
        <item x="438"/>
        <item x="214"/>
        <item x="395"/>
        <item x="597"/>
        <item x="189"/>
        <item x="594"/>
        <item x="263"/>
        <item x="338"/>
        <item x="209"/>
        <item x="167"/>
        <item x="555"/>
        <item x="527"/>
        <item x="653"/>
        <item x="276"/>
        <item x="429"/>
        <item x="272"/>
        <item x="226"/>
        <item x="480"/>
        <item x="464"/>
        <item x="442"/>
        <item x="164"/>
        <item x="197"/>
        <item x="470"/>
        <item x="443"/>
        <item x="661"/>
        <item x="561"/>
        <item x="168"/>
        <item x="150"/>
        <item x="93"/>
        <item x="599"/>
        <item x="241"/>
        <item x="579"/>
        <item x="384"/>
        <item x="162"/>
        <item x="140"/>
        <item x="342"/>
        <item x="396"/>
        <item x="282"/>
        <item x="278"/>
        <item x="383"/>
        <item x="613"/>
        <item x="655"/>
        <item x="196"/>
        <item x="724"/>
        <item x="184"/>
        <item x="343"/>
        <item x="389"/>
        <item x="598"/>
        <item x="550"/>
        <item x="63"/>
        <item x="640"/>
        <item x="287"/>
        <item x="505"/>
        <item x="64"/>
        <item x="423"/>
        <item x="449"/>
        <item x="578"/>
        <item x="113"/>
        <item x="44"/>
        <item x="358"/>
        <item x="10"/>
        <item x="440"/>
        <item x="27"/>
        <item x="627"/>
        <item x="152"/>
        <item x="324"/>
        <item x="507"/>
        <item x="170"/>
        <item x="39"/>
        <item x="457"/>
        <item x="173"/>
        <item x="391"/>
        <item x="516"/>
        <item x="659"/>
        <item x="355"/>
        <item x="691"/>
        <item x="399"/>
        <item x="74"/>
        <item x="166"/>
        <item x="716"/>
        <item x="623"/>
        <item x="562"/>
        <item x="92"/>
        <item x="224"/>
        <item x="206"/>
        <item x="252"/>
        <item x="487"/>
        <item x="296"/>
        <item x="255"/>
        <item x="101"/>
        <item x="350"/>
        <item x="89"/>
        <item x="685"/>
        <item x="705"/>
        <item x="584"/>
        <item x="570"/>
        <item x="23"/>
        <item x="468"/>
        <item x="151"/>
        <item x="712"/>
        <item x="529"/>
        <item x="136"/>
        <item x="385"/>
        <item x="139"/>
        <item x="1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21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20"/>
  </colFields>
  <colItems count="2">
    <i>
      <x v="2"/>
    </i>
    <i t="grand">
      <x/>
    </i>
  </colItems>
  <pageFields count="10">
    <pageField fld="38" hier="-1"/>
    <pageField fld="10" hier="-1"/>
    <pageField fld="11" hier="-1"/>
    <pageField fld="28" hier="-1"/>
    <pageField fld="2" hier="-1"/>
    <pageField fld="29" hier="-1"/>
    <pageField fld="19" hier="-1"/>
    <pageField fld="18" hier="-1"/>
    <pageField fld="27" hier="-1"/>
    <pageField fld="30" item="2" hier="-1"/>
  </pageFields>
  <dataFields count="1">
    <dataField name="Count of policy_number" fld="2" subtotal="count" baseField="21" baseItem="4"/>
  </dataFields>
  <formats count="3">
    <format dxfId="46">
      <pivotArea outline="0" collapsedLevelsAreSubtotals="1" fieldPosition="0"/>
    </format>
    <format dxfId="47">
      <pivotArea outline="0" fieldPosition="0">
        <references count="1">
          <reference field="4294967294" count="1">
            <x v="0"/>
          </reference>
        </references>
      </pivotArea>
    </format>
    <format dxfId="0">
      <pivotArea collapsedLevelsAreSubtotals="1" fieldPosition="0">
        <references count="2">
          <reference field="20" count="0" selected="0"/>
          <reference field="2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9684-B974-4C52-98C9-50D5336BE574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W13:AY20" firstHeaderRow="1" firstDataRow="2" firstDataCol="1" rowPageCount="10" colPageCount="1"/>
  <pivotFields count="40">
    <pivotField showAll="0"/>
    <pivotField showAll="0">
      <items count="47">
        <item x="41"/>
        <item x="44"/>
        <item x="42"/>
        <item x="45"/>
        <item x="10"/>
        <item x="39"/>
        <item x="20"/>
        <item x="13"/>
        <item x="28"/>
        <item x="23"/>
        <item x="2"/>
        <item x="22"/>
        <item x="14"/>
        <item x="30"/>
        <item x="8"/>
        <item x="6"/>
        <item x="21"/>
        <item x="31"/>
        <item x="7"/>
        <item x="11"/>
        <item x="5"/>
        <item x="17"/>
        <item x="3"/>
        <item x="1"/>
        <item x="18"/>
        <item x="4"/>
        <item x="19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axis="axisPage" dataField="1" showAll="0">
      <items count="1000">
        <item x="662"/>
        <item x="862"/>
        <item x="5"/>
        <item x="588"/>
        <item x="336"/>
        <item x="441"/>
        <item x="675"/>
        <item x="43"/>
        <item x="990"/>
        <item x="601"/>
        <item x="942"/>
        <item x="635"/>
        <item x="530"/>
        <item x="641"/>
        <item x="563"/>
        <item x="579"/>
        <item x="222"/>
        <item x="23"/>
        <item x="546"/>
        <item x="74"/>
        <item x="509"/>
        <item x="913"/>
        <item x="251"/>
        <item x="919"/>
        <item x="147"/>
        <item x="154"/>
        <item x="393"/>
        <item x="179"/>
        <item x="950"/>
        <item x="285"/>
        <item x="90"/>
        <item x="34"/>
        <item x="872"/>
        <item x="235"/>
        <item x="425"/>
        <item x="299"/>
        <item x="63"/>
        <item x="965"/>
        <item x="186"/>
        <item x="804"/>
        <item x="626"/>
        <item x="456"/>
        <item x="160"/>
        <item x="141"/>
        <item x="167"/>
        <item x="792"/>
        <item x="868"/>
        <item x="745"/>
        <item x="113"/>
        <item x="603"/>
        <item x="19"/>
        <item x="177"/>
        <item x="248"/>
        <item x="941"/>
        <item x="110"/>
        <item x="463"/>
        <item x="820"/>
        <item x="933"/>
        <item x="371"/>
        <item x="691"/>
        <item x="312"/>
        <item x="720"/>
        <item x="171"/>
        <item x="115"/>
        <item x="911"/>
        <item x="121"/>
        <item x="634"/>
        <item x="494"/>
        <item x="342"/>
        <item x="710"/>
        <item x="909"/>
        <item x="331"/>
        <item x="317"/>
        <item x="107"/>
        <item x="892"/>
        <item x="525"/>
        <item x="143"/>
        <item x="416"/>
        <item x="75"/>
        <item x="484"/>
        <item x="866"/>
        <item x="256"/>
        <item x="514"/>
        <item x="460"/>
        <item x="600"/>
        <item x="198"/>
        <item x="433"/>
        <item x="217"/>
        <item x="73"/>
        <item x="903"/>
        <item x="859"/>
        <item x="739"/>
        <item x="772"/>
        <item x="883"/>
        <item x="736"/>
        <item x="438"/>
        <item x="668"/>
        <item x="985"/>
        <item x="20"/>
        <item x="245"/>
        <item x="768"/>
        <item x="995"/>
        <item x="246"/>
        <item x="522"/>
        <item x="617"/>
        <item x="777"/>
        <item x="948"/>
        <item x="100"/>
        <item x="35"/>
        <item x="358"/>
        <item x="492"/>
        <item x="149"/>
        <item x="386"/>
        <item x="676"/>
        <item x="690"/>
        <item x="39"/>
        <item x="374"/>
        <item x="243"/>
        <item x="592"/>
        <item x="829"/>
        <item x="194"/>
        <item x="252"/>
        <item x="11"/>
        <item x="991"/>
        <item x="512"/>
        <item x="367"/>
        <item x="703"/>
        <item x="148"/>
        <item x="380"/>
        <item x="473"/>
        <item x="210"/>
        <item x="871"/>
        <item x="905"/>
        <item x="722"/>
        <item x="971"/>
        <item x="658"/>
        <item x="323"/>
        <item x="185"/>
        <item x="262"/>
        <item x="951"/>
        <item x="3"/>
        <item x="591"/>
        <item x="746"/>
        <item x="502"/>
        <item x="894"/>
        <item x="945"/>
        <item x="513"/>
        <item x="734"/>
        <item x="96"/>
        <item x="305"/>
        <item x="164"/>
        <item x="686"/>
        <item x="470"/>
        <item x="228"/>
        <item x="516"/>
        <item x="517"/>
        <item x="523"/>
        <item x="98"/>
        <item x="199"/>
        <item x="766"/>
        <item x="459"/>
        <item x="453"/>
        <item x="176"/>
        <item x="751"/>
        <item x="565"/>
        <item x="806"/>
        <item x="407"/>
        <item x="437"/>
        <item x="120"/>
        <item x="816"/>
        <item x="881"/>
        <item x="767"/>
        <item x="70"/>
        <item x="236"/>
        <item x="309"/>
        <item x="656"/>
        <item x="654"/>
        <item x="449"/>
        <item x="842"/>
        <item x="360"/>
        <item x="507"/>
        <item x="773"/>
        <item x="774"/>
        <item x="508"/>
        <item x="224"/>
        <item x="426"/>
        <item x="607"/>
        <item x="794"/>
        <item x="895"/>
        <item x="297"/>
        <item x="17"/>
        <item x="596"/>
        <item x="267"/>
        <item x="311"/>
        <item x="78"/>
        <item x="237"/>
        <item x="943"/>
        <item x="53"/>
        <item x="531"/>
        <item x="708"/>
        <item x="106"/>
        <item x="259"/>
        <item x="495"/>
        <item x="605"/>
        <item x="685"/>
        <item x="22"/>
        <item x="688"/>
        <item x="427"/>
        <item x="170"/>
        <item x="585"/>
        <item x="735"/>
        <item x="973"/>
        <item x="898"/>
        <item x="932"/>
        <item x="189"/>
        <item x="418"/>
        <item x="301"/>
        <item x="655"/>
        <item x="156"/>
        <item x="412"/>
        <item x="60"/>
        <item x="896"/>
        <item x="56"/>
        <item x="93"/>
        <item x="648"/>
        <item x="681"/>
        <item x="589"/>
        <item x="442"/>
        <item x="707"/>
        <item x="562"/>
        <item x="117"/>
        <item x="501"/>
        <item x="631"/>
        <item x="808"/>
        <item x="836"/>
        <item x="620"/>
        <item x="247"/>
        <item x="758"/>
        <item x="447"/>
        <item x="552"/>
        <item x="891"/>
        <item x="279"/>
        <item x="116"/>
        <item x="799"/>
        <item x="348"/>
        <item x="852"/>
        <item x="64"/>
        <item x="287"/>
        <item x="721"/>
        <item x="165"/>
        <item x="249"/>
        <item x="31"/>
        <item x="560"/>
        <item x="340"/>
        <item x="778"/>
        <item x="355"/>
        <item x="901"/>
        <item x="1"/>
        <item x="61"/>
        <item x="457"/>
        <item x="856"/>
        <item x="519"/>
        <item x="66"/>
        <item x="162"/>
        <item x="378"/>
        <item x="68"/>
        <item x="400"/>
        <item x="543"/>
        <item x="315"/>
        <item x="823"/>
        <item x="142"/>
        <item x="953"/>
        <item x="361"/>
        <item x="421"/>
        <item x="65"/>
        <item x="278"/>
        <item x="830"/>
        <item x="388"/>
        <item x="697"/>
        <item x="499"/>
        <item x="351"/>
        <item x="571"/>
        <item x="770"/>
        <item x="803"/>
        <item x="853"/>
        <item x="221"/>
        <item x="4"/>
        <item x="274"/>
        <item x="119"/>
        <item x="368"/>
        <item x="725"/>
        <item x="848"/>
        <item x="715"/>
        <item x="307"/>
        <item x="538"/>
        <item x="450"/>
        <item x="467"/>
        <item x="482"/>
        <item x="444"/>
        <item x="732"/>
        <item x="874"/>
        <item x="916"/>
        <item x="576"/>
        <item x="802"/>
        <item x="536"/>
        <item x="349"/>
        <item x="533"/>
        <item x="293"/>
        <item x="554"/>
        <item x="674"/>
        <item x="364"/>
        <item x="899"/>
        <item x="372"/>
        <item x="101"/>
        <item x="771"/>
        <item x="963"/>
        <item x="241"/>
        <item x="322"/>
        <item x="182"/>
        <item x="51"/>
        <item x="111"/>
        <item x="264"/>
        <item x="146"/>
        <item x="567"/>
        <item x="404"/>
        <item x="469"/>
        <item x="180"/>
        <item x="924"/>
        <item x="743"/>
        <item x="347"/>
        <item x="316"/>
        <item x="566"/>
        <item x="229"/>
        <item x="333"/>
        <item x="608"/>
        <item x="637"/>
        <item x="394"/>
        <item x="440"/>
        <item x="376"/>
        <item x="458"/>
        <item x="6"/>
        <item x="328"/>
        <item x="125"/>
        <item x="327"/>
        <item x="152"/>
        <item x="296"/>
        <item x="54"/>
        <item x="748"/>
        <item x="917"/>
        <item x="542"/>
        <item x="343"/>
        <item x="424"/>
        <item x="276"/>
        <item x="580"/>
        <item x="172"/>
        <item x="302"/>
        <item x="308"/>
        <item x="209"/>
        <item x="126"/>
        <item x="7"/>
        <item x="44"/>
        <item x="493"/>
        <item x="461"/>
        <item x="683"/>
        <item x="633"/>
        <item x="21"/>
        <item x="435"/>
        <item x="613"/>
        <item x="955"/>
        <item x="136"/>
        <item x="356"/>
        <item x="207"/>
        <item x="665"/>
        <item x="133"/>
        <item x="960"/>
        <item x="188"/>
        <item x="574"/>
        <item x="904"/>
        <item x="431"/>
        <item x="414"/>
        <item x="642"/>
        <item x="783"/>
        <item x="709"/>
        <item x="220"/>
        <item x="184"/>
        <item x="682"/>
        <item x="290"/>
        <item x="753"/>
        <item x="497"/>
        <item x="511"/>
        <item x="341"/>
        <item x="716"/>
        <item x="288"/>
        <item x="41"/>
        <item x="926"/>
        <item x="159"/>
        <item x="889"/>
        <item x="140"/>
        <item x="918"/>
        <item x="373"/>
        <item x="705"/>
        <item x="462"/>
        <item x="784"/>
        <item x="643"/>
        <item x="397"/>
        <item x="584"/>
        <item x="714"/>
        <item x="387"/>
        <item x="870"/>
        <item x="692"/>
        <item x="128"/>
        <item x="629"/>
        <item x="956"/>
        <item x="624"/>
        <item x="260"/>
        <item x="819"/>
        <item x="232"/>
        <item x="173"/>
        <item x="653"/>
        <item x="798"/>
        <item x="755"/>
        <item x="661"/>
        <item x="79"/>
        <item x="471"/>
        <item x="570"/>
        <item x="58"/>
        <item x="598"/>
        <item x="37"/>
        <item x="8"/>
        <item x="811"/>
        <item x="69"/>
        <item x="330"/>
        <item x="810"/>
        <item x="652"/>
        <item x="964"/>
        <item x="776"/>
        <item x="860"/>
        <item x="981"/>
        <item x="921"/>
        <item x="902"/>
        <item x="166"/>
        <item x="505"/>
        <item x="439"/>
        <item x="234"/>
        <item x="500"/>
        <item x="689"/>
        <item x="430"/>
        <item x="593"/>
        <item x="83"/>
        <item x="490"/>
        <item x="550"/>
        <item x="84"/>
        <item x="383"/>
        <item x="67"/>
        <item x="822"/>
        <item x="419"/>
        <item x="575"/>
        <item x="527"/>
        <item x="545"/>
        <item x="200"/>
        <item x="448"/>
        <item x="740"/>
        <item x="597"/>
        <item x="569"/>
        <item x="214"/>
        <item x="231"/>
        <item x="277"/>
        <item x="582"/>
        <item x="244"/>
        <item x="181"/>
        <item x="369"/>
        <item x="144"/>
        <item x="313"/>
        <item x="977"/>
        <item x="298"/>
        <item x="839"/>
        <item x="761"/>
        <item x="127"/>
        <item x="62"/>
        <item x="712"/>
        <item x="0"/>
        <item x="815"/>
        <item x="625"/>
        <item x="854"/>
        <item x="273"/>
        <item x="922"/>
        <item x="187"/>
        <item x="55"/>
        <item x="420"/>
        <item x="980"/>
        <item x="289"/>
        <item x="649"/>
        <item x="76"/>
        <item x="834"/>
        <item x="590"/>
        <item x="45"/>
        <item x="218"/>
        <item x="946"/>
        <item x="118"/>
        <item x="250"/>
        <item x="997"/>
        <item x="359"/>
        <item x="529"/>
        <item x="936"/>
        <item x="698"/>
        <item x="50"/>
        <item x="395"/>
        <item x="515"/>
        <item x="553"/>
        <item x="581"/>
        <item x="10"/>
        <item x="962"/>
        <item x="845"/>
        <item x="205"/>
        <item x="239"/>
        <item x="988"/>
        <item x="551"/>
        <item x="556"/>
        <item x="398"/>
        <item x="451"/>
        <item x="782"/>
        <item x="346"/>
        <item x="504"/>
        <item x="998"/>
        <item x="978"/>
        <item x="564"/>
        <item x="885"/>
        <item x="949"/>
        <item x="16"/>
        <item x="357"/>
        <item x="337"/>
        <item x="957"/>
        <item x="150"/>
        <item x="211"/>
        <item x="362"/>
        <item x="824"/>
        <item x="882"/>
        <item x="879"/>
        <item x="959"/>
        <item x="466"/>
        <item x="818"/>
        <item x="153"/>
        <item x="321"/>
        <item x="269"/>
        <item x="644"/>
        <item x="900"/>
        <item x="48"/>
        <item x="518"/>
        <item x="310"/>
        <item x="339"/>
        <item x="32"/>
        <item x="489"/>
        <item x="275"/>
        <item x="202"/>
        <item x="701"/>
        <item x="704"/>
        <item x="157"/>
        <item x="987"/>
        <item x="215"/>
        <item x="664"/>
        <item x="366"/>
        <item x="257"/>
        <item x="787"/>
        <item x="615"/>
        <item x="406"/>
        <item x="28"/>
        <item x="832"/>
        <item x="206"/>
        <item x="938"/>
        <item x="59"/>
        <item x="875"/>
        <item x="541"/>
        <item x="498"/>
        <item x="240"/>
        <item x="954"/>
        <item x="195"/>
        <item x="843"/>
        <item x="572"/>
        <item x="213"/>
        <item x="744"/>
        <item x="639"/>
        <item x="789"/>
        <item x="645"/>
        <item x="930"/>
        <item x="713"/>
        <item x="750"/>
        <item x="912"/>
        <item x="26"/>
        <item x="344"/>
        <item x="86"/>
        <item x="303"/>
        <item x="729"/>
        <item x="40"/>
        <item x="131"/>
        <item x="555"/>
        <item x="524"/>
        <item x="413"/>
        <item x="837"/>
        <item x="130"/>
        <item x="338"/>
        <item x="728"/>
        <item x="334"/>
        <item x="57"/>
        <item x="379"/>
        <item x="706"/>
        <item x="13"/>
        <item x="549"/>
        <item x="77"/>
        <item x="465"/>
        <item x="226"/>
        <item x="242"/>
        <item x="197"/>
        <item x="821"/>
        <item x="410"/>
        <item x="409"/>
        <item x="105"/>
        <item x="583"/>
        <item x="884"/>
        <item x="817"/>
        <item x="9"/>
        <item x="640"/>
        <item x="586"/>
        <item x="702"/>
        <item x="719"/>
        <item x="695"/>
        <item x="578"/>
        <item x="935"/>
        <item x="14"/>
        <item x="80"/>
        <item x="958"/>
        <item x="851"/>
        <item x="114"/>
        <item x="174"/>
        <item x="760"/>
        <item x="132"/>
        <item x="961"/>
        <item x="204"/>
        <item x="178"/>
        <item x="423"/>
        <item x="201"/>
        <item x="693"/>
        <item x="611"/>
        <item x="295"/>
        <item x="71"/>
        <item x="731"/>
        <item x="650"/>
        <item x="737"/>
        <item x="475"/>
        <item x="989"/>
        <item x="558"/>
        <item x="867"/>
        <item x="30"/>
        <item x="230"/>
        <item x="886"/>
        <item x="711"/>
        <item x="984"/>
        <item x="929"/>
        <item x="844"/>
        <item x="657"/>
        <item x="992"/>
        <item x="876"/>
        <item x="161"/>
        <item x="87"/>
        <item x="993"/>
        <item x="405"/>
        <item x="139"/>
        <item x="646"/>
        <item x="765"/>
        <item x="833"/>
        <item x="928"/>
        <item x="89"/>
        <item x="429"/>
        <item x="2"/>
        <item x="670"/>
        <item x="539"/>
        <item x="291"/>
        <item x="402"/>
        <item x="726"/>
        <item x="49"/>
        <item x="81"/>
        <item x="865"/>
        <item x="679"/>
        <item x="890"/>
        <item x="826"/>
        <item x="350"/>
        <item x="595"/>
        <item x="727"/>
        <item x="619"/>
        <item x="477"/>
        <item x="602"/>
        <item x="300"/>
        <item x="759"/>
        <item x="861"/>
        <item x="123"/>
        <item x="129"/>
        <item x="797"/>
        <item x="680"/>
        <item x="939"/>
        <item x="452"/>
        <item x="940"/>
        <item x="788"/>
        <item x="521"/>
        <item x="910"/>
        <item x="915"/>
        <item x="272"/>
        <item x="795"/>
        <item x="781"/>
        <item x="944"/>
        <item x="840"/>
        <item x="526"/>
        <item x="52"/>
        <item x="627"/>
        <item x="669"/>
        <item x="92"/>
        <item x="970"/>
        <item x="487"/>
        <item x="233"/>
        <item x="594"/>
        <item x="377"/>
        <item x="24"/>
        <item x="855"/>
        <item x="864"/>
        <item x="254"/>
        <item x="208"/>
        <item x="97"/>
        <item x="318"/>
        <item x="225"/>
        <item x="496"/>
        <item x="540"/>
        <item x="212"/>
        <item x="485"/>
        <item x="908"/>
        <item x="375"/>
        <item x="937"/>
        <item x="677"/>
        <item x="390"/>
        <item x="261"/>
        <item x="925"/>
        <item x="888"/>
        <item x="800"/>
        <item x="785"/>
        <item x="478"/>
        <item x="138"/>
        <item x="294"/>
        <item x="559"/>
        <item x="392"/>
        <item x="647"/>
        <item x="671"/>
        <item x="464"/>
        <item x="102"/>
        <item x="769"/>
        <item x="72"/>
        <item x="873"/>
        <item x="503"/>
        <item x="967"/>
        <item x="747"/>
        <item x="304"/>
        <item x="841"/>
        <item x="678"/>
        <item x="982"/>
        <item x="109"/>
        <item x="972"/>
        <item x="846"/>
        <item x="280"/>
        <item x="622"/>
        <item x="155"/>
        <item x="573"/>
        <item x="764"/>
        <item x="752"/>
        <item x="286"/>
        <item x="793"/>
        <item x="548"/>
        <item x="488"/>
        <item x="700"/>
        <item x="42"/>
        <item x="952"/>
        <item x="474"/>
        <item x="863"/>
        <item x="696"/>
        <item x="577"/>
        <item x="667"/>
        <item x="491"/>
        <item x="145"/>
        <item x="472"/>
        <item x="756"/>
        <item x="599"/>
        <item x="99"/>
        <item x="684"/>
        <item x="835"/>
        <item x="353"/>
        <item x="85"/>
        <item x="805"/>
        <item x="281"/>
        <item x="763"/>
        <item x="326"/>
        <item x="660"/>
        <item x="345"/>
        <item x="796"/>
        <item x="724"/>
        <item x="733"/>
        <item x="292"/>
        <item x="486"/>
        <item x="428"/>
        <item x="636"/>
        <item x="434"/>
        <item x="544"/>
        <item x="255"/>
        <item x="445"/>
        <item x="880"/>
        <item x="266"/>
        <item x="329"/>
        <item x="807"/>
        <item x="122"/>
        <item x="638"/>
        <item x="191"/>
        <item x="284"/>
        <item x="422"/>
        <item x="606"/>
        <item x="612"/>
        <item x="618"/>
        <item x="717"/>
        <item x="609"/>
        <item x="363"/>
        <item x="814"/>
        <item x="483"/>
        <item x="986"/>
        <item x="227"/>
        <item x="934"/>
        <item x="532"/>
        <item x="268"/>
        <item x="12"/>
        <item x="258"/>
        <item x="927"/>
        <item x="968"/>
        <item x="907"/>
        <item x="969"/>
        <item x="974"/>
        <item x="432"/>
        <item x="537"/>
        <item x="108"/>
        <item x="158"/>
        <item x="443"/>
        <item x="623"/>
        <item x="382"/>
        <item x="314"/>
        <item x="25"/>
        <item x="831"/>
        <item x="791"/>
        <item x="779"/>
        <item x="332"/>
        <item x="827"/>
        <item x="47"/>
        <item x="906"/>
        <item x="190"/>
        <item x="809"/>
        <item x="535"/>
        <item x="223"/>
        <item x="104"/>
        <item x="270"/>
        <item x="699"/>
        <item x="385"/>
        <item x="391"/>
        <item x="534"/>
        <item x="319"/>
        <item x="192"/>
        <item x="354"/>
        <item x="878"/>
        <item x="738"/>
        <item x="687"/>
        <item x="812"/>
        <item x="947"/>
        <item x="975"/>
        <item x="265"/>
        <item x="389"/>
        <item x="632"/>
        <item x="325"/>
        <item x="742"/>
        <item x="15"/>
        <item x="614"/>
        <item x="203"/>
        <item x="857"/>
        <item x="238"/>
        <item x="95"/>
        <item x="403"/>
        <item x="436"/>
        <item x="384"/>
        <item x="151"/>
        <item x="825"/>
        <item x="813"/>
        <item x="29"/>
        <item x="979"/>
        <item x="801"/>
        <item x="757"/>
        <item x="455"/>
        <item x="587"/>
        <item x="628"/>
        <item x="651"/>
        <item x="923"/>
        <item x="27"/>
        <item x="175"/>
        <item x="480"/>
        <item x="996"/>
        <item x="91"/>
        <item x="193"/>
        <item x="561"/>
        <item x="786"/>
        <item x="528"/>
        <item x="18"/>
        <item x="775"/>
        <item x="183"/>
        <item x="169"/>
        <item x="718"/>
        <item x="520"/>
        <item x="506"/>
        <item x="411"/>
        <item x="610"/>
        <item x="893"/>
        <item x="976"/>
        <item x="468"/>
        <item x="306"/>
        <item x="966"/>
        <item x="396"/>
        <item x="135"/>
        <item x="36"/>
        <item x="137"/>
        <item x="335"/>
        <item x="253"/>
        <item x="417"/>
        <item x="399"/>
        <item x="754"/>
        <item x="46"/>
        <item x="103"/>
        <item x="219"/>
        <item x="663"/>
        <item x="994"/>
        <item x="666"/>
        <item x="263"/>
        <item x="694"/>
        <item x="401"/>
        <item x="621"/>
        <item x="673"/>
        <item x="730"/>
        <item x="897"/>
        <item x="547"/>
        <item x="320"/>
        <item x="828"/>
        <item x="630"/>
        <item x="847"/>
        <item x="370"/>
        <item x="454"/>
        <item x="858"/>
        <item x="352"/>
        <item x="88"/>
        <item x="82"/>
        <item x="723"/>
        <item x="168"/>
        <item x="780"/>
        <item x="510"/>
        <item x="887"/>
        <item x="134"/>
        <item x="838"/>
        <item x="124"/>
        <item x="931"/>
        <item x="283"/>
        <item x="216"/>
        <item x="415"/>
        <item x="476"/>
        <item x="749"/>
        <item x="983"/>
        <item x="479"/>
        <item x="568"/>
        <item x="196"/>
        <item x="365"/>
        <item x="790"/>
        <item x="616"/>
        <item x="869"/>
        <item x="112"/>
        <item x="850"/>
        <item x="38"/>
        <item x="762"/>
        <item x="324"/>
        <item x="163"/>
        <item x="877"/>
        <item x="408"/>
        <item x="920"/>
        <item x="282"/>
        <item x="33"/>
        <item x="741"/>
        <item x="849"/>
        <item x="659"/>
        <item x="914"/>
        <item x="94"/>
        <item x="446"/>
        <item x="271"/>
        <item x="481"/>
        <item x="604"/>
        <item x="557"/>
        <item x="672"/>
        <item x="381"/>
        <item t="default"/>
      </items>
    </pivotField>
    <pivotField numFmtId="164" showAll="0"/>
    <pivotField showAll="0"/>
    <pivotField showAll="0"/>
    <pivotField showAll="0"/>
    <pivotField showAll="0">
      <items count="989">
        <item x="245"/>
        <item x="758"/>
        <item x="41"/>
        <item x="677"/>
        <item x="376"/>
        <item x="624"/>
        <item x="264"/>
        <item x="728"/>
        <item x="654"/>
        <item x="597"/>
        <item x="275"/>
        <item x="17"/>
        <item x="606"/>
        <item x="457"/>
        <item x="835"/>
        <item x="980"/>
        <item x="371"/>
        <item x="933"/>
        <item x="308"/>
        <item x="987"/>
        <item x="206"/>
        <item x="203"/>
        <item x="82"/>
        <item x="497"/>
        <item x="241"/>
        <item x="288"/>
        <item x="826"/>
        <item x="474"/>
        <item x="437"/>
        <item x="58"/>
        <item x="861"/>
        <item x="519"/>
        <item x="383"/>
        <item x="689"/>
        <item x="294"/>
        <item x="921"/>
        <item x="433"/>
        <item x="698"/>
        <item x="128"/>
        <item x="797"/>
        <item x="614"/>
        <item x="65"/>
        <item x="622"/>
        <item x="720"/>
        <item x="702"/>
        <item x="971"/>
        <item x="428"/>
        <item x="146"/>
        <item x="25"/>
        <item x="496"/>
        <item x="792"/>
        <item x="957"/>
        <item x="488"/>
        <item x="252"/>
        <item x="491"/>
        <item x="57"/>
        <item x="958"/>
        <item x="84"/>
        <item x="21"/>
        <item x="501"/>
        <item x="747"/>
        <item x="23"/>
        <item x="175"/>
        <item x="320"/>
        <item x="334"/>
        <item x="655"/>
        <item x="70"/>
        <item x="172"/>
        <item x="565"/>
        <item x="315"/>
        <item x="346"/>
        <item x="887"/>
        <item x="896"/>
        <item x="648"/>
        <item x="459"/>
        <item x="718"/>
        <item x="302"/>
        <item x="890"/>
        <item x="505"/>
        <item x="754"/>
        <item x="185"/>
        <item x="904"/>
        <item x="358"/>
        <item x="905"/>
        <item x="213"/>
        <item x="369"/>
        <item x="344"/>
        <item x="234"/>
        <item x="714"/>
        <item x="764"/>
        <item x="13"/>
        <item x="438"/>
        <item x="974"/>
        <item x="557"/>
        <item x="297"/>
        <item x="674"/>
        <item x="424"/>
        <item x="912"/>
        <item x="478"/>
        <item x="962"/>
        <item x="28"/>
        <item x="851"/>
        <item x="335"/>
        <item x="930"/>
        <item x="662"/>
        <item x="116"/>
        <item x="696"/>
        <item x="129"/>
        <item x="239"/>
        <item x="351"/>
        <item x="645"/>
        <item x="138"/>
        <item x="97"/>
        <item x="396"/>
        <item x="293"/>
        <item x="406"/>
        <item x="574"/>
        <item x="373"/>
        <item x="372"/>
        <item x="270"/>
        <item x="831"/>
        <item x="735"/>
        <item x="77"/>
        <item x="425"/>
        <item x="541"/>
        <item x="219"/>
        <item x="903"/>
        <item x="583"/>
        <item x="862"/>
        <item x="939"/>
        <item x="612"/>
        <item x="411"/>
        <item x="723"/>
        <item x="186"/>
        <item x="615"/>
        <item x="668"/>
        <item x="339"/>
        <item x="34"/>
        <item x="966"/>
        <item x="584"/>
        <item x="800"/>
        <item x="716"/>
        <item x="142"/>
        <item x="611"/>
        <item x="60"/>
        <item x="361"/>
        <item x="756"/>
        <item x="322"/>
        <item x="593"/>
        <item x="703"/>
        <item x="813"/>
        <item x="544"/>
        <item x="147"/>
        <item x="578"/>
        <item x="221"/>
        <item x="946"/>
        <item x="283"/>
        <item x="560"/>
        <item x="276"/>
        <item x="936"/>
        <item x="950"/>
        <item x="649"/>
        <item x="444"/>
        <item x="599"/>
        <item x="535"/>
        <item x="546"/>
        <item x="200"/>
        <item x="475"/>
        <item x="929"/>
        <item x="538"/>
        <item x="779"/>
        <item x="298"/>
        <item x="214"/>
        <item x="568"/>
        <item x="418"/>
        <item x="571"/>
        <item x="855"/>
        <item x="853"/>
        <item x="246"/>
        <item x="527"/>
        <item x="348"/>
        <item x="858"/>
        <item x="261"/>
        <item x="886"/>
        <item x="774"/>
        <item x="74"/>
        <item x="607"/>
        <item x="121"/>
        <item x="924"/>
        <item x="740"/>
        <item x="201"/>
        <item x="934"/>
        <item x="646"/>
        <item x="176"/>
        <item x="148"/>
        <item x="476"/>
        <item x="617"/>
        <item x="208"/>
        <item x="362"/>
        <item x="250"/>
        <item x="872"/>
        <item x="951"/>
        <item x="224"/>
        <item x="151"/>
        <item x="120"/>
        <item x="182"/>
        <item x="927"/>
        <item x="915"/>
        <item x="69"/>
        <item x="812"/>
        <item x="439"/>
        <item x="183"/>
        <item x="233"/>
        <item x="111"/>
        <item x="961"/>
        <item x="678"/>
        <item x="66"/>
        <item x="332"/>
        <item x="605"/>
        <item x="661"/>
        <item x="504"/>
        <item x="229"/>
        <item x="49"/>
        <item x="107"/>
        <item x="618"/>
        <item x="949"/>
        <item x="93"/>
        <item x="431"/>
        <item x="395"/>
        <item x="462"/>
        <item x="817"/>
        <item x="168"/>
        <item x="265"/>
        <item x="42"/>
        <item x="610"/>
        <item x="900"/>
        <item x="823"/>
        <item x="54"/>
        <item x="392"/>
        <item x="269"/>
        <item x="874"/>
        <item x="227"/>
        <item x="337"/>
        <item x="188"/>
        <item x="305"/>
        <item x="30"/>
        <item x="387"/>
        <item x="704"/>
        <item x="291"/>
        <item x="379"/>
        <item x="536"/>
        <item x="965"/>
        <item x="849"/>
        <item x="461"/>
        <item x="356"/>
        <item x="296"/>
        <item x="178"/>
        <item x="637"/>
        <item x="531"/>
        <item x="409"/>
        <item x="970"/>
        <item x="899"/>
        <item x="364"/>
        <item x="114"/>
        <item x="27"/>
        <item x="68"/>
        <item x="592"/>
        <item x="829"/>
        <item x="947"/>
        <item x="906"/>
        <item x="561"/>
        <item x="113"/>
        <item x="799"/>
        <item x="432"/>
        <item x="931"/>
        <item x="801"/>
        <item x="726"/>
        <item x="693"/>
        <item x="435"/>
        <item x="922"/>
        <item x="390"/>
        <item x="408"/>
        <item x="465"/>
        <item x="389"/>
        <item x="558"/>
        <item x="730"/>
        <item x="616"/>
        <item x="712"/>
        <item x="719"/>
        <item x="46"/>
        <item x="336"/>
        <item x="112"/>
        <item x="768"/>
        <item x="744"/>
        <item x="736"/>
        <item x="167"/>
        <item x="630"/>
        <item x="104"/>
        <item x="881"/>
        <item x="343"/>
        <item x="761"/>
        <item x="724"/>
        <item x="15"/>
        <item x="867"/>
        <item x="498"/>
        <item x="625"/>
        <item x="773"/>
        <item x="258"/>
        <item x="416"/>
        <item x="284"/>
        <item x="556"/>
        <item x="89"/>
        <item x="517"/>
        <item x="7"/>
        <item x="228"/>
        <item x="126"/>
        <item x="787"/>
        <item x="403"/>
        <item x="894"/>
        <item x="600"/>
        <item x="181"/>
        <item x="103"/>
        <item x="386"/>
        <item x="879"/>
        <item x="158"/>
        <item x="809"/>
        <item x="869"/>
        <item x="502"/>
        <item x="897"/>
        <item x="748"/>
        <item x="641"/>
        <item x="96"/>
        <item x="603"/>
        <item x="468"/>
        <item x="157"/>
        <item x="197"/>
        <item x="253"/>
        <item x="579"/>
        <item x="746"/>
        <item x="300"/>
        <item x="36"/>
        <item x="814"/>
        <item x="743"/>
        <item x="676"/>
        <item x="149"/>
        <item x="635"/>
        <item x="378"/>
        <item x="407"/>
        <item x="577"/>
        <item x="512"/>
        <item x="160"/>
        <item x="843"/>
        <item x="117"/>
        <item x="59"/>
        <item x="511"/>
        <item x="918"/>
        <item x="530"/>
        <item x="450"/>
        <item x="652"/>
        <item x="722"/>
        <item x="806"/>
        <item x="499"/>
        <item x="781"/>
        <item x="902"/>
        <item x="452"/>
        <item x="436"/>
        <item x="914"/>
        <item x="842"/>
        <item x="442"/>
        <item x="426"/>
        <item x="960"/>
        <item x="804"/>
        <item x="901"/>
        <item x="365"/>
        <item x="515"/>
        <item x="427"/>
        <item x="20"/>
        <item x="500"/>
        <item x="880"/>
        <item x="969"/>
        <item x="839"/>
        <item x="650"/>
        <item x="405"/>
        <item x="191"/>
        <item x="506"/>
        <item x="393"/>
        <item x="715"/>
        <item x="576"/>
        <item x="852"/>
        <item x="508"/>
        <item x="285"/>
        <item x="725"/>
        <item x="360"/>
        <item x="1"/>
        <item x="155"/>
        <item x="136"/>
        <item x="220"/>
        <item x="911"/>
        <item x="16"/>
        <item x="964"/>
        <item x="952"/>
        <item x="51"/>
        <item x="596"/>
        <item x="609"/>
        <item x="352"/>
        <item x="156"/>
        <item x="683"/>
        <item x="547"/>
        <item x="932"/>
        <item x="105"/>
        <item x="380"/>
        <item x="385"/>
        <item x="798"/>
        <item x="222"/>
        <item x="846"/>
        <item x="353"/>
        <item x="733"/>
        <item x="12"/>
        <item x="190"/>
        <item x="681"/>
        <item x="350"/>
        <item x="523"/>
        <item x="210"/>
        <item x="464"/>
        <item x="694"/>
        <item x="230"/>
        <item x="273"/>
        <item x="660"/>
        <item x="139"/>
        <item x="673"/>
        <item x="542"/>
        <item x="539"/>
        <item x="137"/>
        <item x="690"/>
        <item x="35"/>
        <item x="110"/>
        <item x="666"/>
        <item x="171"/>
        <item x="479"/>
        <item x="87"/>
        <item x="170"/>
        <item x="628"/>
        <item x="619"/>
        <item x="782"/>
        <item x="555"/>
        <item x="559"/>
        <item x="816"/>
        <item x="513"/>
        <item x="763"/>
        <item x="586"/>
        <item x="471"/>
        <item x="80"/>
        <item x="695"/>
        <item x="202"/>
        <item x="981"/>
        <item x="825"/>
        <item x="778"/>
        <item x="494"/>
        <item x="140"/>
        <item x="249"/>
        <item x="340"/>
        <item x="644"/>
        <item x="820"/>
        <item x="64"/>
        <item x="303"/>
        <item x="44"/>
        <item x="381"/>
        <item x="166"/>
        <item x="394"/>
        <item x="223"/>
        <item x="838"/>
        <item x="347"/>
        <item x="398"/>
        <item x="47"/>
        <item x="943"/>
        <item x="821"/>
        <item x="306"/>
        <item x="977"/>
        <item x="286"/>
        <item x="938"/>
        <item x="524"/>
        <item x="268"/>
        <item x="321"/>
        <item x="581"/>
        <item x="10"/>
        <item x="878"/>
        <item x="174"/>
        <item x="620"/>
        <item x="859"/>
        <item x="543"/>
        <item x="440"/>
        <item x="550"/>
        <item x="412"/>
        <item x="834"/>
        <item x="833"/>
        <item x="391"/>
        <item x="329"/>
        <item x="374"/>
        <item x="567"/>
        <item x="749"/>
        <item x="37"/>
        <item x="935"/>
        <item x="247"/>
        <item x="766"/>
        <item x="709"/>
        <item x="827"/>
        <item x="729"/>
        <item x="79"/>
        <item x="551"/>
        <item x="22"/>
        <item x="401"/>
        <item x="115"/>
        <item x="520"/>
        <item x="920"/>
        <item x="876"/>
        <item x="824"/>
        <item x="907"/>
        <item x="45"/>
        <item x="752"/>
        <item x="710"/>
        <item x="152"/>
        <item x="533"/>
        <item x="290"/>
        <item x="430"/>
        <item x="53"/>
        <item x="595"/>
        <item x="864"/>
        <item x="132"/>
        <item x="240"/>
        <item x="67"/>
        <item x="212"/>
        <item x="979"/>
        <item x="480"/>
        <item x="199"/>
        <item x="254"/>
        <item x="134"/>
        <item x="898"/>
        <item x="518"/>
        <item x="421"/>
        <item x="664"/>
        <item x="349"/>
        <item x="569"/>
        <item x="870"/>
        <item x="312"/>
        <item x="522"/>
        <item x="26"/>
        <item x="534"/>
        <item x="701"/>
        <item x="882"/>
        <item x="467"/>
        <item x="658"/>
        <item x="634"/>
        <item x="244"/>
        <item x="594"/>
        <item x="109"/>
        <item x="783"/>
        <item x="721"/>
        <item x="14"/>
        <item x="204"/>
        <item x="765"/>
        <item x="122"/>
        <item x="485"/>
        <item x="832"/>
        <item x="260"/>
        <item x="510"/>
        <item x="871"/>
        <item x="780"/>
        <item x="417"/>
        <item x="75"/>
        <item x="629"/>
        <item x="272"/>
        <item x="788"/>
        <item x="282"/>
        <item x="983"/>
        <item x="863"/>
        <item x="653"/>
        <item x="307"/>
        <item x="328"/>
        <item x="363"/>
        <item x="448"/>
        <item x="215"/>
        <item x="279"/>
        <item x="9"/>
        <item x="311"/>
        <item x="563"/>
        <item x="81"/>
        <item x="86"/>
        <item x="769"/>
        <item x="888"/>
        <item x="587"/>
        <item x="141"/>
        <item x="24"/>
        <item x="90"/>
        <item x="818"/>
        <item x="537"/>
        <item x="292"/>
        <item x="88"/>
        <item x="48"/>
        <item x="487"/>
        <item x="309"/>
        <item x="771"/>
        <item x="937"/>
        <item x="711"/>
        <item x="404"/>
        <item x="489"/>
        <item x="967"/>
        <item x="159"/>
        <item x="6"/>
        <item x="928"/>
        <item x="33"/>
        <item x="441"/>
        <item x="29"/>
        <item x="108"/>
        <item x="162"/>
        <item x="423"/>
        <item x="106"/>
        <item x="287"/>
        <item x="310"/>
        <item x="608"/>
        <item x="908"/>
        <item x="78"/>
        <item x="243"/>
        <item x="456"/>
        <item x="913"/>
        <item x="359"/>
        <item x="384"/>
        <item x="255"/>
        <item x="953"/>
        <item x="154"/>
        <item x="492"/>
        <item x="266"/>
        <item x="422"/>
        <item x="982"/>
        <item x="802"/>
        <item x="323"/>
        <item x="278"/>
        <item x="135"/>
        <item x="5"/>
        <item x="697"/>
        <item x="125"/>
        <item x="95"/>
        <item x="451"/>
        <item x="700"/>
        <item x="811"/>
        <item x="420"/>
        <item x="613"/>
        <item x="144"/>
        <item x="944"/>
        <item x="986"/>
        <item x="598"/>
        <item x="762"/>
        <item x="633"/>
        <item x="738"/>
        <item x="807"/>
        <item x="968"/>
        <item x="164"/>
        <item x="753"/>
        <item x="211"/>
        <item x="63"/>
        <item x="796"/>
        <item x="179"/>
        <item x="333"/>
        <item x="367"/>
        <item x="304"/>
        <item x="626"/>
        <item x="289"/>
        <item x="189"/>
        <item x="884"/>
        <item x="956"/>
        <item x="795"/>
        <item x="231"/>
        <item x="330"/>
        <item x="313"/>
        <item x="150"/>
        <item x="656"/>
        <item x="18"/>
        <item x="840"/>
        <item x="458"/>
        <item x="493"/>
        <item x="755"/>
        <item x="327"/>
        <item x="325"/>
        <item x="545"/>
        <item x="910"/>
        <item x="671"/>
        <item x="180"/>
        <item x="521"/>
        <item x="985"/>
        <item x="145"/>
        <item x="341"/>
        <item x="301"/>
        <item x="873"/>
        <item x="841"/>
        <item x="945"/>
        <item x="281"/>
        <item x="865"/>
        <item x="830"/>
        <item x="699"/>
        <item x="585"/>
        <item x="477"/>
        <item x="785"/>
        <item x="640"/>
        <item x="889"/>
        <item x="562"/>
        <item x="684"/>
        <item x="52"/>
        <item x="119"/>
        <item x="837"/>
        <item x="707"/>
        <item x="856"/>
        <item x="445"/>
        <item x="860"/>
        <item x="601"/>
        <item x="127"/>
        <item x="400"/>
        <item x="143"/>
        <item x="643"/>
        <item x="124"/>
        <item x="331"/>
        <item x="271"/>
        <item x="299"/>
        <item x="262"/>
        <item x="153"/>
        <item x="446"/>
        <item x="368"/>
        <item x="810"/>
        <item x="72"/>
        <item x="866"/>
        <item x="0"/>
        <item x="280"/>
        <item x="503"/>
        <item x="274"/>
        <item x="195"/>
        <item x="940"/>
        <item x="415"/>
        <item x="892"/>
        <item x="2"/>
        <item x="55"/>
        <item x="32"/>
        <item x="3"/>
        <item x="942"/>
        <item x="295"/>
        <item x="483"/>
        <item x="552"/>
        <item x="717"/>
        <item x="277"/>
        <item x="808"/>
        <item x="732"/>
        <item x="665"/>
        <item x="734"/>
        <item x="73"/>
        <item x="776"/>
        <item x="101"/>
        <item x="750"/>
        <item x="948"/>
        <item x="575"/>
        <item x="554"/>
        <item x="955"/>
        <item x="692"/>
        <item x="413"/>
        <item x="588"/>
        <item x="984"/>
        <item x="338"/>
        <item x="509"/>
        <item x="447"/>
        <item x="133"/>
        <item x="627"/>
        <item x="187"/>
        <item x="636"/>
        <item x="469"/>
        <item x="954"/>
        <item x="429"/>
        <item x="8"/>
        <item x="256"/>
        <item x="672"/>
        <item x="314"/>
        <item x="169"/>
        <item x="589"/>
        <item x="165"/>
        <item x="623"/>
        <item x="218"/>
        <item x="205"/>
        <item x="38"/>
        <item x="845"/>
        <item x="975"/>
        <item x="455"/>
        <item x="741"/>
        <item x="316"/>
        <item x="43"/>
        <item x="402"/>
        <item x="760"/>
        <item x="923"/>
        <item x="883"/>
        <item x="397"/>
        <item x="659"/>
        <item x="248"/>
        <item x="877"/>
        <item x="399"/>
        <item x="193"/>
        <item x="98"/>
        <item x="772"/>
        <item x="375"/>
        <item x="638"/>
        <item x="388"/>
        <item x="767"/>
        <item x="891"/>
        <item x="784"/>
        <item x="56"/>
        <item x="675"/>
        <item x="708"/>
        <item x="532"/>
        <item x="481"/>
        <item x="99"/>
        <item x="507"/>
        <item x="19"/>
        <item x="40"/>
        <item x="916"/>
        <item x="454"/>
        <item x="449"/>
        <item x="770"/>
        <item x="850"/>
        <item x="91"/>
        <item x="259"/>
        <item x="685"/>
        <item x="682"/>
        <item x="490"/>
        <item x="184"/>
        <item x="848"/>
        <item x="76"/>
        <item x="745"/>
        <item x="161"/>
        <item x="102"/>
        <item x="549"/>
        <item x="100"/>
        <item x="688"/>
        <item x="553"/>
        <item x="972"/>
        <item x="232"/>
        <item x="757"/>
        <item x="828"/>
        <item x="727"/>
        <item x="196"/>
        <item x="83"/>
        <item x="216"/>
        <item x="92"/>
        <item x="919"/>
        <item x="895"/>
        <item x="237"/>
        <item x="819"/>
        <item x="631"/>
        <item x="857"/>
        <item x="410"/>
        <item x="836"/>
        <item x="679"/>
        <item x="495"/>
        <item x="526"/>
        <item x="548"/>
        <item x="366"/>
        <item x="50"/>
        <item x="242"/>
        <item x="484"/>
        <item x="591"/>
        <item x="963"/>
        <item x="570"/>
        <item x="805"/>
        <item x="647"/>
        <item x="209"/>
        <item x="419"/>
        <item x="667"/>
        <item x="238"/>
        <item x="670"/>
        <item x="639"/>
        <item x="604"/>
        <item x="794"/>
        <item x="486"/>
        <item x="326"/>
        <item x="370"/>
        <item x="621"/>
        <item x="528"/>
        <item x="680"/>
        <item x="844"/>
        <item x="31"/>
        <item x="572"/>
        <item x="516"/>
        <item x="759"/>
        <item x="775"/>
        <item x="978"/>
        <item x="466"/>
        <item x="793"/>
        <item x="737"/>
        <item x="529"/>
        <item x="473"/>
        <item x="354"/>
        <item x="470"/>
        <item x="434"/>
        <item x="651"/>
        <item x="847"/>
        <item x="686"/>
        <item x="4"/>
        <item x="941"/>
        <item x="525"/>
        <item x="163"/>
        <item x="564"/>
        <item x="893"/>
        <item x="123"/>
        <item x="267"/>
        <item x="751"/>
        <item x="885"/>
        <item x="192"/>
        <item x="342"/>
        <item x="463"/>
        <item x="460"/>
        <item x="317"/>
        <item x="739"/>
        <item x="235"/>
        <item x="632"/>
        <item x="355"/>
        <item x="319"/>
        <item x="85"/>
        <item x="777"/>
        <item x="642"/>
        <item x="318"/>
        <item x="790"/>
        <item x="357"/>
        <item x="207"/>
        <item x="822"/>
        <item x="131"/>
        <item x="118"/>
        <item x="657"/>
        <item x="414"/>
        <item x="257"/>
        <item x="580"/>
        <item x="71"/>
        <item x="62"/>
        <item x="909"/>
        <item x="217"/>
        <item x="854"/>
        <item x="713"/>
        <item x="602"/>
        <item x="263"/>
        <item x="687"/>
        <item x="976"/>
        <item x="582"/>
        <item x="706"/>
        <item x="926"/>
        <item x="803"/>
        <item x="94"/>
        <item x="225"/>
        <item x="925"/>
        <item x="786"/>
        <item x="731"/>
        <item x="173"/>
        <item x="251"/>
        <item x="177"/>
        <item x="973"/>
        <item x="198"/>
        <item x="324"/>
        <item x="377"/>
        <item x="815"/>
        <item x="236"/>
        <item x="789"/>
        <item x="590"/>
        <item x="194"/>
        <item x="39"/>
        <item x="669"/>
        <item x="566"/>
        <item x="382"/>
        <item x="573"/>
        <item x="663"/>
        <item x="705"/>
        <item x="443"/>
        <item x="514"/>
        <item x="917"/>
        <item x="345"/>
        <item x="453"/>
        <item x="61"/>
        <item x="875"/>
        <item x="472"/>
        <item x="959"/>
        <item x="691"/>
        <item x="482"/>
        <item x="868"/>
        <item x="130"/>
        <item x="540"/>
        <item x="791"/>
        <item x="742"/>
        <item x="226"/>
        <item x="1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9">
        <item sd="0" x="2"/>
        <item x="3"/>
        <item sd="0" x="5"/>
        <item sd="0" x="6"/>
        <item sd="0" x="4"/>
        <item sd="0" x="0"/>
        <item sd="0" x="1"/>
        <item m="1" x="7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3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m="1" x="21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55">
        <item x="304"/>
        <item x="269"/>
        <item x="185"/>
        <item x="31"/>
        <item x="217"/>
        <item x="95"/>
        <item x="241"/>
        <item x="342"/>
        <item x="84"/>
        <item x="340"/>
        <item x="165"/>
        <item x="125"/>
        <item x="157"/>
        <item x="136"/>
        <item x="76"/>
        <item x="353"/>
        <item x="302"/>
        <item x="230"/>
        <item x="350"/>
        <item x="40"/>
        <item x="166"/>
        <item x="234"/>
        <item x="315"/>
        <item x="42"/>
        <item x="248"/>
        <item x="266"/>
        <item x="345"/>
        <item x="138"/>
        <item x="67"/>
        <item x="3"/>
        <item x="203"/>
        <item x="123"/>
        <item x="235"/>
        <item x="317"/>
        <item x="254"/>
        <item x="109"/>
        <item x="250"/>
        <item x="154"/>
        <item x="244"/>
        <item x="143"/>
        <item x="148"/>
        <item x="155"/>
        <item x="198"/>
        <item x="101"/>
        <item x="219"/>
        <item x="47"/>
        <item x="310"/>
        <item x="323"/>
        <item x="216"/>
        <item x="46"/>
        <item x="249"/>
        <item x="314"/>
        <item x="251"/>
        <item x="190"/>
        <item x="330"/>
        <item x="282"/>
        <item x="111"/>
        <item x="115"/>
        <item x="343"/>
        <item x="60"/>
        <item x="305"/>
        <item x="201"/>
        <item x="331"/>
        <item x="105"/>
        <item x="10"/>
        <item x="208"/>
        <item x="93"/>
        <item x="104"/>
        <item x="20"/>
        <item x="191"/>
        <item x="329"/>
        <item x="75"/>
        <item x="228"/>
        <item x="271"/>
        <item x="177"/>
        <item x="32"/>
        <item x="339"/>
        <item x="187"/>
        <item x="349"/>
        <item x="229"/>
        <item x="65"/>
        <item x="333"/>
        <item x="145"/>
        <item x="215"/>
        <item x="242"/>
        <item x="258"/>
        <item x="178"/>
        <item x="270"/>
        <item x="152"/>
        <item x="179"/>
        <item x="16"/>
        <item x="142"/>
        <item x="308"/>
        <item x="318"/>
        <item x="124"/>
        <item x="57"/>
        <item x="291"/>
        <item x="169"/>
        <item x="1"/>
        <item x="296"/>
        <item x="320"/>
        <item x="257"/>
        <item x="238"/>
        <item x="335"/>
        <item x="321"/>
        <item x="120"/>
        <item x="295"/>
        <item x="163"/>
        <item x="199"/>
        <item x="102"/>
        <item x="287"/>
        <item x="280"/>
        <item x="21"/>
        <item x="288"/>
        <item x="83"/>
        <item x="336"/>
        <item x="240"/>
        <item x="283"/>
        <item x="297"/>
        <item x="79"/>
        <item x="78"/>
        <item x="87"/>
        <item x="284"/>
        <item x="100"/>
        <item x="28"/>
        <item x="45"/>
        <item x="306"/>
        <item x="49"/>
        <item x="70"/>
        <item x="91"/>
        <item x="252"/>
        <item x="94"/>
        <item x="71"/>
        <item x="52"/>
        <item x="183"/>
        <item x="56"/>
        <item x="151"/>
        <item x="51"/>
        <item x="69"/>
        <item x="43"/>
        <item x="279"/>
        <item x="227"/>
        <item x="18"/>
        <item x="15"/>
        <item x="7"/>
        <item x="348"/>
        <item x="161"/>
        <item x="256"/>
        <item x="26"/>
        <item x="232"/>
        <item x="63"/>
        <item x="184"/>
        <item x="135"/>
        <item x="316"/>
        <item x="160"/>
        <item x="167"/>
        <item x="77"/>
        <item x="110"/>
        <item x="59"/>
        <item x="149"/>
        <item x="12"/>
        <item x="121"/>
        <item x="312"/>
        <item x="276"/>
        <item x="221"/>
        <item x="209"/>
        <item x="114"/>
        <item x="328"/>
        <item x="298"/>
        <item x="294"/>
        <item x="200"/>
        <item x="134"/>
        <item x="214"/>
        <item x="33"/>
        <item x="289"/>
        <item x="90"/>
        <item x="192"/>
        <item x="82"/>
        <item x="5"/>
        <item x="277"/>
        <item x="324"/>
        <item x="180"/>
        <item x="35"/>
        <item x="34"/>
        <item x="231"/>
        <item x="322"/>
        <item x="347"/>
        <item x="29"/>
        <item x="128"/>
        <item x="263"/>
        <item x="17"/>
        <item x="30"/>
        <item x="313"/>
        <item x="150"/>
        <item x="341"/>
        <item x="247"/>
        <item x="246"/>
        <item x="133"/>
        <item x="275"/>
        <item x="281"/>
        <item x="233"/>
        <item x="53"/>
        <item x="175"/>
        <item x="62"/>
        <item x="273"/>
        <item x="116"/>
        <item x="119"/>
        <item x="144"/>
        <item x="24"/>
        <item x="286"/>
        <item x="210"/>
        <item x="2"/>
        <item x="27"/>
        <item x="267"/>
        <item x="188"/>
        <item x="170"/>
        <item x="64"/>
        <item x="86"/>
        <item x="38"/>
        <item x="272"/>
        <item x="73"/>
        <item x="74"/>
        <item x="290"/>
        <item x="41"/>
        <item x="255"/>
        <item x="337"/>
        <item x="153"/>
        <item x="182"/>
        <item x="193"/>
        <item x="332"/>
        <item x="325"/>
        <item x="261"/>
        <item x="68"/>
        <item x="36"/>
        <item x="226"/>
        <item x="172"/>
        <item x="159"/>
        <item x="212"/>
        <item x="211"/>
        <item x="168"/>
        <item x="146"/>
        <item x="260"/>
        <item x="301"/>
        <item x="173"/>
        <item x="156"/>
        <item x="113"/>
        <item x="85"/>
        <item x="195"/>
        <item x="206"/>
        <item x="55"/>
        <item x="129"/>
        <item x="319"/>
        <item x="309"/>
        <item x="39"/>
        <item x="268"/>
        <item x="23"/>
        <item x="236"/>
        <item x="292"/>
        <item x="264"/>
        <item x="99"/>
        <item x="25"/>
        <item x="141"/>
        <item x="218"/>
        <item x="4"/>
        <item x="92"/>
        <item x="205"/>
        <item x="54"/>
        <item x="262"/>
        <item x="140"/>
        <item x="237"/>
        <item x="186"/>
        <item x="72"/>
        <item x="162"/>
        <item x="8"/>
        <item x="126"/>
        <item x="207"/>
        <item x="103"/>
        <item x="245"/>
        <item x="176"/>
        <item x="300"/>
        <item x="98"/>
        <item x="171"/>
        <item x="224"/>
        <item x="344"/>
        <item x="274"/>
        <item x="58"/>
        <item x="285"/>
        <item x="278"/>
        <item x="202"/>
        <item x="137"/>
        <item x="299"/>
        <item x="307"/>
        <item x="222"/>
        <item x="97"/>
        <item x="259"/>
        <item x="117"/>
        <item x="130"/>
        <item x="118"/>
        <item x="213"/>
        <item x="223"/>
        <item x="6"/>
        <item x="243"/>
        <item x="106"/>
        <item x="131"/>
        <item x="352"/>
        <item x="61"/>
        <item x="311"/>
        <item x="48"/>
        <item x="80"/>
        <item x="11"/>
        <item x="327"/>
        <item x="338"/>
        <item x="204"/>
        <item x="89"/>
        <item x="14"/>
        <item x="181"/>
        <item x="13"/>
        <item x="293"/>
        <item x="174"/>
        <item x="22"/>
        <item x="253"/>
        <item x="147"/>
        <item x="303"/>
        <item x="127"/>
        <item x="9"/>
        <item x="81"/>
        <item x="239"/>
        <item x="112"/>
        <item x="107"/>
        <item x="50"/>
        <item x="19"/>
        <item x="164"/>
        <item x="88"/>
        <item x="139"/>
        <item x="351"/>
        <item x="326"/>
        <item x="44"/>
        <item x="66"/>
        <item x="122"/>
        <item x="37"/>
        <item x="225"/>
        <item x="265"/>
        <item x="197"/>
        <item x="334"/>
        <item x="132"/>
        <item x="189"/>
        <item x="96"/>
        <item x="158"/>
        <item x="196"/>
        <item x="108"/>
        <item x="194"/>
        <item x="220"/>
        <item x="346"/>
        <item x="0"/>
        <item t="default"/>
      </items>
    </pivotField>
    <pivotField numFmtId="164" showAll="0"/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axis="axisCol" showAll="0">
      <items count="5">
        <item h="1" x="1"/>
        <item x="0"/>
        <item h="1" x="2"/>
        <item h="1" x="3"/>
        <item t="default"/>
      </items>
    </pivotField>
    <pivotField axis="axisRow" showAll="0">
      <items count="7">
        <item x="4"/>
        <item x="2"/>
        <item h="1" x="1"/>
        <item x="3"/>
        <item x="0"/>
        <item x="5"/>
        <item t="default"/>
      </items>
    </pivotField>
    <pivotField showAll="0"/>
    <pivotField showAll="0"/>
    <pivotField showAll="0">
      <items count="1000">
        <item x="83"/>
        <item x="102"/>
        <item x="904"/>
        <item x="794"/>
        <item x="340"/>
        <item x="846"/>
        <item x="933"/>
        <item x="399"/>
        <item x="130"/>
        <item x="320"/>
        <item x="298"/>
        <item x="92"/>
        <item x="926"/>
        <item x="800"/>
        <item x="678"/>
        <item x="352"/>
        <item x="64"/>
        <item x="383"/>
        <item x="972"/>
        <item x="126"/>
        <item x="564"/>
        <item x="275"/>
        <item x="63"/>
        <item x="236"/>
        <item x="780"/>
        <item x="893"/>
        <item x="586"/>
        <item x="324"/>
        <item x="971"/>
        <item x="502"/>
        <item x="481"/>
        <item x="90"/>
        <item x="758"/>
        <item x="319"/>
        <item x="871"/>
        <item x="347"/>
        <item x="821"/>
        <item x="270"/>
        <item x="806"/>
        <item x="769"/>
        <item x="562"/>
        <item x="788"/>
        <item x="152"/>
        <item x="998"/>
        <item x="739"/>
        <item x="799"/>
        <item x="111"/>
        <item x="867"/>
        <item x="882"/>
        <item x="569"/>
        <item x="328"/>
        <item x="409"/>
        <item x="673"/>
        <item x="705"/>
        <item x="496"/>
        <item x="494"/>
        <item x="144"/>
        <item x="335"/>
        <item x="790"/>
        <item x="621"/>
        <item x="362"/>
        <item x="10"/>
        <item x="158"/>
        <item x="879"/>
        <item x="519"/>
        <item x="859"/>
        <item x="384"/>
        <item x="124"/>
        <item x="477"/>
        <item x="746"/>
        <item x="863"/>
        <item x="118"/>
        <item x="992"/>
        <item x="943"/>
        <item x="429"/>
        <item x="96"/>
        <item x="159"/>
        <item x="584"/>
        <item x="43"/>
        <item x="991"/>
        <item x="380"/>
        <item x="632"/>
        <item x="462"/>
        <item x="839"/>
        <item x="648"/>
        <item x="948"/>
        <item x="930"/>
        <item x="556"/>
        <item x="161"/>
        <item x="724"/>
        <item x="596"/>
        <item x="786"/>
        <item x="246"/>
        <item x="731"/>
        <item x="652"/>
        <item x="248"/>
        <item x="189"/>
        <item x="763"/>
        <item x="860"/>
        <item x="402"/>
        <item x="377"/>
        <item x="772"/>
        <item x="363"/>
        <item x="273"/>
        <item x="414"/>
        <item x="831"/>
        <item x="785"/>
        <item x="653"/>
        <item x="576"/>
        <item x="470"/>
        <item x="379"/>
        <item x="736"/>
        <item x="472"/>
        <item x="791"/>
        <item x="185"/>
        <item x="220"/>
        <item x="541"/>
        <item x="729"/>
        <item x="452"/>
        <item x="609"/>
        <item x="75"/>
        <item x="497"/>
        <item x="86"/>
        <item x="28"/>
        <item x="120"/>
        <item x="242"/>
        <item x="797"/>
        <item x="808"/>
        <item x="532"/>
        <item x="101"/>
        <item x="239"/>
        <item x="146"/>
        <item x="552"/>
        <item x="795"/>
        <item x="406"/>
        <item x="305"/>
        <item x="965"/>
        <item x="777"/>
        <item x="123"/>
        <item x="50"/>
        <item x="488"/>
        <item x="522"/>
        <item x="182"/>
        <item x="58"/>
        <item x="376"/>
        <item x="107"/>
        <item x="907"/>
        <item x="261"/>
        <item x="71"/>
        <item x="82"/>
        <item x="336"/>
        <item x="658"/>
        <item x="917"/>
        <item x="235"/>
        <item x="835"/>
        <item x="554"/>
        <item x="98"/>
        <item x="62"/>
        <item x="308"/>
        <item x="910"/>
        <item x="412"/>
        <item x="190"/>
        <item x="24"/>
        <item x="608"/>
        <item x="22"/>
        <item x="25"/>
        <item x="815"/>
        <item x="233"/>
        <item x="875"/>
        <item x="135"/>
        <item x="490"/>
        <item x="283"/>
        <item x="51"/>
        <item x="894"/>
        <item x="825"/>
        <item x="359"/>
        <item x="386"/>
        <item x="807"/>
        <item x="422"/>
        <item x="614"/>
        <item x="932"/>
        <item x="669"/>
        <item x="544"/>
        <item x="163"/>
        <item x="700"/>
        <item x="427"/>
        <item x="627"/>
        <item x="435"/>
        <item x="366"/>
        <item x="436"/>
        <item x="811"/>
        <item x="76"/>
        <item x="131"/>
        <item x="812"/>
        <item x="824"/>
        <item x="929"/>
        <item x="606"/>
        <item x="874"/>
        <item x="484"/>
        <item x="818"/>
        <item x="350"/>
        <item x="299"/>
        <item x="817"/>
        <item x="253"/>
        <item x="977"/>
        <item x="762"/>
        <item x="704"/>
        <item x="463"/>
        <item x="744"/>
        <item x="294"/>
        <item x="517"/>
        <item x="360"/>
        <item x="696"/>
        <item x="674"/>
        <item x="314"/>
        <item x="518"/>
        <item x="710"/>
        <item x="623"/>
        <item x="689"/>
        <item x="536"/>
        <item x="4"/>
        <item x="108"/>
        <item x="526"/>
        <item x="925"/>
        <item x="9"/>
        <item x="79"/>
        <item x="545"/>
        <item x="995"/>
        <item x="302"/>
        <item x="771"/>
        <item x="741"/>
        <item x="688"/>
        <item x="291"/>
        <item x="34"/>
        <item x="404"/>
        <item x="660"/>
        <item x="717"/>
        <item x="207"/>
        <item x="476"/>
        <item x="909"/>
        <item x="214"/>
        <item x="865"/>
        <item x="263"/>
        <item x="869"/>
        <item x="27"/>
        <item x="41"/>
        <item x="550"/>
        <item x="613"/>
        <item x="683"/>
        <item x="890"/>
        <item x="549"/>
        <item x="641"/>
        <item x="94"/>
        <item x="579"/>
        <item x="634"/>
        <item x="565"/>
        <item x="208"/>
        <item x="770"/>
        <item x="288"/>
        <item x="682"/>
        <item x="213"/>
        <item x="272"/>
        <item x="453"/>
        <item x="38"/>
        <item x="722"/>
        <item x="285"/>
        <item x="745"/>
        <item x="947"/>
        <item x="474"/>
        <item x="202"/>
        <item x="829"/>
        <item x="960"/>
        <item x="509"/>
        <item x="313"/>
        <item x="531"/>
        <item x="7"/>
        <item x="33"/>
        <item x="229"/>
        <item x="455"/>
        <item x="686"/>
        <item x="61"/>
        <item x="199"/>
        <item x="618"/>
        <item x="603"/>
        <item x="804"/>
        <item x="901"/>
        <item x="193"/>
        <item x="231"/>
        <item x="183"/>
        <item x="282"/>
        <item x="570"/>
        <item x="514"/>
        <item x="587"/>
        <item x="410"/>
        <item x="401"/>
        <item x="589"/>
        <item x="520"/>
        <item x="444"/>
        <item x="823"/>
        <item x="205"/>
        <item x="747"/>
        <item x="775"/>
        <item x="503"/>
        <item x="157"/>
        <item x="733"/>
        <item x="936"/>
        <item x="26"/>
        <item x="277"/>
        <item x="268"/>
        <item x="666"/>
        <item x="442"/>
        <item x="631"/>
        <item x="334"/>
        <item x="116"/>
        <item x="610"/>
        <item x="346"/>
        <item x="316"/>
        <item x="876"/>
        <item x="18"/>
        <item x="752"/>
        <item x="864"/>
        <item x="679"/>
        <item x="210"/>
        <item x="973"/>
        <item x="458"/>
        <item x="441"/>
        <item x="956"/>
        <item x="440"/>
        <item x="419"/>
        <item x="611"/>
        <item x="866"/>
        <item x="37"/>
        <item x="289"/>
        <item x="962"/>
        <item x="327"/>
        <item x="638"/>
        <item x="287"/>
        <item x="513"/>
        <item x="701"/>
        <item x="637"/>
        <item x="97"/>
        <item x="728"/>
        <item x="179"/>
        <item x="443"/>
        <item x="249"/>
        <item x="702"/>
        <item x="177"/>
        <item x="646"/>
        <item x="201"/>
        <item x="338"/>
        <item x="368"/>
        <item x="103"/>
        <item x="276"/>
        <item x="598"/>
        <item x="571"/>
        <item x="394"/>
        <item x="670"/>
        <item x="465"/>
        <item x="523"/>
        <item x="44"/>
        <item x="749"/>
        <item x="447"/>
        <item x="957"/>
        <item x="766"/>
        <item x="551"/>
        <item x="155"/>
        <item x="329"/>
        <item x="841"/>
        <item x="914"/>
        <item x="57"/>
        <item x="456"/>
        <item x="339"/>
        <item x="939"/>
        <item x="798"/>
        <item x="801"/>
        <item x="516"/>
        <item x="358"/>
        <item x="725"/>
        <item x="330"/>
        <item x="810"/>
        <item x="691"/>
        <item x="819"/>
        <item x="898"/>
        <item x="983"/>
        <item x="911"/>
        <item x="433"/>
        <item x="664"/>
        <item x="921"/>
        <item x="174"/>
        <item x="809"/>
        <item x="114"/>
        <item x="776"/>
        <item x="17"/>
        <item x="511"/>
        <item x="647"/>
        <item x="482"/>
        <item x="113"/>
        <item x="833"/>
        <item x="372"/>
        <item x="117"/>
        <item x="413"/>
        <item x="322"/>
        <item x="495"/>
        <item x="853"/>
        <item x="438"/>
        <item x="987"/>
        <item x="698"/>
        <item x="581"/>
        <item x="693"/>
        <item x="309"/>
        <item x="145"/>
        <item x="29"/>
        <item x="234"/>
        <item x="730"/>
        <item x="626"/>
        <item x="980"/>
        <item x="616"/>
        <item x="989"/>
        <item x="73"/>
        <item x="856"/>
        <item x="726"/>
        <item x="105"/>
        <item x="834"/>
        <item x="878"/>
        <item x="656"/>
        <item x="781"/>
        <item x="39"/>
        <item x="55"/>
        <item x="8"/>
        <item x="706"/>
        <item x="954"/>
        <item x="803"/>
        <item x="166"/>
        <item x="357"/>
        <item x="714"/>
        <item x="630"/>
        <item x="976"/>
        <item x="195"/>
        <item x="687"/>
        <item x="223"/>
        <item x="196"/>
        <item x="133"/>
        <item x="407"/>
        <item x="560"/>
        <item x="35"/>
        <item x="250"/>
        <item x="169"/>
        <item x="892"/>
        <item x="672"/>
        <item x="599"/>
        <item x="721"/>
        <item x="753"/>
        <item x="415"/>
        <item x="74"/>
        <item x="740"/>
        <item x="132"/>
        <item x="667"/>
        <item x="121"/>
        <item x="16"/>
        <item x="592"/>
        <item x="49"/>
        <item x="81"/>
        <item x="640"/>
        <item x="400"/>
        <item x="279"/>
        <item x="572"/>
        <item x="820"/>
        <item x="512"/>
        <item x="109"/>
        <item x="304"/>
        <item x="732"/>
        <item x="254"/>
        <item x="615"/>
        <item x="91"/>
        <item x="837"/>
        <item x="761"/>
        <item x="230"/>
        <item x="296"/>
        <item x="918"/>
        <item x="990"/>
        <item x="851"/>
        <item x="832"/>
        <item x="778"/>
        <item x="711"/>
        <item x="553"/>
        <item x="20"/>
        <item x="897"/>
        <item x="56"/>
        <item x="148"/>
        <item x="186"/>
        <item x="964"/>
        <item x="266"/>
        <item x="805"/>
        <item x="845"/>
        <item x="969"/>
        <item x="364"/>
        <item x="219"/>
        <item x="764"/>
        <item x="578"/>
        <item x="240"/>
        <item x="649"/>
        <item x="140"/>
        <item x="87"/>
        <item x="854"/>
        <item x="439"/>
        <item x="858"/>
        <item x="417"/>
        <item x="937"/>
        <item x="153"/>
        <item x="112"/>
        <item x="895"/>
        <item x="345"/>
        <item x="227"/>
        <item x="382"/>
        <item x="915"/>
        <item x="558"/>
        <item x="986"/>
        <item x="23"/>
        <item x="920"/>
        <item x="40"/>
        <item x="685"/>
        <item x="460"/>
        <item x="873"/>
        <item x="755"/>
        <item x="349"/>
        <item x="267"/>
        <item x="707"/>
        <item x="343"/>
        <item x="703"/>
        <item x="67"/>
        <item x="600"/>
        <item x="881"/>
        <item x="194"/>
        <item x="260"/>
        <item x="767"/>
        <item x="53"/>
        <item x="225"/>
        <item x="883"/>
        <item x="6"/>
        <item x="480"/>
        <item x="255"/>
        <item x="469"/>
        <item x="850"/>
        <item x="525"/>
        <item x="642"/>
        <item x="593"/>
        <item x="286"/>
        <item x="173"/>
        <item x="315"/>
        <item x="325"/>
        <item x="317"/>
        <item x="843"/>
        <item x="11"/>
        <item x="588"/>
        <item x="203"/>
        <item x="461"/>
        <item x="48"/>
        <item x="176"/>
        <item x="405"/>
        <item x="448"/>
        <item x="994"/>
        <item x="944"/>
        <item x="247"/>
        <item x="927"/>
        <item x="31"/>
        <item x="215"/>
        <item x="712"/>
        <item x="421"/>
        <item x="997"/>
        <item x="896"/>
        <item x="200"/>
        <item x="650"/>
        <item x="192"/>
        <item x="665"/>
        <item x="323"/>
        <item x="178"/>
        <item x="546"/>
        <item x="318"/>
        <item x="826"/>
        <item x="663"/>
        <item x="257"/>
        <item x="543"/>
        <item x="540"/>
        <item x="644"/>
        <item x="321"/>
        <item x="143"/>
        <item x="361"/>
        <item x="505"/>
        <item x="737"/>
        <item x="312"/>
        <item x="951"/>
        <item x="243"/>
        <item x="156"/>
        <item x="585"/>
        <item x="709"/>
        <item x="396"/>
        <item x="716"/>
        <item x="139"/>
        <item x="398"/>
        <item x="492"/>
        <item x="238"/>
        <item x="563"/>
        <item x="880"/>
        <item x="486"/>
        <item x="274"/>
        <item x="381"/>
        <item x="643"/>
        <item x="491"/>
        <item x="510"/>
        <item x="425"/>
        <item x="264"/>
        <item x="619"/>
        <item x="467"/>
        <item x="573"/>
        <item x="993"/>
        <item x="295"/>
        <item x="78"/>
        <item x="945"/>
        <item x="95"/>
        <item x="668"/>
        <item x="750"/>
        <item x="13"/>
        <item x="424"/>
        <item x="590"/>
        <item x="906"/>
        <item x="290"/>
        <item x="620"/>
        <item x="1"/>
        <item x="59"/>
        <item x="47"/>
        <item x="221"/>
        <item x="919"/>
        <item x="12"/>
        <item x="378"/>
        <item x="42"/>
        <item x="760"/>
        <item x="36"/>
        <item x="524"/>
        <item x="628"/>
        <item x="387"/>
        <item x="953"/>
        <item x="963"/>
        <item x="708"/>
        <item x="420"/>
        <item x="306"/>
        <item x="54"/>
        <item x="912"/>
        <item x="872"/>
        <item x="373"/>
        <item x="393"/>
        <item x="796"/>
        <item x="487"/>
        <item x="70"/>
        <item x="337"/>
        <item x="654"/>
        <item x="423"/>
        <item x="748"/>
        <item x="14"/>
        <item x="582"/>
        <item x="597"/>
        <item x="353"/>
        <item x="916"/>
        <item x="418"/>
        <item x="940"/>
        <item x="395"/>
        <item x="836"/>
        <item x="344"/>
        <item x="191"/>
        <item x="3"/>
        <item x="408"/>
        <item x="566"/>
        <item x="938"/>
        <item x="310"/>
        <item x="855"/>
        <item x="527"/>
        <item x="982"/>
        <item x="501"/>
        <item x="431"/>
        <item x="591"/>
        <item x="950"/>
        <item x="80"/>
        <item x="974"/>
        <item x="727"/>
        <item x="149"/>
        <item x="2"/>
        <item x="369"/>
        <item x="515"/>
        <item x="293"/>
        <item x="885"/>
        <item x="768"/>
        <item x="265"/>
        <item x="574"/>
        <item x="499"/>
        <item x="838"/>
        <item x="888"/>
        <item x="528"/>
        <item x="751"/>
        <item x="88"/>
        <item x="547"/>
        <item x="110"/>
        <item x="391"/>
        <item x="813"/>
        <item x="861"/>
        <item x="426"/>
        <item x="719"/>
        <item x="695"/>
        <item x="445"/>
        <item x="226"/>
        <item x="232"/>
        <item x="787"/>
        <item x="828"/>
        <item x="958"/>
        <item x="754"/>
        <item x="106"/>
        <item x="278"/>
        <item x="595"/>
        <item x="60"/>
        <item x="348"/>
        <item x="52"/>
        <item x="45"/>
        <item x="84"/>
        <item x="567"/>
        <item x="913"/>
        <item x="451"/>
        <item x="852"/>
        <item x="978"/>
        <item x="981"/>
        <item x="160"/>
        <item x="331"/>
        <item x="170"/>
        <item x="934"/>
        <item x="887"/>
        <item x="122"/>
        <item x="942"/>
        <item x="979"/>
        <item x="392"/>
        <item x="735"/>
        <item x="483"/>
        <item x="374"/>
        <item x="151"/>
        <item x="941"/>
        <item x="639"/>
        <item x="580"/>
        <item x="397"/>
        <item x="622"/>
        <item x="996"/>
        <item x="884"/>
        <item x="206"/>
        <item x="471"/>
        <item x="164"/>
        <item x="281"/>
        <item x="475"/>
        <item x="692"/>
        <item x="224"/>
        <item x="604"/>
        <item x="136"/>
        <item x="99"/>
        <item x="68"/>
        <item x="699"/>
        <item x="125"/>
        <item x="779"/>
        <item x="292"/>
        <item x="128"/>
        <item x="100"/>
        <item x="583"/>
        <item x="388"/>
        <item x="167"/>
        <item x="891"/>
        <item x="311"/>
        <item x="713"/>
        <item x="602"/>
        <item x="757"/>
        <item x="188"/>
        <item x="535"/>
        <item x="259"/>
        <item x="903"/>
        <item x="955"/>
        <item x="256"/>
        <item x="478"/>
        <item x="77"/>
        <item x="966"/>
        <item x="902"/>
        <item x="468"/>
        <item x="72"/>
        <item x="789"/>
        <item x="949"/>
        <item x="928"/>
        <item x="575"/>
        <item x="961"/>
        <item x="671"/>
        <item x="69"/>
        <item x="975"/>
        <item x="434"/>
        <item x="466"/>
        <item x="307"/>
        <item x="297"/>
        <item x="138"/>
        <item x="529"/>
        <item x="104"/>
        <item x="332"/>
        <item x="633"/>
        <item x="548"/>
        <item x="19"/>
        <item x="115"/>
        <item x="877"/>
        <item x="154"/>
        <item x="968"/>
        <item x="303"/>
        <item x="946"/>
        <item x="341"/>
        <item x="537"/>
        <item x="782"/>
        <item x="617"/>
        <item x="645"/>
        <item x="662"/>
        <item x="970"/>
        <item x="697"/>
        <item x="301"/>
        <item x="985"/>
        <item x="237"/>
        <item x="489"/>
        <item x="636"/>
        <item x="32"/>
        <item x="802"/>
        <item x="119"/>
        <item x="241"/>
        <item x="89"/>
        <item x="738"/>
        <item x="900"/>
        <item x="594"/>
        <item x="280"/>
        <item x="504"/>
        <item x="870"/>
        <item x="774"/>
        <item x="816"/>
        <item x="300"/>
        <item x="899"/>
        <item x="66"/>
        <item x="355"/>
        <item x="657"/>
        <item x="142"/>
        <item x="184"/>
        <item x="150"/>
        <item x="605"/>
        <item x="783"/>
        <item x="530"/>
        <item x="209"/>
        <item x="743"/>
        <item x="924"/>
        <item x="684"/>
        <item x="222"/>
        <item x="629"/>
        <item x="134"/>
        <item x="171"/>
        <item x="734"/>
        <item x="601"/>
        <item x="198"/>
        <item x="694"/>
        <item x="168"/>
        <item x="390"/>
        <item x="715"/>
        <item x="793"/>
        <item x="217"/>
        <item x="889"/>
        <item x="262"/>
        <item x="967"/>
        <item x="252"/>
        <item x="765"/>
        <item x="862"/>
        <item x="354"/>
        <item x="922"/>
        <item x="508"/>
        <item x="365"/>
        <item x="720"/>
        <item x="681"/>
        <item x="449"/>
        <item x="533"/>
        <item x="385"/>
        <item x="46"/>
        <item x="773"/>
        <item x="326"/>
        <item x="718"/>
        <item x="464"/>
        <item x="351"/>
        <item x="690"/>
        <item x="822"/>
        <item x="624"/>
        <item x="403"/>
        <item x="21"/>
        <item x="180"/>
        <item x="5"/>
        <item x="127"/>
        <item x="542"/>
        <item x="165"/>
        <item x="848"/>
        <item x="857"/>
        <item x="568"/>
        <item x="245"/>
        <item x="129"/>
        <item x="30"/>
        <item x="935"/>
        <item x="498"/>
        <item x="370"/>
        <item x="457"/>
        <item x="561"/>
        <item x="493"/>
        <item x="830"/>
        <item x="141"/>
        <item x="742"/>
        <item x="375"/>
        <item x="521"/>
        <item x="212"/>
        <item x="204"/>
        <item x="840"/>
        <item x="172"/>
        <item x="342"/>
        <item x="485"/>
        <item x="65"/>
        <item x="842"/>
        <item x="651"/>
        <item x="847"/>
        <item x="507"/>
        <item x="675"/>
        <item x="271"/>
        <item x="759"/>
        <item x="371"/>
        <item x="905"/>
        <item x="284"/>
        <item x="389"/>
        <item x="506"/>
        <item x="162"/>
        <item x="923"/>
        <item x="952"/>
        <item x="479"/>
        <item x="931"/>
        <item x="137"/>
        <item x="428"/>
        <item x="446"/>
        <item x="269"/>
        <item x="680"/>
        <item x="356"/>
        <item x="333"/>
        <item x="792"/>
        <item x="677"/>
        <item x="984"/>
        <item x="147"/>
        <item x="450"/>
        <item x="85"/>
        <item x="908"/>
        <item x="723"/>
        <item x="655"/>
        <item x="635"/>
        <item x="15"/>
        <item x="849"/>
        <item x="197"/>
        <item x="557"/>
        <item x="228"/>
        <item x="534"/>
        <item x="959"/>
        <item x="559"/>
        <item x="539"/>
        <item x="676"/>
        <item x="459"/>
        <item x="988"/>
        <item x="473"/>
        <item x="175"/>
        <item x="868"/>
        <item x="430"/>
        <item x="827"/>
        <item x="432"/>
        <item x="187"/>
        <item x="659"/>
        <item x="93"/>
        <item x="216"/>
        <item x="251"/>
        <item x="181"/>
        <item x="244"/>
        <item x="625"/>
        <item x="607"/>
        <item x="211"/>
        <item x="538"/>
        <item x="555"/>
        <item x="218"/>
        <item x="661"/>
        <item x="756"/>
        <item x="500"/>
        <item x="437"/>
        <item x="784"/>
        <item x="454"/>
        <item x="814"/>
        <item x="411"/>
        <item x="416"/>
        <item x="612"/>
        <item x="577"/>
        <item x="367"/>
        <item x="0"/>
        <item x="844"/>
        <item x="258"/>
        <item x="886"/>
        <item t="default"/>
      </items>
    </pivotField>
    <pivotField showAll="0">
      <items count="25">
        <item x="5"/>
        <item x="17"/>
        <item x="23"/>
        <item x="19"/>
        <item x="14"/>
        <item x="0"/>
        <item x="13"/>
        <item x="2"/>
        <item x="1"/>
        <item x="10"/>
        <item x="15"/>
        <item x="20"/>
        <item x="11"/>
        <item x="21"/>
        <item x="8"/>
        <item x="12"/>
        <item x="16"/>
        <item x="18"/>
        <item x="22"/>
        <item x="4"/>
        <item x="3"/>
        <item x="7"/>
        <item x="9"/>
        <item x="6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>
      <items count="762">
        <item x="632"/>
        <item x="600"/>
        <item x="457"/>
        <item x="430"/>
        <item x="54"/>
        <item x="191"/>
        <item x="51"/>
        <item x="459"/>
        <item x="333"/>
        <item x="540"/>
        <item x="98"/>
        <item x="249"/>
        <item x="307"/>
        <item x="227"/>
        <item x="274"/>
        <item x="750"/>
        <item x="654"/>
        <item x="332"/>
        <item x="130"/>
        <item x="638"/>
        <item x="393"/>
        <item x="452"/>
        <item x="238"/>
        <item x="721"/>
        <item x="556"/>
        <item x="121"/>
        <item x="658"/>
        <item x="567"/>
        <item x="401"/>
        <item x="49"/>
        <item x="100"/>
        <item x="518"/>
        <item x="329"/>
        <item x="664"/>
        <item x="509"/>
        <item x="480"/>
        <item x="433"/>
        <item x="84"/>
        <item x="259"/>
        <item x="741"/>
        <item x="525"/>
        <item x="171"/>
        <item x="374"/>
        <item x="550"/>
        <item x="1"/>
        <item x="508"/>
        <item x="483"/>
        <item x="135"/>
        <item x="189"/>
        <item x="356"/>
        <item x="188"/>
        <item x="35"/>
        <item x="182"/>
        <item x="93"/>
        <item x="541"/>
        <item x="179"/>
        <item x="331"/>
        <item x="671"/>
        <item x="94"/>
        <item x="306"/>
        <item x="278"/>
        <item x="676"/>
        <item x="25"/>
        <item x="192"/>
        <item x="595"/>
        <item x="368"/>
        <item x="88"/>
        <item x="194"/>
        <item x="160"/>
        <item x="702"/>
        <item x="507"/>
        <item x="534"/>
        <item x="166"/>
        <item x="201"/>
        <item x="153"/>
        <item x="152"/>
        <item x="313"/>
        <item x="225"/>
        <item x="264"/>
        <item x="757"/>
        <item x="79"/>
        <item x="4"/>
        <item x="445"/>
        <item x="77"/>
        <item x="161"/>
        <item x="260"/>
        <item x="243"/>
        <item x="91"/>
        <item x="185"/>
        <item x="108"/>
        <item x="597"/>
        <item x="593"/>
        <item x="205"/>
        <item x="48"/>
        <item x="13"/>
        <item x="45"/>
        <item x="542"/>
        <item x="394"/>
        <item x="232"/>
        <item x="78"/>
        <item x="739"/>
        <item x="690"/>
        <item x="370"/>
        <item x="617"/>
        <item x="74"/>
        <item x="136"/>
        <item x="476"/>
        <item x="522"/>
        <item x="266"/>
        <item x="200"/>
        <item x="701"/>
        <item x="666"/>
        <item x="24"/>
        <item x="610"/>
        <item x="469"/>
        <item x="178"/>
        <item x="195"/>
        <item x="366"/>
        <item x="484"/>
        <item x="341"/>
        <item x="8"/>
        <item x="208"/>
        <item x="641"/>
        <item x="97"/>
        <item x="614"/>
        <item x="30"/>
        <item x="68"/>
        <item x="647"/>
        <item x="285"/>
        <item x="631"/>
        <item x="292"/>
        <item x="491"/>
        <item x="565"/>
        <item x="569"/>
        <item x="720"/>
        <item x="296"/>
        <item x="566"/>
        <item x="217"/>
        <item x="64"/>
        <item x="696"/>
        <item x="754"/>
        <item x="202"/>
        <item x="2"/>
        <item x="649"/>
        <item x="286"/>
        <item x="581"/>
        <item x="448"/>
        <item x="639"/>
        <item x="319"/>
        <item x="119"/>
        <item x="494"/>
        <item x="756"/>
        <item x="280"/>
        <item x="694"/>
        <item x="598"/>
        <item x="149"/>
        <item x="495"/>
        <item x="253"/>
        <item x="630"/>
        <item x="21"/>
        <item x="414"/>
        <item x="619"/>
        <item x="643"/>
        <item x="222"/>
        <item x="316"/>
        <item x="545"/>
        <item x="434"/>
        <item x="673"/>
        <item x="38"/>
        <item x="186"/>
        <item x="571"/>
        <item x="120"/>
        <item x="705"/>
        <item x="527"/>
        <item x="530"/>
        <item x="612"/>
        <item x="686"/>
        <item x="220"/>
        <item x="246"/>
        <item x="543"/>
        <item x="582"/>
        <item x="560"/>
        <item x="481"/>
        <item x="390"/>
        <item x="118"/>
        <item x="688"/>
        <item x="9"/>
        <item x="478"/>
        <item x="710"/>
        <item x="330"/>
        <item x="449"/>
        <item x="439"/>
        <item x="70"/>
        <item x="367"/>
        <item x="472"/>
        <item x="734"/>
        <item x="558"/>
        <item x="517"/>
        <item x="338"/>
        <item x="297"/>
        <item x="345"/>
        <item x="717"/>
        <item x="487"/>
        <item x="58"/>
        <item x="645"/>
        <item x="576"/>
        <item x="304"/>
        <item x="123"/>
        <item x="362"/>
        <item x="164"/>
        <item x="625"/>
        <item x="659"/>
        <item x="85"/>
        <item x="738"/>
        <item x="528"/>
        <item x="343"/>
        <item x="642"/>
        <item x="138"/>
        <item x="283"/>
        <item x="14"/>
        <item x="258"/>
        <item x="127"/>
        <item x="730"/>
        <item x="755"/>
        <item x="529"/>
        <item x="20"/>
        <item x="141"/>
        <item x="498"/>
        <item x="683"/>
        <item x="213"/>
        <item x="109"/>
        <item x="455"/>
        <item x="409"/>
        <item x="237"/>
        <item x="451"/>
        <item x="651"/>
        <item x="145"/>
        <item x="470"/>
        <item x="165"/>
        <item x="427"/>
        <item x="554"/>
        <item x="353"/>
        <item x="403"/>
        <item x="726"/>
        <item x="670"/>
        <item x="335"/>
        <item x="209"/>
        <item x="745"/>
        <item x="348"/>
        <item x="636"/>
        <item x="396"/>
        <item x="680"/>
        <item x="438"/>
        <item x="590"/>
        <item x="346"/>
        <item x="426"/>
        <item x="640"/>
        <item x="603"/>
        <item x="311"/>
        <item x="298"/>
        <item x="183"/>
        <item x="235"/>
        <item x="607"/>
        <item x="76"/>
        <item x="126"/>
        <item x="471"/>
        <item x="502"/>
        <item x="172"/>
        <item x="41"/>
        <item x="71"/>
        <item x="110"/>
        <item x="668"/>
        <item x="586"/>
        <item x="725"/>
        <item x="354"/>
        <item x="268"/>
        <item x="7"/>
        <item x="669"/>
        <item x="40"/>
        <item x="355"/>
        <item x="162"/>
        <item x="744"/>
        <item x="302"/>
        <item x="608"/>
        <item x="749"/>
        <item x="547"/>
        <item x="134"/>
        <item x="16"/>
        <item x="320"/>
        <item x="699"/>
        <item x="622"/>
        <item x="727"/>
        <item x="465"/>
        <item x="337"/>
        <item x="687"/>
        <item x="269"/>
        <item x="96"/>
        <item x="365"/>
        <item x="344"/>
        <item x="33"/>
        <item x="416"/>
        <item x="244"/>
        <item x="441"/>
        <item x="271"/>
        <item x="308"/>
        <item x="203"/>
        <item x="223"/>
        <item x="163"/>
        <item x="233"/>
        <item x="216"/>
        <item x="447"/>
        <item x="538"/>
        <item x="440"/>
        <item x="700"/>
        <item x="334"/>
        <item x="431"/>
        <item x="352"/>
        <item x="743"/>
        <item x="148"/>
        <item x="490"/>
        <item x="385"/>
        <item x="539"/>
        <item x="196"/>
        <item x="515"/>
        <item x="747"/>
        <item x="395"/>
        <item x="523"/>
        <item x="176"/>
        <item x="672"/>
        <item x="501"/>
        <item x="579"/>
        <item x="43"/>
        <item x="386"/>
        <item x="609"/>
        <item x="724"/>
        <item x="589"/>
        <item x="116"/>
        <item x="184"/>
        <item x="373"/>
        <item x="303"/>
        <item x="187"/>
        <item x="383"/>
        <item x="594"/>
        <item x="419"/>
        <item x="400"/>
        <item x="399"/>
        <item x="573"/>
        <item x="59"/>
        <item x="678"/>
        <item x="633"/>
        <item x="42"/>
        <item x="53"/>
        <item x="12"/>
        <item x="648"/>
        <item x="514"/>
        <item x="578"/>
        <item x="210"/>
        <item x="548"/>
        <item x="69"/>
        <item x="718"/>
        <item x="644"/>
        <item x="660"/>
        <item x="391"/>
        <item x="521"/>
        <item x="415"/>
        <item x="242"/>
        <item x="236"/>
        <item x="488"/>
        <item x="107"/>
        <item x="312"/>
        <item x="629"/>
        <item x="568"/>
        <item x="229"/>
        <item x="421"/>
        <item x="380"/>
        <item x="81"/>
        <item x="413"/>
        <item x="387"/>
        <item x="692"/>
        <item x="446"/>
        <item x="681"/>
        <item x="456"/>
        <item x="239"/>
        <item x="214"/>
        <item x="428"/>
        <item x="281"/>
        <item x="61"/>
        <item x="704"/>
        <item x="684"/>
        <item x="190"/>
        <item x="689"/>
        <item x="559"/>
        <item x="408"/>
        <item x="361"/>
        <item x="251"/>
        <item x="73"/>
        <item x="197"/>
        <item x="261"/>
        <item x="388"/>
        <item x="706"/>
        <item x="37"/>
        <item x="207"/>
        <item x="34"/>
        <item x="557"/>
        <item x="752"/>
        <item x="255"/>
        <item x="19"/>
        <item x="570"/>
        <item x="536"/>
        <item x="381"/>
        <item x="378"/>
        <item x="753"/>
        <item x="402"/>
        <item x="735"/>
        <item x="80"/>
        <item x="662"/>
        <item x="748"/>
        <item x="371"/>
        <item x="67"/>
        <item x="697"/>
        <item x="158"/>
        <item x="466"/>
        <item x="691"/>
        <item x="241"/>
        <item x="125"/>
        <item x="486"/>
        <item x="442"/>
        <item x="411"/>
        <item x="326"/>
        <item x="520"/>
        <item x="626"/>
        <item x="516"/>
        <item x="546"/>
        <item x="340"/>
        <item x="36"/>
        <item x="384"/>
        <item x="350"/>
        <item x="169"/>
        <item x="714"/>
        <item x="44"/>
        <item x="351"/>
        <item x="562"/>
        <item x="424"/>
        <item x="56"/>
        <item x="574"/>
        <item x="561"/>
        <item x="15"/>
        <item x="147"/>
        <item x="234"/>
        <item x="429"/>
        <item x="3"/>
        <item x="575"/>
        <item x="146"/>
        <item x="435"/>
        <item x="295"/>
        <item x="275"/>
        <item x="420"/>
        <item x="122"/>
        <item x="618"/>
        <item x="263"/>
        <item x="140"/>
        <item x="254"/>
        <item x="5"/>
        <item x="503"/>
        <item x="83"/>
        <item x="512"/>
        <item x="708"/>
        <item x="291"/>
        <item x="256"/>
        <item x="599"/>
        <item x="627"/>
        <item x="417"/>
        <item x="703"/>
        <item x="32"/>
        <item x="92"/>
        <item x="318"/>
        <item x="252"/>
        <item x="324"/>
        <item x="199"/>
        <item x="511"/>
        <item x="309"/>
        <item x="226"/>
        <item x="709"/>
        <item x="564"/>
        <item x="131"/>
        <item x="328"/>
        <item x="624"/>
        <item x="301"/>
        <item x="55"/>
        <item x="279"/>
        <item x="342"/>
        <item x="563"/>
        <item x="588"/>
        <item x="300"/>
        <item x="314"/>
        <item x="604"/>
        <item x="265"/>
        <item x="349"/>
        <item x="379"/>
        <item x="685"/>
        <item x="86"/>
        <item x="29"/>
        <item x="322"/>
        <item x="477"/>
        <item x="693"/>
        <item x="504"/>
        <item x="760"/>
        <item x="611"/>
        <item x="317"/>
        <item x="497"/>
        <item x="665"/>
        <item x="287"/>
        <item x="733"/>
        <item x="506"/>
        <item x="736"/>
        <item x="623"/>
        <item x="729"/>
        <item x="549"/>
        <item x="66"/>
        <item x="82"/>
        <item x="60"/>
        <item x="65"/>
        <item x="674"/>
        <item x="397"/>
        <item x="323"/>
        <item x="247"/>
        <item x="475"/>
        <item x="663"/>
        <item x="218"/>
        <item x="129"/>
        <item x="114"/>
        <item x="637"/>
        <item x="500"/>
        <item x="57"/>
        <item x="715"/>
        <item x="382"/>
        <item x="493"/>
        <item x="634"/>
        <item x="26"/>
        <item x="423"/>
        <item x="551"/>
        <item x="105"/>
        <item x="587"/>
        <item x="206"/>
        <item x="111"/>
        <item x="628"/>
        <item x="50"/>
        <item x="240"/>
        <item x="89"/>
        <item x="656"/>
        <item x="137"/>
        <item x="732"/>
        <item x="257"/>
        <item x="315"/>
        <item x="221"/>
        <item x="499"/>
        <item x="713"/>
        <item x="159"/>
        <item x="372"/>
        <item x="22"/>
        <item x="0"/>
        <item x="519"/>
        <item x="142"/>
        <item x="250"/>
        <item x="728"/>
        <item x="198"/>
        <item x="150"/>
        <item x="272"/>
        <item x="75"/>
        <item x="510"/>
        <item x="712"/>
        <item x="113"/>
        <item x="533"/>
        <item x="655"/>
        <item x="18"/>
        <item x="650"/>
        <item x="357"/>
        <item x="436"/>
        <item x="389"/>
        <item x="211"/>
        <item x="133"/>
        <item x="224"/>
        <item x="652"/>
        <item x="180"/>
        <item x="524"/>
        <item x="467"/>
        <item x="443"/>
        <item x="102"/>
        <item x="293"/>
        <item x="339"/>
        <item x="580"/>
        <item x="723"/>
        <item x="104"/>
        <item x="657"/>
        <item x="591"/>
        <item x="358"/>
        <item x="228"/>
        <item x="474"/>
        <item x="289"/>
        <item x="461"/>
        <item x="28"/>
        <item x="707"/>
        <item x="719"/>
        <item x="460"/>
        <item x="716"/>
        <item x="154"/>
        <item x="132"/>
        <item x="407"/>
        <item x="473"/>
        <item x="615"/>
        <item x="115"/>
        <item x="46"/>
        <item x="193"/>
        <item x="398"/>
        <item x="751"/>
        <item x="359"/>
        <item x="453"/>
        <item x="168"/>
        <item x="273"/>
        <item x="31"/>
        <item x="117"/>
        <item x="577"/>
        <item x="482"/>
        <item x="282"/>
        <item x="305"/>
        <item x="552"/>
        <item x="526"/>
        <item x="336"/>
        <item x="17"/>
        <item x="360"/>
        <item x="321"/>
        <item x="327"/>
        <item x="128"/>
        <item x="653"/>
        <item x="151"/>
        <item x="245"/>
        <item x="605"/>
        <item x="731"/>
        <item x="585"/>
        <item x="6"/>
        <item x="458"/>
        <item x="52"/>
        <item x="531"/>
        <item x="464"/>
        <item x="496"/>
        <item x="95"/>
        <item x="583"/>
        <item x="406"/>
        <item x="215"/>
        <item x="262"/>
        <item x="167"/>
        <item x="698"/>
        <item x="219"/>
        <item x="101"/>
        <item x="513"/>
        <item x="740"/>
        <item x="444"/>
        <item x="432"/>
        <item x="294"/>
        <item x="284"/>
        <item x="231"/>
        <item x="635"/>
        <item x="463"/>
        <item x="106"/>
        <item x="376"/>
        <item x="613"/>
        <item x="204"/>
        <item x="412"/>
        <item x="425"/>
        <item x="47"/>
        <item x="175"/>
        <item x="392"/>
        <item x="621"/>
        <item x="602"/>
        <item x="62"/>
        <item x="682"/>
        <item x="584"/>
        <item x="144"/>
        <item x="325"/>
        <item x="363"/>
        <item x="468"/>
        <item x="679"/>
        <item x="485"/>
        <item x="364"/>
        <item x="288"/>
        <item x="410"/>
        <item x="492"/>
        <item x="124"/>
        <item x="661"/>
        <item x="505"/>
        <item x="170"/>
        <item x="532"/>
        <item x="248"/>
        <item x="667"/>
        <item x="695"/>
        <item x="596"/>
        <item x="155"/>
        <item x="601"/>
        <item x="479"/>
        <item x="437"/>
        <item x="10"/>
        <item x="310"/>
        <item x="758"/>
        <item x="277"/>
        <item x="711"/>
        <item x="535"/>
        <item x="620"/>
        <item x="450"/>
        <item x="454"/>
        <item x="537"/>
        <item x="299"/>
        <item x="177"/>
        <item x="212"/>
        <item x="72"/>
        <item x="737"/>
        <item x="544"/>
        <item x="63"/>
        <item x="112"/>
        <item x="462"/>
        <item x="742"/>
        <item x="418"/>
        <item x="616"/>
        <item x="290"/>
        <item x="675"/>
        <item x="174"/>
        <item x="553"/>
        <item x="377"/>
        <item x="722"/>
        <item x="27"/>
        <item x="646"/>
        <item x="99"/>
        <item x="90"/>
        <item x="276"/>
        <item x="267"/>
        <item x="369"/>
        <item x="677"/>
        <item x="555"/>
        <item x="404"/>
        <item x="375"/>
        <item x="572"/>
        <item x="39"/>
        <item x="23"/>
        <item x="746"/>
        <item x="87"/>
        <item x="230"/>
        <item x="139"/>
        <item x="157"/>
        <item x="347"/>
        <item x="173"/>
        <item x="270"/>
        <item x="181"/>
        <item x="405"/>
        <item x="422"/>
        <item x="606"/>
        <item x="592"/>
        <item x="156"/>
        <item x="489"/>
        <item x="759"/>
        <item x="143"/>
        <item x="11"/>
        <item x="103"/>
        <item t="default"/>
      </items>
    </pivotField>
    <pivotField showAll="0">
      <items count="639">
        <item x="20"/>
        <item x="544"/>
        <item x="596"/>
        <item x="384"/>
        <item x="174"/>
        <item x="332"/>
        <item x="53"/>
        <item x="94"/>
        <item x="224"/>
        <item x="300"/>
        <item x="626"/>
        <item x="466"/>
        <item x="121"/>
        <item x="589"/>
        <item x="49"/>
        <item x="495"/>
        <item x="154"/>
        <item x="480"/>
        <item x="125"/>
        <item x="51"/>
        <item x="459"/>
        <item x="448"/>
        <item x="444"/>
        <item x="387"/>
        <item x="171"/>
        <item x="575"/>
        <item x="496"/>
        <item x="139"/>
        <item x="582"/>
        <item x="277"/>
        <item x="85"/>
        <item x="251"/>
        <item x="150"/>
        <item x="299"/>
        <item x="212"/>
        <item x="214"/>
        <item x="172"/>
        <item x="75"/>
        <item x="145"/>
        <item x="218"/>
        <item x="91"/>
        <item x="565"/>
        <item x="177"/>
        <item x="76"/>
        <item x="572"/>
        <item x="591"/>
        <item x="1"/>
        <item x="516"/>
        <item x="45"/>
        <item x="398"/>
        <item x="421"/>
        <item x="63"/>
        <item x="454"/>
        <item x="90"/>
        <item x="82"/>
        <item x="175"/>
        <item x="165"/>
        <item x="338"/>
        <item x="185"/>
        <item x="25"/>
        <item x="229"/>
        <item x="252"/>
        <item x="162"/>
        <item x="13"/>
        <item x="77"/>
        <item x="503"/>
        <item x="35"/>
        <item x="72"/>
        <item x="88"/>
        <item x="168"/>
        <item x="4"/>
        <item x="48"/>
        <item x="597"/>
        <item x="523"/>
        <item x="191"/>
        <item x="245"/>
        <item x="24"/>
        <item x="415"/>
        <item x="184"/>
        <item x="126"/>
        <item x="330"/>
        <item x="161"/>
        <item x="424"/>
        <item x="8"/>
        <item x="194"/>
        <item x="261"/>
        <item x="526"/>
        <item x="66"/>
        <item x="203"/>
        <item x="555"/>
        <item x="551"/>
        <item x="549"/>
        <item x="270"/>
        <item x="111"/>
        <item x="30"/>
        <item x="593"/>
        <item x="557"/>
        <item x="262"/>
        <item x="368"/>
        <item x="543"/>
        <item x="210"/>
        <item x="401"/>
        <item x="433"/>
        <item x="498"/>
        <item x="634"/>
        <item x="588"/>
        <item x="494"/>
        <item x="508"/>
        <item x="633"/>
        <item x="603"/>
        <item x="425"/>
        <item x="304"/>
        <item x="483"/>
        <item x="493"/>
        <item x="598"/>
        <item x="461"/>
        <item x="464"/>
        <item x="256"/>
        <item x="237"/>
        <item x="14"/>
        <item x="179"/>
        <item x="419"/>
        <item x="497"/>
        <item x="463"/>
        <item x="505"/>
        <item x="405"/>
        <item x="451"/>
        <item x="310"/>
        <item x="359"/>
        <item x="629"/>
        <item x="302"/>
        <item x="385"/>
        <item x="473"/>
        <item x="207"/>
        <item x="282"/>
        <item x="232"/>
        <item x="507"/>
        <item x="350"/>
        <item x="118"/>
        <item x="434"/>
        <item x="9"/>
        <item x="12"/>
        <item x="130"/>
        <item x="102"/>
        <item x="403"/>
        <item x="257"/>
        <item x="530"/>
        <item x="622"/>
        <item x="307"/>
        <item x="202"/>
        <item x="279"/>
        <item x="354"/>
        <item x="114"/>
        <item x="148"/>
        <item x="439"/>
        <item x="506"/>
        <item x="169"/>
        <item x="217"/>
        <item x="400"/>
        <item x="275"/>
        <item x="127"/>
        <item x="474"/>
        <item x="613"/>
        <item x="319"/>
        <item x="627"/>
        <item x="306"/>
        <item x="608"/>
        <item x="569"/>
        <item x="289"/>
        <item x="228"/>
        <item x="190"/>
        <item x="580"/>
        <item x="521"/>
        <item x="621"/>
        <item x="223"/>
        <item x="248"/>
        <item x="211"/>
        <item x="206"/>
        <item x="380"/>
        <item x="430"/>
        <item x="595"/>
        <item x="614"/>
        <item x="578"/>
        <item x="180"/>
        <item x="313"/>
        <item x="564"/>
        <item x="159"/>
        <item x="427"/>
        <item x="78"/>
        <item x="167"/>
        <item x="335"/>
        <item x="227"/>
        <item x="559"/>
        <item x="166"/>
        <item x="58"/>
        <item x="476"/>
        <item x="346"/>
        <item x="41"/>
        <item x="412"/>
        <item x="478"/>
        <item x="318"/>
        <item x="246"/>
        <item x="40"/>
        <item x="220"/>
        <item x="112"/>
        <item x="501"/>
        <item x="388"/>
        <item x="16"/>
        <item x="244"/>
        <item x="344"/>
        <item x="79"/>
        <item x="240"/>
        <item x="538"/>
        <item x="86"/>
        <item x="225"/>
        <item x="258"/>
        <item x="632"/>
        <item x="394"/>
        <item x="173"/>
        <item x="219"/>
        <item x="364"/>
        <item x="181"/>
        <item x="301"/>
        <item x="34"/>
        <item x="19"/>
        <item x="449"/>
        <item x="341"/>
        <item x="343"/>
        <item x="353"/>
        <item x="321"/>
        <item x="348"/>
        <item x="413"/>
        <item x="116"/>
        <item x="395"/>
        <item x="296"/>
        <item x="396"/>
        <item x="357"/>
        <item x="500"/>
        <item x="545"/>
        <item x="311"/>
        <item x="44"/>
        <item x="446"/>
        <item x="465"/>
        <item x="490"/>
        <item x="407"/>
        <item x="3"/>
        <item x="269"/>
        <item x="351"/>
        <item x="372"/>
        <item x="529"/>
        <item x="104"/>
        <item x="5"/>
        <item x="440"/>
        <item x="601"/>
        <item x="517"/>
        <item x="209"/>
        <item x="342"/>
        <item x="290"/>
        <item x="0"/>
        <item x="122"/>
        <item x="200"/>
        <item x="60"/>
        <item x="285"/>
        <item x="411"/>
        <item x="456"/>
        <item x="590"/>
        <item x="308"/>
        <item x="18"/>
        <item x="96"/>
        <item x="349"/>
        <item x="486"/>
        <item x="147"/>
        <item x="291"/>
        <item x="345"/>
        <item x="546"/>
        <item x="358"/>
        <item x="316"/>
        <item x="188"/>
        <item x="611"/>
        <item x="524"/>
        <item x="65"/>
        <item x="479"/>
        <item x="198"/>
        <item x="366"/>
        <item x="453"/>
        <item x="408"/>
        <item x="450"/>
        <item x="43"/>
        <item x="204"/>
        <item x="442"/>
        <item x="339"/>
        <item x="315"/>
        <item x="527"/>
        <item x="170"/>
        <item x="432"/>
        <item x="356"/>
        <item x="110"/>
        <item x="511"/>
        <item x="392"/>
        <item x="539"/>
        <item x="226"/>
        <item x="563"/>
        <item x="23"/>
        <item x="323"/>
        <item x="586"/>
        <item x="437"/>
        <item x="238"/>
        <item x="178"/>
        <item x="406"/>
        <item x="288"/>
        <item x="182"/>
        <item x="89"/>
        <item x="183"/>
        <item x="445"/>
        <item x="278"/>
        <item x="373"/>
        <item x="54"/>
        <item x="260"/>
        <item x="197"/>
        <item x="189"/>
        <item x="57"/>
        <item x="97"/>
        <item x="29"/>
        <item x="98"/>
        <item x="637"/>
        <item x="510"/>
        <item x="133"/>
        <item x="326"/>
        <item x="215"/>
        <item x="265"/>
        <item x="489"/>
        <item x="583"/>
        <item x="581"/>
        <item x="128"/>
        <item x="176"/>
        <item x="327"/>
        <item x="447"/>
        <item x="2"/>
        <item x="250"/>
        <item x="570"/>
        <item x="553"/>
        <item x="26"/>
        <item x="481"/>
        <item x="280"/>
        <item x="331"/>
        <item x="619"/>
        <item x="334"/>
        <item x="390"/>
        <item x="10"/>
        <item x="558"/>
        <item x="579"/>
        <item x="604"/>
        <item x="38"/>
        <item x="607"/>
        <item x="160"/>
        <item x="502"/>
        <item x="367"/>
        <item x="475"/>
        <item x="325"/>
        <item x="22"/>
        <item x="566"/>
        <item x="584"/>
        <item x="552"/>
        <item x="610"/>
        <item x="422"/>
        <item x="541"/>
        <item x="600"/>
        <item x="117"/>
        <item x="617"/>
        <item x="616"/>
        <item x="152"/>
        <item x="109"/>
        <item x="186"/>
        <item x="362"/>
        <item x="520"/>
        <item x="281"/>
        <item x="487"/>
        <item x="416"/>
        <item x="379"/>
        <item x="542"/>
        <item x="397"/>
        <item x="195"/>
        <item x="336"/>
        <item x="84"/>
        <item x="131"/>
        <item x="547"/>
        <item x="624"/>
        <item x="137"/>
        <item x="309"/>
        <item x="324"/>
        <item x="522"/>
        <item x="531"/>
        <item x="193"/>
        <item x="631"/>
        <item x="103"/>
        <item x="576"/>
        <item x="298"/>
        <item x="7"/>
        <item x="274"/>
        <item x="477"/>
        <item x="124"/>
        <item x="436"/>
        <item x="484"/>
        <item x="67"/>
        <item x="68"/>
        <item x="369"/>
        <item x="329"/>
        <item x="504"/>
        <item x="317"/>
        <item x="187"/>
        <item x="472"/>
        <item x="135"/>
        <item x="271"/>
        <item x="221"/>
        <item x="347"/>
        <item x="512"/>
        <item x="276"/>
        <item x="391"/>
        <item x="457"/>
        <item x="452"/>
        <item x="462"/>
        <item x="272"/>
        <item x="222"/>
        <item x="74"/>
        <item x="155"/>
        <item x="592"/>
        <item x="83"/>
        <item x="577"/>
        <item x="560"/>
        <item x="15"/>
        <item x="136"/>
        <item x="93"/>
        <item x="568"/>
        <item x="33"/>
        <item x="113"/>
        <item x="134"/>
        <item x="492"/>
        <item x="550"/>
        <item x="141"/>
        <item x="32"/>
        <item x="236"/>
        <item x="294"/>
        <item x="71"/>
        <item x="213"/>
        <item x="320"/>
        <item x="37"/>
        <item x="239"/>
        <item x="470"/>
        <item x="235"/>
        <item x="149"/>
        <item x="337"/>
        <item x="143"/>
        <item x="458"/>
        <item x="599"/>
        <item x="42"/>
        <item x="573"/>
        <item x="556"/>
        <item x="623"/>
        <item x="69"/>
        <item x="80"/>
        <item x="59"/>
        <item x="55"/>
        <item x="293"/>
        <item x="292"/>
        <item x="428"/>
        <item x="548"/>
        <item x="333"/>
        <item x="383"/>
        <item x="81"/>
        <item x="140"/>
        <item x="399"/>
        <item x="284"/>
        <item x="230"/>
        <item x="587"/>
        <item x="485"/>
        <item x="488"/>
        <item x="536"/>
        <item x="146"/>
        <item x="382"/>
        <item x="242"/>
        <item x="249"/>
        <item x="273"/>
        <item x="567"/>
        <item x="468"/>
        <item x="418"/>
        <item x="441"/>
        <item x="123"/>
        <item x="286"/>
        <item x="625"/>
        <item x="537"/>
        <item x="267"/>
        <item x="534"/>
        <item x="64"/>
        <item x="36"/>
        <item x="513"/>
        <item x="355"/>
        <item x="233"/>
        <item x="571"/>
        <item x="376"/>
        <item x="28"/>
        <item x="381"/>
        <item x="375"/>
        <item x="393"/>
        <item x="108"/>
        <item x="192"/>
        <item x="129"/>
        <item x="50"/>
        <item x="144"/>
        <item x="196"/>
        <item x="199"/>
        <item x="264"/>
        <item x="525"/>
        <item x="138"/>
        <item x="443"/>
        <item x="153"/>
        <item x="255"/>
        <item x="612"/>
        <item x="509"/>
        <item x="106"/>
        <item x="243"/>
        <item x="594"/>
        <item x="361"/>
        <item x="389"/>
        <item x="386"/>
        <item x="268"/>
        <item x="163"/>
        <item x="414"/>
        <item x="535"/>
        <item x="305"/>
        <item x="628"/>
        <item x="263"/>
        <item x="585"/>
        <item x="352"/>
        <item x="499"/>
        <item x="61"/>
        <item x="609"/>
        <item x="62"/>
        <item x="606"/>
        <item x="120"/>
        <item x="107"/>
        <item x="438"/>
        <item x="99"/>
        <item x="31"/>
        <item x="340"/>
        <item x="423"/>
        <item x="259"/>
        <item x="27"/>
        <item x="115"/>
        <item x="460"/>
        <item x="17"/>
        <item x="241"/>
        <item x="208"/>
        <item x="615"/>
        <item x="435"/>
        <item x="420"/>
        <item x="253"/>
        <item x="101"/>
        <item x="73"/>
        <item x="201"/>
        <item x="205"/>
        <item x="602"/>
        <item x="605"/>
        <item x="562"/>
        <item x="402"/>
        <item x="410"/>
        <item x="100"/>
        <item x="287"/>
        <item x="158"/>
        <item x="70"/>
        <item x="533"/>
        <item x="518"/>
        <item x="322"/>
        <item x="378"/>
        <item x="409"/>
        <item x="371"/>
        <item x="266"/>
        <item x="620"/>
        <item x="216"/>
        <item x="417"/>
        <item x="46"/>
        <item x="365"/>
        <item x="630"/>
        <item x="455"/>
        <item x="56"/>
        <item x="467"/>
        <item x="247"/>
        <item x="303"/>
        <item x="95"/>
        <item x="297"/>
        <item x="561"/>
        <item x="231"/>
        <item x="618"/>
        <item x="52"/>
        <item x="92"/>
        <item x="363"/>
        <item x="151"/>
        <item x="328"/>
        <item x="469"/>
        <item x="404"/>
        <item x="471"/>
        <item x="519"/>
        <item x="39"/>
        <item x="514"/>
        <item x="377"/>
        <item x="47"/>
        <item x="528"/>
        <item x="157"/>
        <item x="482"/>
        <item x="429"/>
        <item x="283"/>
        <item x="314"/>
        <item x="156"/>
        <item x="426"/>
        <item x="554"/>
        <item x="431"/>
        <item x="87"/>
        <item x="234"/>
        <item x="515"/>
        <item x="132"/>
        <item x="360"/>
        <item x="119"/>
        <item x="540"/>
        <item x="491"/>
        <item x="635"/>
        <item x="254"/>
        <item x="532"/>
        <item x="11"/>
        <item x="21"/>
        <item x="105"/>
        <item x="636"/>
        <item x="142"/>
        <item x="312"/>
        <item x="164"/>
        <item x="374"/>
        <item x="295"/>
        <item x="574"/>
        <item x="6"/>
        <item x="370"/>
        <item t="default"/>
      </items>
    </pivotField>
    <pivotField showAll="0"/>
    <pivotField showAll="0">
      <items count="727">
        <item x="610"/>
        <item x="436"/>
        <item x="52"/>
        <item x="410"/>
        <item x="546"/>
        <item x="55"/>
        <item x="182"/>
        <item x="675"/>
        <item x="292"/>
        <item x="513"/>
        <item x="439"/>
        <item x="221"/>
        <item x="100"/>
        <item x="337"/>
        <item x="615"/>
        <item x="504"/>
        <item x="309"/>
        <item x="431"/>
        <item x="67"/>
        <item x="373"/>
        <item x="626"/>
        <item x="259"/>
        <item x="530"/>
        <item x="686"/>
        <item x="128"/>
        <item x="543"/>
        <item x="458"/>
        <item x="120"/>
        <item x="248"/>
        <item x="380"/>
        <item x="233"/>
        <item x="35"/>
        <item x="86"/>
        <item x="102"/>
        <item x="642"/>
        <item x="174"/>
        <item x="50"/>
        <item x="354"/>
        <item x="1"/>
        <item x="483"/>
        <item x="95"/>
        <item x="630"/>
        <item x="523"/>
        <item x="573"/>
        <item x="133"/>
        <item x="265"/>
        <item x="183"/>
        <item x="172"/>
        <item x="647"/>
        <item x="181"/>
        <item x="148"/>
        <item x="489"/>
        <item x="334"/>
        <item x="192"/>
        <item x="81"/>
        <item x="25"/>
        <item x="96"/>
        <item x="180"/>
        <item x="160"/>
        <item x="260"/>
        <item x="147"/>
        <item x="547"/>
        <item x="398"/>
        <item x="185"/>
        <item x="370"/>
        <item x="684"/>
        <item x="4"/>
        <item x="654"/>
        <item x="79"/>
        <item x="482"/>
        <item x="90"/>
        <item x="575"/>
        <item x="316"/>
        <item x="237"/>
        <item x="708"/>
        <item x="723"/>
        <item x="424"/>
        <item x="348"/>
        <item x="13"/>
        <item x="177"/>
        <item x="374"/>
        <item x="571"/>
        <item x="80"/>
        <item x="49"/>
        <item x="437"/>
        <item x="193"/>
        <item x="155"/>
        <item x="666"/>
        <item x="704"/>
        <item x="76"/>
        <item x="46"/>
        <item x="262"/>
        <item x="251"/>
        <item x="494"/>
        <item x="227"/>
        <item x="191"/>
        <item x="676"/>
        <item x="351"/>
        <item x="589"/>
        <item x="455"/>
        <item x="24"/>
        <item x="450"/>
        <item x="186"/>
        <item x="171"/>
        <item x="318"/>
        <item x="346"/>
        <item x="461"/>
        <item x="201"/>
        <item x="592"/>
        <item x="194"/>
        <item x="624"/>
        <item x="469"/>
        <item x="619"/>
        <item x="8"/>
        <item x="280"/>
        <item x="273"/>
        <item x="2"/>
        <item x="30"/>
        <item x="690"/>
        <item x="541"/>
        <item x="544"/>
        <item x="210"/>
        <item x="274"/>
        <item x="609"/>
        <item x="459"/>
        <item x="302"/>
        <item x="501"/>
        <item x="99"/>
        <item x="472"/>
        <item x="722"/>
        <item x="427"/>
        <item x="542"/>
        <item x="616"/>
        <item x="284"/>
        <item x="298"/>
        <item x="413"/>
        <item x="535"/>
        <item x="721"/>
        <item x="669"/>
        <item x="576"/>
        <item x="70"/>
        <item x="590"/>
        <item x="347"/>
        <item x="596"/>
        <item x="649"/>
        <item x="38"/>
        <item x="473"/>
        <item x="558"/>
        <item x="267"/>
        <item x="72"/>
        <item x="119"/>
        <item x="595"/>
        <item x="244"/>
        <item x="549"/>
        <item x="285"/>
        <item x="159"/>
        <item x="664"/>
        <item x="657"/>
        <item x="291"/>
        <item x="697"/>
        <item x="671"/>
        <item x="404"/>
        <item x="65"/>
        <item x="560"/>
        <item x="207"/>
        <item x="78"/>
        <item x="532"/>
        <item x="451"/>
        <item x="405"/>
        <item x="581"/>
        <item x="247"/>
        <item x="515"/>
        <item x="202"/>
        <item x="702"/>
        <item x="393"/>
        <item x="254"/>
        <item x="218"/>
        <item x="156"/>
        <item x="319"/>
        <item x="215"/>
        <item x="141"/>
        <item x="314"/>
        <item x="428"/>
        <item x="687"/>
        <item x="588"/>
        <item x="600"/>
        <item x="240"/>
        <item x="554"/>
        <item x="680"/>
        <item x="500"/>
        <item x="694"/>
        <item x="369"/>
        <item x="503"/>
        <item x="111"/>
        <item x="341"/>
        <item x="126"/>
        <item x="634"/>
        <item x="7"/>
        <item x="9"/>
        <item x="21"/>
        <item x="466"/>
        <item x="59"/>
        <item x="622"/>
        <item x="110"/>
        <item x="572"/>
        <item x="14"/>
        <item x="109"/>
        <item x="345"/>
        <item x="42"/>
        <item x="330"/>
        <item x="125"/>
        <item x="195"/>
        <item x="73"/>
        <item x="548"/>
        <item x="502"/>
        <item x="718"/>
        <item x="417"/>
        <item x="711"/>
        <item x="253"/>
        <item x="556"/>
        <item x="294"/>
        <item x="586"/>
        <item x="376"/>
        <item x="715"/>
        <item x="607"/>
        <item x="122"/>
        <item x="416"/>
        <item x="158"/>
        <item x="491"/>
        <item x="492"/>
        <item x="313"/>
        <item x="463"/>
        <item x="178"/>
        <item x="580"/>
        <item x="286"/>
        <item x="231"/>
        <item x="322"/>
        <item x="478"/>
        <item x="261"/>
        <item x="394"/>
        <item x="135"/>
        <item x="238"/>
        <item x="321"/>
        <item x="311"/>
        <item x="165"/>
        <item x="242"/>
        <item x="418"/>
        <item x="614"/>
        <item x="693"/>
        <item x="646"/>
        <item x="144"/>
        <item x="332"/>
        <item x="707"/>
        <item x="528"/>
        <item x="490"/>
        <item x="717"/>
        <item x="303"/>
        <item x="271"/>
        <item x="308"/>
        <item x="566"/>
        <item x="651"/>
        <item x="98"/>
        <item x="636"/>
        <item x="33"/>
        <item x="145"/>
        <item x="645"/>
        <item x="379"/>
        <item x="551"/>
        <item x="658"/>
        <item x="213"/>
        <item x="289"/>
        <item x="674"/>
        <item x="519"/>
        <item x="132"/>
        <item x="452"/>
        <item x="706"/>
        <item x="673"/>
        <item x="75"/>
        <item x="668"/>
        <item x="325"/>
        <item x="430"/>
        <item x="37"/>
        <item x="268"/>
        <item x="656"/>
        <item x="232"/>
        <item x="617"/>
        <item x="479"/>
        <item x="677"/>
        <item x="420"/>
        <item x="568"/>
        <item x="176"/>
        <item x="520"/>
        <item x="353"/>
        <item x="301"/>
        <item x="363"/>
        <item x="462"/>
        <item x="434"/>
        <item x="498"/>
        <item x="175"/>
        <item x="445"/>
        <item x="230"/>
        <item x="60"/>
        <item x="87"/>
        <item x="512"/>
        <item x="524"/>
        <item x="625"/>
        <item x="388"/>
        <item x="517"/>
        <item x="41"/>
        <item x="163"/>
        <item x="382"/>
        <item x="496"/>
        <item x="713"/>
        <item x="328"/>
        <item x="477"/>
        <item x="331"/>
        <item x="557"/>
        <item x="40"/>
        <item x="157"/>
        <item x="225"/>
        <item x="467"/>
        <item x="290"/>
        <item x="602"/>
        <item x="16"/>
        <item x="585"/>
        <item x="411"/>
        <item x="329"/>
        <item x="514"/>
        <item x="660"/>
        <item x="695"/>
        <item x="511"/>
        <item x="83"/>
        <item x="85"/>
        <item x="367"/>
        <item x="667"/>
        <item x="425"/>
        <item x="297"/>
        <item x="638"/>
        <item x="340"/>
        <item x="419"/>
        <item x="115"/>
        <item x="688"/>
        <item x="534"/>
        <item x="200"/>
        <item x="637"/>
        <item x="228"/>
        <item x="179"/>
        <item x="408"/>
        <item x="20"/>
        <item x="249"/>
        <item x="310"/>
        <item x="15"/>
        <item x="621"/>
        <item x="143"/>
        <item x="587"/>
        <item x="639"/>
        <item x="12"/>
        <item x="359"/>
        <item x="392"/>
        <item x="720"/>
        <item x="121"/>
        <item x="375"/>
        <item x="256"/>
        <item x="456"/>
        <item x="219"/>
        <item x="71"/>
        <item x="435"/>
        <item x="366"/>
        <item x="620"/>
        <item x="618"/>
        <item x="510"/>
        <item x="124"/>
        <item x="696"/>
        <item x="421"/>
        <item x="604"/>
        <item x="243"/>
        <item x="481"/>
        <item x="305"/>
        <item x="190"/>
        <item x="601"/>
        <item x="187"/>
        <item x="220"/>
        <item x="36"/>
        <item x="397"/>
        <item x="650"/>
        <item x="631"/>
        <item x="526"/>
        <item x="632"/>
        <item x="611"/>
        <item x="323"/>
        <item x="169"/>
        <item x="533"/>
        <item x="508"/>
        <item x="142"/>
        <item x="401"/>
        <item x="539"/>
        <item x="536"/>
        <item x="320"/>
        <item x="407"/>
        <item x="82"/>
        <item x="203"/>
        <item x="641"/>
        <item x="365"/>
        <item x="283"/>
        <item x="567"/>
        <item x="326"/>
        <item x="371"/>
        <item x="153"/>
        <item x="236"/>
        <item x="603"/>
        <item x="137"/>
        <item x="51"/>
        <item x="682"/>
        <item x="681"/>
        <item x="475"/>
        <item x="643"/>
        <item x="223"/>
        <item x="154"/>
        <item x="701"/>
        <item x="426"/>
        <item x="444"/>
        <item x="84"/>
        <item x="521"/>
        <item x="57"/>
        <item x="552"/>
        <item x="563"/>
        <item x="208"/>
        <item x="62"/>
        <item x="229"/>
        <item x="266"/>
        <item x="553"/>
        <item x="495"/>
        <item x="446"/>
        <item x="665"/>
        <item x="559"/>
        <item x="349"/>
        <item x="88"/>
        <item x="538"/>
        <item x="402"/>
        <item x="250"/>
        <item x="26"/>
        <item x="368"/>
        <item x="312"/>
        <item x="317"/>
        <item x="293"/>
        <item x="245"/>
        <item x="531"/>
        <item x="605"/>
        <item x="545"/>
        <item x="361"/>
        <item x="537"/>
        <item x="448"/>
        <item x="234"/>
        <item x="381"/>
        <item x="269"/>
        <item x="357"/>
        <item x="198"/>
        <item x="678"/>
        <item x="299"/>
        <item x="710"/>
        <item x="97"/>
        <item x="275"/>
        <item x="69"/>
        <item x="22"/>
        <item x="700"/>
        <item x="662"/>
        <item x="161"/>
        <item x="522"/>
        <item x="188"/>
        <item x="465"/>
        <item x="390"/>
        <item x="454"/>
        <item x="257"/>
        <item x="648"/>
        <item x="34"/>
        <item x="43"/>
        <item x="279"/>
        <item x="306"/>
        <item x="19"/>
        <item x="406"/>
        <item x="288"/>
        <item x="127"/>
        <item x="635"/>
        <item x="356"/>
        <item x="327"/>
        <item x="32"/>
        <item x="360"/>
        <item x="105"/>
        <item x="107"/>
        <item x="131"/>
        <item x="31"/>
        <item x="540"/>
        <item x="447"/>
        <item x="333"/>
        <item x="300"/>
        <item x="460"/>
        <item x="117"/>
        <item x="606"/>
        <item x="307"/>
        <item x="235"/>
        <item x="499"/>
        <item x="281"/>
        <item x="134"/>
        <item x="246"/>
        <item x="68"/>
        <item x="663"/>
        <item x="476"/>
        <item x="66"/>
        <item x="565"/>
        <item x="569"/>
        <item x="485"/>
        <item x="377"/>
        <item x="6"/>
        <item x="54"/>
        <item x="45"/>
        <item x="474"/>
        <item x="28"/>
        <item x="94"/>
        <item x="77"/>
        <item x="608"/>
        <item x="484"/>
        <item x="3"/>
        <item x="212"/>
        <item x="400"/>
        <item x="486"/>
        <item x="518"/>
        <item x="364"/>
        <item x="116"/>
        <item x="199"/>
        <item x="56"/>
        <item x="112"/>
        <item x="5"/>
        <item x="61"/>
        <item x="118"/>
        <item x="683"/>
        <item x="205"/>
        <item x="577"/>
        <item x="574"/>
        <item x="304"/>
        <item x="108"/>
        <item x="217"/>
        <item x="204"/>
        <item x="104"/>
        <item x="488"/>
        <item x="414"/>
        <item x="0"/>
        <item x="146"/>
        <item x="409"/>
        <item x="29"/>
        <item x="362"/>
        <item x="106"/>
        <item x="264"/>
        <item x="129"/>
        <item x="336"/>
        <item x="725"/>
        <item x="149"/>
        <item x="222"/>
        <item x="277"/>
        <item x="703"/>
        <item x="114"/>
        <item x="91"/>
        <item x="18"/>
        <item x="672"/>
        <item x="103"/>
        <item x="652"/>
        <item x="415"/>
        <item x="453"/>
        <item x="412"/>
        <item x="352"/>
        <item x="47"/>
        <item x="493"/>
        <item x="138"/>
        <item x="714"/>
        <item x="497"/>
        <item x="719"/>
        <item x="709"/>
        <item x="258"/>
        <item x="58"/>
        <item x="315"/>
        <item x="591"/>
        <item x="692"/>
        <item x="525"/>
        <item x="633"/>
        <item x="670"/>
        <item x="582"/>
        <item x="506"/>
        <item x="372"/>
        <item x="295"/>
        <item x="629"/>
        <item x="239"/>
        <item x="698"/>
        <item x="441"/>
        <item x="335"/>
        <item x="699"/>
        <item x="689"/>
        <item x="53"/>
        <item x="211"/>
        <item x="130"/>
        <item x="387"/>
        <item x="679"/>
        <item x="593"/>
        <item x="422"/>
        <item x="386"/>
        <item x="471"/>
        <item x="344"/>
        <item x="378"/>
        <item x="432"/>
        <item x="433"/>
        <item x="509"/>
        <item x="564"/>
        <item x="270"/>
        <item x="123"/>
        <item x="17"/>
        <item x="339"/>
        <item x="644"/>
        <item x="583"/>
        <item x="628"/>
        <item x="403"/>
        <item x="612"/>
        <item x="216"/>
        <item x="48"/>
        <item x="438"/>
        <item x="214"/>
        <item x="395"/>
        <item x="597"/>
        <item x="189"/>
        <item x="594"/>
        <item x="263"/>
        <item x="338"/>
        <item x="209"/>
        <item x="167"/>
        <item x="555"/>
        <item x="527"/>
        <item x="653"/>
        <item x="276"/>
        <item x="429"/>
        <item x="272"/>
        <item x="226"/>
        <item x="480"/>
        <item x="464"/>
        <item x="442"/>
        <item x="164"/>
        <item x="197"/>
        <item x="470"/>
        <item x="443"/>
        <item x="661"/>
        <item x="561"/>
        <item x="168"/>
        <item x="150"/>
        <item x="93"/>
        <item x="599"/>
        <item x="241"/>
        <item x="579"/>
        <item x="384"/>
        <item x="162"/>
        <item x="140"/>
        <item x="342"/>
        <item x="396"/>
        <item x="282"/>
        <item x="278"/>
        <item x="383"/>
        <item x="613"/>
        <item x="655"/>
        <item x="196"/>
        <item x="724"/>
        <item x="184"/>
        <item x="343"/>
        <item x="389"/>
        <item x="598"/>
        <item x="550"/>
        <item x="63"/>
        <item x="640"/>
        <item x="287"/>
        <item x="505"/>
        <item x="64"/>
        <item x="423"/>
        <item x="449"/>
        <item x="578"/>
        <item x="113"/>
        <item x="44"/>
        <item x="358"/>
        <item x="10"/>
        <item x="440"/>
        <item x="27"/>
        <item x="627"/>
        <item x="152"/>
        <item x="324"/>
        <item x="507"/>
        <item x="170"/>
        <item x="39"/>
        <item x="457"/>
        <item x="173"/>
        <item x="391"/>
        <item x="516"/>
        <item x="659"/>
        <item x="355"/>
        <item x="691"/>
        <item x="399"/>
        <item x="74"/>
        <item x="166"/>
        <item x="716"/>
        <item x="623"/>
        <item x="562"/>
        <item x="92"/>
        <item x="224"/>
        <item x="206"/>
        <item x="252"/>
        <item x="487"/>
        <item x="296"/>
        <item x="255"/>
        <item x="101"/>
        <item x="350"/>
        <item x="89"/>
        <item x="685"/>
        <item x="705"/>
        <item x="584"/>
        <item x="570"/>
        <item x="23"/>
        <item x="468"/>
        <item x="151"/>
        <item x="712"/>
        <item x="529"/>
        <item x="136"/>
        <item x="385"/>
        <item x="139"/>
        <item x="1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21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20"/>
  </colFields>
  <colItems count="2">
    <i>
      <x v="1"/>
    </i>
    <i t="grand">
      <x/>
    </i>
  </colItems>
  <pageFields count="10">
    <pageField fld="38" hier="-1"/>
    <pageField fld="10" hier="-1"/>
    <pageField fld="11" hier="-1"/>
    <pageField fld="28" hier="-1"/>
    <pageField fld="2" hier="-1"/>
    <pageField fld="29" hier="-1"/>
    <pageField fld="19" hier="-1"/>
    <pageField fld="18" hier="-1"/>
    <pageField fld="27" hier="-1"/>
    <pageField fld="30" item="1" hier="-1"/>
  </pageFields>
  <dataFields count="1">
    <dataField name="Count of policy_number" fld="2" subtotal="count" baseField="21" baseItem="4"/>
  </dataFields>
  <formats count="3">
    <format dxfId="56">
      <pivotArea outline="0" collapsedLevelsAreSubtotals="1" fieldPosition="0"/>
    </format>
    <format dxfId="53">
      <pivotArea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2">
          <reference field="20" count="0" selected="0"/>
          <reference field="2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4C2A0-93F4-4FFB-A43C-F9A0239818D5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P6:AU23" firstHeaderRow="1" firstDataRow="2" firstDataCol="1" rowPageCount="3" colPageCount="1"/>
  <pivotFields count="40">
    <pivotField showAll="0"/>
    <pivotField showAll="0">
      <items count="47">
        <item x="41"/>
        <item x="44"/>
        <item x="42"/>
        <item x="45"/>
        <item x="10"/>
        <item x="39"/>
        <item x="20"/>
        <item x="13"/>
        <item x="28"/>
        <item x="23"/>
        <item x="2"/>
        <item x="22"/>
        <item x="14"/>
        <item x="30"/>
        <item x="8"/>
        <item x="6"/>
        <item x="21"/>
        <item x="31"/>
        <item x="7"/>
        <item x="11"/>
        <item x="5"/>
        <item x="17"/>
        <item x="3"/>
        <item x="1"/>
        <item x="18"/>
        <item x="4"/>
        <item x="19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axis="axisPage" showAll="0">
      <items count="1000">
        <item x="662"/>
        <item x="862"/>
        <item x="5"/>
        <item x="588"/>
        <item x="336"/>
        <item x="441"/>
        <item x="675"/>
        <item x="43"/>
        <item x="990"/>
        <item x="601"/>
        <item x="942"/>
        <item x="635"/>
        <item x="530"/>
        <item x="641"/>
        <item x="563"/>
        <item x="579"/>
        <item x="222"/>
        <item x="23"/>
        <item x="546"/>
        <item x="74"/>
        <item x="509"/>
        <item x="913"/>
        <item x="251"/>
        <item x="919"/>
        <item x="147"/>
        <item x="154"/>
        <item x="393"/>
        <item x="179"/>
        <item x="950"/>
        <item x="285"/>
        <item x="90"/>
        <item x="34"/>
        <item x="872"/>
        <item x="235"/>
        <item x="425"/>
        <item x="299"/>
        <item x="63"/>
        <item x="965"/>
        <item x="186"/>
        <item x="804"/>
        <item x="626"/>
        <item x="456"/>
        <item x="160"/>
        <item x="141"/>
        <item x="167"/>
        <item x="792"/>
        <item x="868"/>
        <item x="745"/>
        <item x="113"/>
        <item x="603"/>
        <item x="19"/>
        <item x="177"/>
        <item x="248"/>
        <item x="941"/>
        <item x="110"/>
        <item x="463"/>
        <item x="820"/>
        <item x="933"/>
        <item x="371"/>
        <item x="691"/>
        <item x="312"/>
        <item x="720"/>
        <item x="171"/>
        <item x="115"/>
        <item x="911"/>
        <item x="121"/>
        <item x="634"/>
        <item x="494"/>
        <item x="342"/>
        <item x="710"/>
        <item x="909"/>
        <item x="331"/>
        <item x="317"/>
        <item x="107"/>
        <item x="892"/>
        <item x="525"/>
        <item x="143"/>
        <item x="416"/>
        <item x="75"/>
        <item x="484"/>
        <item x="866"/>
        <item x="256"/>
        <item x="514"/>
        <item x="460"/>
        <item x="600"/>
        <item x="198"/>
        <item x="433"/>
        <item x="217"/>
        <item x="73"/>
        <item x="903"/>
        <item x="859"/>
        <item x="739"/>
        <item x="772"/>
        <item x="883"/>
        <item x="736"/>
        <item x="438"/>
        <item x="668"/>
        <item x="985"/>
        <item x="20"/>
        <item x="245"/>
        <item x="768"/>
        <item x="995"/>
        <item x="246"/>
        <item x="522"/>
        <item x="617"/>
        <item x="777"/>
        <item x="948"/>
        <item x="100"/>
        <item x="35"/>
        <item x="358"/>
        <item x="492"/>
        <item x="149"/>
        <item x="386"/>
        <item x="676"/>
        <item x="690"/>
        <item x="39"/>
        <item x="374"/>
        <item x="243"/>
        <item x="592"/>
        <item x="829"/>
        <item x="194"/>
        <item x="252"/>
        <item x="11"/>
        <item x="991"/>
        <item x="512"/>
        <item x="367"/>
        <item x="703"/>
        <item x="148"/>
        <item x="380"/>
        <item x="473"/>
        <item x="210"/>
        <item x="871"/>
        <item x="905"/>
        <item x="722"/>
        <item x="971"/>
        <item x="658"/>
        <item x="323"/>
        <item x="185"/>
        <item x="262"/>
        <item x="951"/>
        <item x="3"/>
        <item x="591"/>
        <item x="746"/>
        <item x="502"/>
        <item x="894"/>
        <item x="945"/>
        <item x="513"/>
        <item x="734"/>
        <item x="96"/>
        <item x="305"/>
        <item x="164"/>
        <item x="686"/>
        <item x="470"/>
        <item x="228"/>
        <item x="516"/>
        <item x="517"/>
        <item x="523"/>
        <item x="98"/>
        <item x="199"/>
        <item x="766"/>
        <item x="459"/>
        <item x="453"/>
        <item x="176"/>
        <item x="751"/>
        <item x="565"/>
        <item x="806"/>
        <item x="407"/>
        <item x="437"/>
        <item x="120"/>
        <item x="816"/>
        <item x="881"/>
        <item x="767"/>
        <item x="70"/>
        <item x="236"/>
        <item x="309"/>
        <item x="656"/>
        <item x="654"/>
        <item x="449"/>
        <item x="842"/>
        <item x="360"/>
        <item x="507"/>
        <item x="773"/>
        <item x="774"/>
        <item x="508"/>
        <item x="224"/>
        <item x="426"/>
        <item x="607"/>
        <item x="794"/>
        <item x="895"/>
        <item x="297"/>
        <item x="17"/>
        <item x="596"/>
        <item x="267"/>
        <item x="311"/>
        <item x="78"/>
        <item x="237"/>
        <item x="943"/>
        <item x="53"/>
        <item x="531"/>
        <item x="708"/>
        <item x="106"/>
        <item x="259"/>
        <item x="495"/>
        <item x="605"/>
        <item x="685"/>
        <item x="22"/>
        <item x="688"/>
        <item x="427"/>
        <item x="170"/>
        <item x="585"/>
        <item x="735"/>
        <item x="973"/>
        <item x="898"/>
        <item x="932"/>
        <item x="189"/>
        <item x="418"/>
        <item x="301"/>
        <item x="655"/>
        <item x="156"/>
        <item x="412"/>
        <item x="60"/>
        <item x="896"/>
        <item x="56"/>
        <item x="93"/>
        <item x="648"/>
        <item x="681"/>
        <item x="589"/>
        <item x="442"/>
        <item x="707"/>
        <item x="562"/>
        <item x="117"/>
        <item x="501"/>
        <item x="631"/>
        <item x="808"/>
        <item x="836"/>
        <item x="620"/>
        <item x="247"/>
        <item x="758"/>
        <item x="447"/>
        <item x="552"/>
        <item x="891"/>
        <item x="279"/>
        <item x="116"/>
        <item x="799"/>
        <item x="348"/>
        <item x="852"/>
        <item x="64"/>
        <item x="287"/>
        <item x="721"/>
        <item x="165"/>
        <item x="249"/>
        <item x="31"/>
        <item x="560"/>
        <item x="340"/>
        <item x="778"/>
        <item x="355"/>
        <item x="901"/>
        <item x="1"/>
        <item x="61"/>
        <item x="457"/>
        <item x="856"/>
        <item x="519"/>
        <item x="66"/>
        <item x="162"/>
        <item x="378"/>
        <item x="68"/>
        <item x="400"/>
        <item x="543"/>
        <item x="315"/>
        <item x="823"/>
        <item x="142"/>
        <item x="953"/>
        <item x="361"/>
        <item x="421"/>
        <item x="65"/>
        <item x="278"/>
        <item x="830"/>
        <item x="388"/>
        <item x="697"/>
        <item x="499"/>
        <item x="351"/>
        <item x="571"/>
        <item x="770"/>
        <item x="803"/>
        <item x="853"/>
        <item x="221"/>
        <item x="4"/>
        <item x="274"/>
        <item x="119"/>
        <item x="368"/>
        <item x="725"/>
        <item x="848"/>
        <item x="715"/>
        <item x="307"/>
        <item x="538"/>
        <item x="450"/>
        <item x="467"/>
        <item x="482"/>
        <item x="444"/>
        <item x="732"/>
        <item x="874"/>
        <item x="916"/>
        <item x="576"/>
        <item x="802"/>
        <item x="536"/>
        <item x="349"/>
        <item x="533"/>
        <item x="293"/>
        <item x="554"/>
        <item x="674"/>
        <item x="364"/>
        <item x="899"/>
        <item x="372"/>
        <item x="101"/>
        <item x="771"/>
        <item x="963"/>
        <item x="241"/>
        <item x="322"/>
        <item x="182"/>
        <item x="51"/>
        <item x="111"/>
        <item x="264"/>
        <item x="146"/>
        <item x="567"/>
        <item x="404"/>
        <item x="469"/>
        <item x="180"/>
        <item x="924"/>
        <item x="743"/>
        <item x="347"/>
        <item x="316"/>
        <item x="566"/>
        <item x="229"/>
        <item x="333"/>
        <item x="608"/>
        <item x="637"/>
        <item x="394"/>
        <item x="440"/>
        <item x="376"/>
        <item x="458"/>
        <item x="6"/>
        <item x="328"/>
        <item x="125"/>
        <item x="327"/>
        <item x="152"/>
        <item x="296"/>
        <item x="54"/>
        <item x="748"/>
        <item x="917"/>
        <item x="542"/>
        <item x="343"/>
        <item x="424"/>
        <item x="276"/>
        <item x="580"/>
        <item x="172"/>
        <item x="302"/>
        <item x="308"/>
        <item x="209"/>
        <item x="126"/>
        <item x="7"/>
        <item x="44"/>
        <item x="493"/>
        <item x="461"/>
        <item x="683"/>
        <item x="633"/>
        <item x="21"/>
        <item x="435"/>
        <item x="613"/>
        <item x="955"/>
        <item x="136"/>
        <item x="356"/>
        <item x="207"/>
        <item x="665"/>
        <item x="133"/>
        <item x="960"/>
        <item x="188"/>
        <item x="574"/>
        <item x="904"/>
        <item x="431"/>
        <item x="414"/>
        <item x="642"/>
        <item x="783"/>
        <item x="709"/>
        <item x="220"/>
        <item x="184"/>
        <item x="682"/>
        <item x="290"/>
        <item x="753"/>
        <item x="497"/>
        <item x="511"/>
        <item x="341"/>
        <item x="716"/>
        <item x="288"/>
        <item x="41"/>
        <item x="926"/>
        <item x="159"/>
        <item x="889"/>
        <item x="140"/>
        <item x="918"/>
        <item x="373"/>
        <item x="705"/>
        <item x="462"/>
        <item x="784"/>
        <item x="643"/>
        <item x="397"/>
        <item x="584"/>
        <item x="714"/>
        <item x="387"/>
        <item x="870"/>
        <item x="692"/>
        <item x="128"/>
        <item x="629"/>
        <item x="956"/>
        <item x="624"/>
        <item x="260"/>
        <item x="819"/>
        <item x="232"/>
        <item x="173"/>
        <item x="653"/>
        <item x="798"/>
        <item x="755"/>
        <item x="661"/>
        <item x="79"/>
        <item x="471"/>
        <item x="570"/>
        <item x="58"/>
        <item x="598"/>
        <item x="37"/>
        <item x="8"/>
        <item x="811"/>
        <item x="69"/>
        <item x="330"/>
        <item x="810"/>
        <item x="652"/>
        <item x="964"/>
        <item x="776"/>
        <item x="860"/>
        <item x="981"/>
        <item x="921"/>
        <item x="902"/>
        <item x="166"/>
        <item x="505"/>
        <item x="439"/>
        <item x="234"/>
        <item x="500"/>
        <item x="689"/>
        <item x="430"/>
        <item x="593"/>
        <item x="83"/>
        <item x="490"/>
        <item x="550"/>
        <item x="84"/>
        <item x="383"/>
        <item x="67"/>
        <item x="822"/>
        <item x="419"/>
        <item x="575"/>
        <item x="527"/>
        <item x="545"/>
        <item x="200"/>
        <item x="448"/>
        <item x="740"/>
        <item x="597"/>
        <item x="569"/>
        <item x="214"/>
        <item x="231"/>
        <item x="277"/>
        <item x="582"/>
        <item x="244"/>
        <item x="181"/>
        <item x="369"/>
        <item x="144"/>
        <item x="313"/>
        <item x="977"/>
        <item x="298"/>
        <item x="839"/>
        <item x="761"/>
        <item x="127"/>
        <item x="62"/>
        <item x="712"/>
        <item x="0"/>
        <item x="815"/>
        <item x="625"/>
        <item x="854"/>
        <item x="273"/>
        <item x="922"/>
        <item x="187"/>
        <item x="55"/>
        <item x="420"/>
        <item x="980"/>
        <item x="289"/>
        <item x="649"/>
        <item x="76"/>
        <item x="834"/>
        <item x="590"/>
        <item x="45"/>
        <item x="218"/>
        <item x="946"/>
        <item x="118"/>
        <item x="250"/>
        <item x="997"/>
        <item x="359"/>
        <item x="529"/>
        <item x="936"/>
        <item x="698"/>
        <item x="50"/>
        <item x="395"/>
        <item x="515"/>
        <item x="553"/>
        <item x="581"/>
        <item x="10"/>
        <item x="962"/>
        <item x="845"/>
        <item x="205"/>
        <item x="239"/>
        <item x="988"/>
        <item x="551"/>
        <item x="556"/>
        <item x="398"/>
        <item x="451"/>
        <item x="782"/>
        <item x="346"/>
        <item x="504"/>
        <item x="998"/>
        <item x="978"/>
        <item x="564"/>
        <item x="885"/>
        <item x="949"/>
        <item x="16"/>
        <item x="357"/>
        <item x="337"/>
        <item x="957"/>
        <item x="150"/>
        <item x="211"/>
        <item x="362"/>
        <item x="824"/>
        <item x="882"/>
        <item x="879"/>
        <item x="959"/>
        <item x="466"/>
        <item x="818"/>
        <item x="153"/>
        <item x="321"/>
        <item x="269"/>
        <item x="644"/>
        <item x="900"/>
        <item x="48"/>
        <item x="518"/>
        <item x="310"/>
        <item x="339"/>
        <item x="32"/>
        <item x="489"/>
        <item x="275"/>
        <item x="202"/>
        <item x="701"/>
        <item x="704"/>
        <item x="157"/>
        <item x="987"/>
        <item x="215"/>
        <item x="664"/>
        <item x="366"/>
        <item x="257"/>
        <item x="787"/>
        <item x="615"/>
        <item x="406"/>
        <item x="28"/>
        <item x="832"/>
        <item x="206"/>
        <item x="938"/>
        <item x="59"/>
        <item x="875"/>
        <item x="541"/>
        <item x="498"/>
        <item x="240"/>
        <item x="954"/>
        <item x="195"/>
        <item x="843"/>
        <item x="572"/>
        <item x="213"/>
        <item x="744"/>
        <item x="639"/>
        <item x="789"/>
        <item x="645"/>
        <item x="930"/>
        <item x="713"/>
        <item x="750"/>
        <item x="912"/>
        <item x="26"/>
        <item x="344"/>
        <item x="86"/>
        <item x="303"/>
        <item x="729"/>
        <item x="40"/>
        <item x="131"/>
        <item x="555"/>
        <item x="524"/>
        <item x="413"/>
        <item x="837"/>
        <item x="130"/>
        <item x="338"/>
        <item x="728"/>
        <item x="334"/>
        <item x="57"/>
        <item x="379"/>
        <item x="706"/>
        <item x="13"/>
        <item x="549"/>
        <item x="77"/>
        <item x="465"/>
        <item x="226"/>
        <item x="242"/>
        <item x="197"/>
        <item x="821"/>
        <item x="410"/>
        <item x="409"/>
        <item x="105"/>
        <item x="583"/>
        <item x="884"/>
        <item x="817"/>
        <item x="9"/>
        <item x="640"/>
        <item x="586"/>
        <item x="702"/>
        <item x="719"/>
        <item x="695"/>
        <item x="578"/>
        <item x="935"/>
        <item x="14"/>
        <item x="80"/>
        <item x="958"/>
        <item x="851"/>
        <item x="114"/>
        <item x="174"/>
        <item x="760"/>
        <item x="132"/>
        <item x="961"/>
        <item x="204"/>
        <item x="178"/>
        <item x="423"/>
        <item x="201"/>
        <item x="693"/>
        <item x="611"/>
        <item x="295"/>
        <item x="71"/>
        <item x="731"/>
        <item x="650"/>
        <item x="737"/>
        <item x="475"/>
        <item x="989"/>
        <item x="558"/>
        <item x="867"/>
        <item x="30"/>
        <item x="230"/>
        <item x="886"/>
        <item x="711"/>
        <item x="984"/>
        <item x="929"/>
        <item x="844"/>
        <item x="657"/>
        <item x="992"/>
        <item x="876"/>
        <item x="161"/>
        <item x="87"/>
        <item x="993"/>
        <item x="405"/>
        <item x="139"/>
        <item x="646"/>
        <item x="765"/>
        <item x="833"/>
        <item x="928"/>
        <item x="89"/>
        <item x="429"/>
        <item x="2"/>
        <item x="670"/>
        <item x="539"/>
        <item x="291"/>
        <item x="402"/>
        <item x="726"/>
        <item x="49"/>
        <item x="81"/>
        <item x="865"/>
        <item x="679"/>
        <item x="890"/>
        <item x="826"/>
        <item x="350"/>
        <item x="595"/>
        <item x="727"/>
        <item x="619"/>
        <item x="477"/>
        <item x="602"/>
        <item x="300"/>
        <item x="759"/>
        <item x="861"/>
        <item x="123"/>
        <item x="129"/>
        <item x="797"/>
        <item x="680"/>
        <item x="939"/>
        <item x="452"/>
        <item x="940"/>
        <item x="788"/>
        <item x="521"/>
        <item x="910"/>
        <item x="915"/>
        <item x="272"/>
        <item x="795"/>
        <item x="781"/>
        <item x="944"/>
        <item x="840"/>
        <item x="526"/>
        <item x="52"/>
        <item x="627"/>
        <item x="669"/>
        <item x="92"/>
        <item x="970"/>
        <item x="487"/>
        <item x="233"/>
        <item x="594"/>
        <item x="377"/>
        <item x="24"/>
        <item x="855"/>
        <item x="864"/>
        <item x="254"/>
        <item x="208"/>
        <item x="97"/>
        <item x="318"/>
        <item x="225"/>
        <item x="496"/>
        <item x="540"/>
        <item x="212"/>
        <item x="485"/>
        <item x="908"/>
        <item x="375"/>
        <item x="937"/>
        <item x="677"/>
        <item x="390"/>
        <item x="261"/>
        <item x="925"/>
        <item x="888"/>
        <item x="800"/>
        <item x="785"/>
        <item x="478"/>
        <item x="138"/>
        <item x="294"/>
        <item x="559"/>
        <item x="392"/>
        <item x="647"/>
        <item x="671"/>
        <item x="464"/>
        <item x="102"/>
        <item x="769"/>
        <item x="72"/>
        <item x="873"/>
        <item x="503"/>
        <item x="967"/>
        <item x="747"/>
        <item x="304"/>
        <item x="841"/>
        <item x="678"/>
        <item x="982"/>
        <item x="109"/>
        <item x="972"/>
        <item x="846"/>
        <item x="280"/>
        <item x="622"/>
        <item x="155"/>
        <item x="573"/>
        <item x="764"/>
        <item x="752"/>
        <item x="286"/>
        <item x="793"/>
        <item x="548"/>
        <item x="488"/>
        <item x="700"/>
        <item x="42"/>
        <item x="952"/>
        <item x="474"/>
        <item x="863"/>
        <item x="696"/>
        <item x="577"/>
        <item x="667"/>
        <item x="491"/>
        <item x="145"/>
        <item x="472"/>
        <item x="756"/>
        <item x="599"/>
        <item x="99"/>
        <item x="684"/>
        <item x="835"/>
        <item x="353"/>
        <item x="85"/>
        <item x="805"/>
        <item x="281"/>
        <item x="763"/>
        <item x="326"/>
        <item x="660"/>
        <item x="345"/>
        <item x="796"/>
        <item x="724"/>
        <item x="733"/>
        <item x="292"/>
        <item x="486"/>
        <item x="428"/>
        <item x="636"/>
        <item x="434"/>
        <item x="544"/>
        <item x="255"/>
        <item x="445"/>
        <item x="880"/>
        <item x="266"/>
        <item x="329"/>
        <item x="807"/>
        <item x="122"/>
        <item x="638"/>
        <item x="191"/>
        <item x="284"/>
        <item x="422"/>
        <item x="606"/>
        <item x="612"/>
        <item x="618"/>
        <item x="717"/>
        <item x="609"/>
        <item x="363"/>
        <item x="814"/>
        <item x="483"/>
        <item x="986"/>
        <item x="227"/>
        <item x="934"/>
        <item x="532"/>
        <item x="268"/>
        <item x="12"/>
        <item x="258"/>
        <item x="927"/>
        <item x="968"/>
        <item x="907"/>
        <item x="969"/>
        <item x="974"/>
        <item x="432"/>
        <item x="537"/>
        <item x="108"/>
        <item x="158"/>
        <item x="443"/>
        <item x="623"/>
        <item x="382"/>
        <item x="314"/>
        <item x="25"/>
        <item x="831"/>
        <item x="791"/>
        <item x="779"/>
        <item x="332"/>
        <item x="827"/>
        <item x="47"/>
        <item x="906"/>
        <item x="190"/>
        <item x="809"/>
        <item x="535"/>
        <item x="223"/>
        <item x="104"/>
        <item x="270"/>
        <item x="699"/>
        <item x="385"/>
        <item x="391"/>
        <item x="534"/>
        <item x="319"/>
        <item x="192"/>
        <item x="354"/>
        <item x="878"/>
        <item x="738"/>
        <item x="687"/>
        <item x="812"/>
        <item x="947"/>
        <item x="975"/>
        <item x="265"/>
        <item x="389"/>
        <item x="632"/>
        <item x="325"/>
        <item x="742"/>
        <item x="15"/>
        <item x="614"/>
        <item x="203"/>
        <item x="857"/>
        <item x="238"/>
        <item x="95"/>
        <item x="403"/>
        <item x="436"/>
        <item x="384"/>
        <item x="151"/>
        <item x="825"/>
        <item x="813"/>
        <item x="29"/>
        <item x="979"/>
        <item x="801"/>
        <item x="757"/>
        <item x="455"/>
        <item x="587"/>
        <item x="628"/>
        <item x="651"/>
        <item x="923"/>
        <item x="27"/>
        <item x="175"/>
        <item x="480"/>
        <item x="996"/>
        <item x="91"/>
        <item x="193"/>
        <item x="561"/>
        <item x="786"/>
        <item x="528"/>
        <item x="18"/>
        <item x="775"/>
        <item x="183"/>
        <item x="169"/>
        <item x="718"/>
        <item x="520"/>
        <item x="506"/>
        <item x="411"/>
        <item x="610"/>
        <item x="893"/>
        <item x="976"/>
        <item x="468"/>
        <item x="306"/>
        <item x="966"/>
        <item x="396"/>
        <item x="135"/>
        <item x="36"/>
        <item x="137"/>
        <item x="335"/>
        <item x="253"/>
        <item x="417"/>
        <item x="399"/>
        <item x="754"/>
        <item x="46"/>
        <item x="103"/>
        <item x="219"/>
        <item x="663"/>
        <item x="994"/>
        <item x="666"/>
        <item x="263"/>
        <item x="694"/>
        <item x="401"/>
        <item x="621"/>
        <item x="673"/>
        <item x="730"/>
        <item x="897"/>
        <item x="547"/>
        <item x="320"/>
        <item x="828"/>
        <item x="630"/>
        <item x="847"/>
        <item x="370"/>
        <item x="454"/>
        <item x="858"/>
        <item x="352"/>
        <item x="88"/>
        <item x="82"/>
        <item x="723"/>
        <item x="168"/>
        <item x="780"/>
        <item x="510"/>
        <item x="887"/>
        <item x="134"/>
        <item x="838"/>
        <item x="124"/>
        <item x="931"/>
        <item x="283"/>
        <item x="216"/>
        <item x="415"/>
        <item x="476"/>
        <item x="749"/>
        <item x="983"/>
        <item x="479"/>
        <item x="568"/>
        <item x="196"/>
        <item x="365"/>
        <item x="790"/>
        <item x="616"/>
        <item x="869"/>
        <item x="112"/>
        <item x="850"/>
        <item x="38"/>
        <item x="762"/>
        <item x="324"/>
        <item x="163"/>
        <item x="877"/>
        <item x="408"/>
        <item x="920"/>
        <item x="282"/>
        <item x="33"/>
        <item x="741"/>
        <item x="849"/>
        <item x="659"/>
        <item x="914"/>
        <item x="94"/>
        <item x="446"/>
        <item x="271"/>
        <item x="481"/>
        <item x="604"/>
        <item x="557"/>
        <item x="672"/>
        <item x="381"/>
        <item t="default"/>
      </items>
    </pivotField>
    <pivotField numFmtId="164" showAll="0"/>
    <pivotField showAll="0"/>
    <pivotField showAll="0"/>
    <pivotField showAll="0"/>
    <pivotField showAll="0">
      <items count="989">
        <item x="245"/>
        <item x="758"/>
        <item x="41"/>
        <item x="677"/>
        <item x="376"/>
        <item x="624"/>
        <item x="264"/>
        <item x="728"/>
        <item x="654"/>
        <item x="597"/>
        <item x="275"/>
        <item x="17"/>
        <item x="606"/>
        <item x="457"/>
        <item x="835"/>
        <item x="980"/>
        <item x="371"/>
        <item x="933"/>
        <item x="308"/>
        <item x="987"/>
        <item x="206"/>
        <item x="203"/>
        <item x="82"/>
        <item x="497"/>
        <item x="241"/>
        <item x="288"/>
        <item x="826"/>
        <item x="474"/>
        <item x="437"/>
        <item x="58"/>
        <item x="861"/>
        <item x="519"/>
        <item x="383"/>
        <item x="689"/>
        <item x="294"/>
        <item x="921"/>
        <item x="433"/>
        <item x="698"/>
        <item x="128"/>
        <item x="797"/>
        <item x="614"/>
        <item x="65"/>
        <item x="622"/>
        <item x="720"/>
        <item x="702"/>
        <item x="971"/>
        <item x="428"/>
        <item x="146"/>
        <item x="25"/>
        <item x="496"/>
        <item x="792"/>
        <item x="957"/>
        <item x="488"/>
        <item x="252"/>
        <item x="491"/>
        <item x="57"/>
        <item x="958"/>
        <item x="84"/>
        <item x="21"/>
        <item x="501"/>
        <item x="747"/>
        <item x="23"/>
        <item x="175"/>
        <item x="320"/>
        <item x="334"/>
        <item x="655"/>
        <item x="70"/>
        <item x="172"/>
        <item x="565"/>
        <item x="315"/>
        <item x="346"/>
        <item x="887"/>
        <item x="896"/>
        <item x="648"/>
        <item x="459"/>
        <item x="718"/>
        <item x="302"/>
        <item x="890"/>
        <item x="505"/>
        <item x="754"/>
        <item x="185"/>
        <item x="904"/>
        <item x="358"/>
        <item x="905"/>
        <item x="213"/>
        <item x="369"/>
        <item x="344"/>
        <item x="234"/>
        <item x="714"/>
        <item x="764"/>
        <item x="13"/>
        <item x="438"/>
        <item x="974"/>
        <item x="557"/>
        <item x="297"/>
        <item x="674"/>
        <item x="424"/>
        <item x="912"/>
        <item x="478"/>
        <item x="962"/>
        <item x="28"/>
        <item x="851"/>
        <item x="335"/>
        <item x="930"/>
        <item x="662"/>
        <item x="116"/>
        <item x="696"/>
        <item x="129"/>
        <item x="239"/>
        <item x="351"/>
        <item x="645"/>
        <item x="138"/>
        <item x="97"/>
        <item x="396"/>
        <item x="293"/>
        <item x="406"/>
        <item x="574"/>
        <item x="373"/>
        <item x="372"/>
        <item x="270"/>
        <item x="831"/>
        <item x="735"/>
        <item x="77"/>
        <item x="425"/>
        <item x="541"/>
        <item x="219"/>
        <item x="903"/>
        <item x="583"/>
        <item x="862"/>
        <item x="939"/>
        <item x="612"/>
        <item x="411"/>
        <item x="723"/>
        <item x="186"/>
        <item x="615"/>
        <item x="668"/>
        <item x="339"/>
        <item x="34"/>
        <item x="966"/>
        <item x="584"/>
        <item x="800"/>
        <item x="716"/>
        <item x="142"/>
        <item x="611"/>
        <item x="60"/>
        <item x="361"/>
        <item x="756"/>
        <item x="322"/>
        <item x="593"/>
        <item x="703"/>
        <item x="813"/>
        <item x="544"/>
        <item x="147"/>
        <item x="578"/>
        <item x="221"/>
        <item x="946"/>
        <item x="283"/>
        <item x="560"/>
        <item x="276"/>
        <item x="936"/>
        <item x="950"/>
        <item x="649"/>
        <item x="444"/>
        <item x="599"/>
        <item x="535"/>
        <item x="546"/>
        <item x="200"/>
        <item x="475"/>
        <item x="929"/>
        <item x="538"/>
        <item x="779"/>
        <item x="298"/>
        <item x="214"/>
        <item x="568"/>
        <item x="418"/>
        <item x="571"/>
        <item x="855"/>
        <item x="853"/>
        <item x="246"/>
        <item x="527"/>
        <item x="348"/>
        <item x="858"/>
        <item x="261"/>
        <item x="886"/>
        <item x="774"/>
        <item x="74"/>
        <item x="607"/>
        <item x="121"/>
        <item x="924"/>
        <item x="740"/>
        <item x="201"/>
        <item x="934"/>
        <item x="646"/>
        <item x="176"/>
        <item x="148"/>
        <item x="476"/>
        <item x="617"/>
        <item x="208"/>
        <item x="362"/>
        <item x="250"/>
        <item x="872"/>
        <item x="951"/>
        <item x="224"/>
        <item x="151"/>
        <item x="120"/>
        <item x="182"/>
        <item x="927"/>
        <item x="915"/>
        <item x="69"/>
        <item x="812"/>
        <item x="439"/>
        <item x="183"/>
        <item x="233"/>
        <item x="111"/>
        <item x="961"/>
        <item x="678"/>
        <item x="66"/>
        <item x="332"/>
        <item x="605"/>
        <item x="661"/>
        <item x="504"/>
        <item x="229"/>
        <item x="49"/>
        <item x="107"/>
        <item x="618"/>
        <item x="949"/>
        <item x="93"/>
        <item x="431"/>
        <item x="395"/>
        <item x="462"/>
        <item x="817"/>
        <item x="168"/>
        <item x="265"/>
        <item x="42"/>
        <item x="610"/>
        <item x="900"/>
        <item x="823"/>
        <item x="54"/>
        <item x="392"/>
        <item x="269"/>
        <item x="874"/>
        <item x="227"/>
        <item x="337"/>
        <item x="188"/>
        <item x="305"/>
        <item x="30"/>
        <item x="387"/>
        <item x="704"/>
        <item x="291"/>
        <item x="379"/>
        <item x="536"/>
        <item x="965"/>
        <item x="849"/>
        <item x="461"/>
        <item x="356"/>
        <item x="296"/>
        <item x="178"/>
        <item x="637"/>
        <item x="531"/>
        <item x="409"/>
        <item x="970"/>
        <item x="899"/>
        <item x="364"/>
        <item x="114"/>
        <item x="27"/>
        <item x="68"/>
        <item x="592"/>
        <item x="829"/>
        <item x="947"/>
        <item x="906"/>
        <item x="561"/>
        <item x="113"/>
        <item x="799"/>
        <item x="432"/>
        <item x="931"/>
        <item x="801"/>
        <item x="726"/>
        <item x="693"/>
        <item x="435"/>
        <item x="922"/>
        <item x="390"/>
        <item x="408"/>
        <item x="465"/>
        <item x="389"/>
        <item x="558"/>
        <item x="730"/>
        <item x="616"/>
        <item x="712"/>
        <item x="719"/>
        <item x="46"/>
        <item x="336"/>
        <item x="112"/>
        <item x="768"/>
        <item x="744"/>
        <item x="736"/>
        <item x="167"/>
        <item x="630"/>
        <item x="104"/>
        <item x="881"/>
        <item x="343"/>
        <item x="761"/>
        <item x="724"/>
        <item x="15"/>
        <item x="867"/>
        <item x="498"/>
        <item x="625"/>
        <item x="773"/>
        <item x="258"/>
        <item x="416"/>
        <item x="284"/>
        <item x="556"/>
        <item x="89"/>
        <item x="517"/>
        <item x="7"/>
        <item x="228"/>
        <item x="126"/>
        <item x="787"/>
        <item x="403"/>
        <item x="894"/>
        <item x="600"/>
        <item x="181"/>
        <item x="103"/>
        <item x="386"/>
        <item x="879"/>
        <item x="158"/>
        <item x="809"/>
        <item x="869"/>
        <item x="502"/>
        <item x="897"/>
        <item x="748"/>
        <item x="641"/>
        <item x="96"/>
        <item x="603"/>
        <item x="468"/>
        <item x="157"/>
        <item x="197"/>
        <item x="253"/>
        <item x="579"/>
        <item x="746"/>
        <item x="300"/>
        <item x="36"/>
        <item x="814"/>
        <item x="743"/>
        <item x="676"/>
        <item x="149"/>
        <item x="635"/>
        <item x="378"/>
        <item x="407"/>
        <item x="577"/>
        <item x="512"/>
        <item x="160"/>
        <item x="843"/>
        <item x="117"/>
        <item x="59"/>
        <item x="511"/>
        <item x="918"/>
        <item x="530"/>
        <item x="450"/>
        <item x="652"/>
        <item x="722"/>
        <item x="806"/>
        <item x="499"/>
        <item x="781"/>
        <item x="902"/>
        <item x="452"/>
        <item x="436"/>
        <item x="914"/>
        <item x="842"/>
        <item x="442"/>
        <item x="426"/>
        <item x="960"/>
        <item x="804"/>
        <item x="901"/>
        <item x="365"/>
        <item x="515"/>
        <item x="427"/>
        <item x="20"/>
        <item x="500"/>
        <item x="880"/>
        <item x="969"/>
        <item x="839"/>
        <item x="650"/>
        <item x="405"/>
        <item x="191"/>
        <item x="506"/>
        <item x="393"/>
        <item x="715"/>
        <item x="576"/>
        <item x="852"/>
        <item x="508"/>
        <item x="285"/>
        <item x="725"/>
        <item x="360"/>
        <item x="1"/>
        <item x="155"/>
        <item x="136"/>
        <item x="220"/>
        <item x="911"/>
        <item x="16"/>
        <item x="964"/>
        <item x="952"/>
        <item x="51"/>
        <item x="596"/>
        <item x="609"/>
        <item x="352"/>
        <item x="156"/>
        <item x="683"/>
        <item x="547"/>
        <item x="932"/>
        <item x="105"/>
        <item x="380"/>
        <item x="385"/>
        <item x="798"/>
        <item x="222"/>
        <item x="846"/>
        <item x="353"/>
        <item x="733"/>
        <item x="12"/>
        <item x="190"/>
        <item x="681"/>
        <item x="350"/>
        <item x="523"/>
        <item x="210"/>
        <item x="464"/>
        <item x="694"/>
        <item x="230"/>
        <item x="273"/>
        <item x="660"/>
        <item x="139"/>
        <item x="673"/>
        <item x="542"/>
        <item x="539"/>
        <item x="137"/>
        <item x="690"/>
        <item x="35"/>
        <item x="110"/>
        <item x="666"/>
        <item x="171"/>
        <item x="479"/>
        <item x="87"/>
        <item x="170"/>
        <item x="628"/>
        <item x="619"/>
        <item x="782"/>
        <item x="555"/>
        <item x="559"/>
        <item x="816"/>
        <item x="513"/>
        <item x="763"/>
        <item x="586"/>
        <item x="471"/>
        <item x="80"/>
        <item x="695"/>
        <item x="202"/>
        <item x="981"/>
        <item x="825"/>
        <item x="778"/>
        <item x="494"/>
        <item x="140"/>
        <item x="249"/>
        <item x="340"/>
        <item x="644"/>
        <item x="820"/>
        <item x="64"/>
        <item x="303"/>
        <item x="44"/>
        <item x="381"/>
        <item x="166"/>
        <item x="394"/>
        <item x="223"/>
        <item x="838"/>
        <item x="347"/>
        <item x="398"/>
        <item x="47"/>
        <item x="943"/>
        <item x="821"/>
        <item x="306"/>
        <item x="977"/>
        <item x="286"/>
        <item x="938"/>
        <item x="524"/>
        <item x="268"/>
        <item x="321"/>
        <item x="581"/>
        <item x="10"/>
        <item x="878"/>
        <item x="174"/>
        <item x="620"/>
        <item x="859"/>
        <item x="543"/>
        <item x="440"/>
        <item x="550"/>
        <item x="412"/>
        <item x="834"/>
        <item x="833"/>
        <item x="391"/>
        <item x="329"/>
        <item x="374"/>
        <item x="567"/>
        <item x="749"/>
        <item x="37"/>
        <item x="935"/>
        <item x="247"/>
        <item x="766"/>
        <item x="709"/>
        <item x="827"/>
        <item x="729"/>
        <item x="79"/>
        <item x="551"/>
        <item x="22"/>
        <item x="401"/>
        <item x="115"/>
        <item x="520"/>
        <item x="920"/>
        <item x="876"/>
        <item x="824"/>
        <item x="907"/>
        <item x="45"/>
        <item x="752"/>
        <item x="710"/>
        <item x="152"/>
        <item x="533"/>
        <item x="290"/>
        <item x="430"/>
        <item x="53"/>
        <item x="595"/>
        <item x="864"/>
        <item x="132"/>
        <item x="240"/>
        <item x="67"/>
        <item x="212"/>
        <item x="979"/>
        <item x="480"/>
        <item x="199"/>
        <item x="254"/>
        <item x="134"/>
        <item x="898"/>
        <item x="518"/>
        <item x="421"/>
        <item x="664"/>
        <item x="349"/>
        <item x="569"/>
        <item x="870"/>
        <item x="312"/>
        <item x="522"/>
        <item x="26"/>
        <item x="534"/>
        <item x="701"/>
        <item x="882"/>
        <item x="467"/>
        <item x="658"/>
        <item x="634"/>
        <item x="244"/>
        <item x="594"/>
        <item x="109"/>
        <item x="783"/>
        <item x="721"/>
        <item x="14"/>
        <item x="204"/>
        <item x="765"/>
        <item x="122"/>
        <item x="485"/>
        <item x="832"/>
        <item x="260"/>
        <item x="510"/>
        <item x="871"/>
        <item x="780"/>
        <item x="417"/>
        <item x="75"/>
        <item x="629"/>
        <item x="272"/>
        <item x="788"/>
        <item x="282"/>
        <item x="983"/>
        <item x="863"/>
        <item x="653"/>
        <item x="307"/>
        <item x="328"/>
        <item x="363"/>
        <item x="448"/>
        <item x="215"/>
        <item x="279"/>
        <item x="9"/>
        <item x="311"/>
        <item x="563"/>
        <item x="81"/>
        <item x="86"/>
        <item x="769"/>
        <item x="888"/>
        <item x="587"/>
        <item x="141"/>
        <item x="24"/>
        <item x="90"/>
        <item x="818"/>
        <item x="537"/>
        <item x="292"/>
        <item x="88"/>
        <item x="48"/>
        <item x="487"/>
        <item x="309"/>
        <item x="771"/>
        <item x="937"/>
        <item x="711"/>
        <item x="404"/>
        <item x="489"/>
        <item x="967"/>
        <item x="159"/>
        <item x="6"/>
        <item x="928"/>
        <item x="33"/>
        <item x="441"/>
        <item x="29"/>
        <item x="108"/>
        <item x="162"/>
        <item x="423"/>
        <item x="106"/>
        <item x="287"/>
        <item x="310"/>
        <item x="608"/>
        <item x="908"/>
        <item x="78"/>
        <item x="243"/>
        <item x="456"/>
        <item x="913"/>
        <item x="359"/>
        <item x="384"/>
        <item x="255"/>
        <item x="953"/>
        <item x="154"/>
        <item x="492"/>
        <item x="266"/>
        <item x="422"/>
        <item x="982"/>
        <item x="802"/>
        <item x="323"/>
        <item x="278"/>
        <item x="135"/>
        <item x="5"/>
        <item x="697"/>
        <item x="125"/>
        <item x="95"/>
        <item x="451"/>
        <item x="700"/>
        <item x="811"/>
        <item x="420"/>
        <item x="613"/>
        <item x="144"/>
        <item x="944"/>
        <item x="986"/>
        <item x="598"/>
        <item x="762"/>
        <item x="633"/>
        <item x="738"/>
        <item x="807"/>
        <item x="968"/>
        <item x="164"/>
        <item x="753"/>
        <item x="211"/>
        <item x="63"/>
        <item x="796"/>
        <item x="179"/>
        <item x="333"/>
        <item x="367"/>
        <item x="304"/>
        <item x="626"/>
        <item x="289"/>
        <item x="189"/>
        <item x="884"/>
        <item x="956"/>
        <item x="795"/>
        <item x="231"/>
        <item x="330"/>
        <item x="313"/>
        <item x="150"/>
        <item x="656"/>
        <item x="18"/>
        <item x="840"/>
        <item x="458"/>
        <item x="493"/>
        <item x="755"/>
        <item x="327"/>
        <item x="325"/>
        <item x="545"/>
        <item x="910"/>
        <item x="671"/>
        <item x="180"/>
        <item x="521"/>
        <item x="985"/>
        <item x="145"/>
        <item x="341"/>
        <item x="301"/>
        <item x="873"/>
        <item x="841"/>
        <item x="945"/>
        <item x="281"/>
        <item x="865"/>
        <item x="830"/>
        <item x="699"/>
        <item x="585"/>
        <item x="477"/>
        <item x="785"/>
        <item x="640"/>
        <item x="889"/>
        <item x="562"/>
        <item x="684"/>
        <item x="52"/>
        <item x="119"/>
        <item x="837"/>
        <item x="707"/>
        <item x="856"/>
        <item x="445"/>
        <item x="860"/>
        <item x="601"/>
        <item x="127"/>
        <item x="400"/>
        <item x="143"/>
        <item x="643"/>
        <item x="124"/>
        <item x="331"/>
        <item x="271"/>
        <item x="299"/>
        <item x="262"/>
        <item x="153"/>
        <item x="446"/>
        <item x="368"/>
        <item x="810"/>
        <item x="72"/>
        <item x="866"/>
        <item x="0"/>
        <item x="280"/>
        <item x="503"/>
        <item x="274"/>
        <item x="195"/>
        <item x="940"/>
        <item x="415"/>
        <item x="892"/>
        <item x="2"/>
        <item x="55"/>
        <item x="32"/>
        <item x="3"/>
        <item x="942"/>
        <item x="295"/>
        <item x="483"/>
        <item x="552"/>
        <item x="717"/>
        <item x="277"/>
        <item x="808"/>
        <item x="732"/>
        <item x="665"/>
        <item x="734"/>
        <item x="73"/>
        <item x="776"/>
        <item x="101"/>
        <item x="750"/>
        <item x="948"/>
        <item x="575"/>
        <item x="554"/>
        <item x="955"/>
        <item x="692"/>
        <item x="413"/>
        <item x="588"/>
        <item x="984"/>
        <item x="338"/>
        <item x="509"/>
        <item x="447"/>
        <item x="133"/>
        <item x="627"/>
        <item x="187"/>
        <item x="636"/>
        <item x="469"/>
        <item x="954"/>
        <item x="429"/>
        <item x="8"/>
        <item x="256"/>
        <item x="672"/>
        <item x="314"/>
        <item x="169"/>
        <item x="589"/>
        <item x="165"/>
        <item x="623"/>
        <item x="218"/>
        <item x="205"/>
        <item x="38"/>
        <item x="845"/>
        <item x="975"/>
        <item x="455"/>
        <item x="741"/>
        <item x="316"/>
        <item x="43"/>
        <item x="402"/>
        <item x="760"/>
        <item x="923"/>
        <item x="883"/>
        <item x="397"/>
        <item x="659"/>
        <item x="248"/>
        <item x="877"/>
        <item x="399"/>
        <item x="193"/>
        <item x="98"/>
        <item x="772"/>
        <item x="375"/>
        <item x="638"/>
        <item x="388"/>
        <item x="767"/>
        <item x="891"/>
        <item x="784"/>
        <item x="56"/>
        <item x="675"/>
        <item x="708"/>
        <item x="532"/>
        <item x="481"/>
        <item x="99"/>
        <item x="507"/>
        <item x="19"/>
        <item x="40"/>
        <item x="916"/>
        <item x="454"/>
        <item x="449"/>
        <item x="770"/>
        <item x="850"/>
        <item x="91"/>
        <item x="259"/>
        <item x="685"/>
        <item x="682"/>
        <item x="490"/>
        <item x="184"/>
        <item x="848"/>
        <item x="76"/>
        <item x="745"/>
        <item x="161"/>
        <item x="102"/>
        <item x="549"/>
        <item x="100"/>
        <item x="688"/>
        <item x="553"/>
        <item x="972"/>
        <item x="232"/>
        <item x="757"/>
        <item x="828"/>
        <item x="727"/>
        <item x="196"/>
        <item x="83"/>
        <item x="216"/>
        <item x="92"/>
        <item x="919"/>
        <item x="895"/>
        <item x="237"/>
        <item x="819"/>
        <item x="631"/>
        <item x="857"/>
        <item x="410"/>
        <item x="836"/>
        <item x="679"/>
        <item x="495"/>
        <item x="526"/>
        <item x="548"/>
        <item x="366"/>
        <item x="50"/>
        <item x="242"/>
        <item x="484"/>
        <item x="591"/>
        <item x="963"/>
        <item x="570"/>
        <item x="805"/>
        <item x="647"/>
        <item x="209"/>
        <item x="419"/>
        <item x="667"/>
        <item x="238"/>
        <item x="670"/>
        <item x="639"/>
        <item x="604"/>
        <item x="794"/>
        <item x="486"/>
        <item x="326"/>
        <item x="370"/>
        <item x="621"/>
        <item x="528"/>
        <item x="680"/>
        <item x="844"/>
        <item x="31"/>
        <item x="572"/>
        <item x="516"/>
        <item x="759"/>
        <item x="775"/>
        <item x="978"/>
        <item x="466"/>
        <item x="793"/>
        <item x="737"/>
        <item x="529"/>
        <item x="473"/>
        <item x="354"/>
        <item x="470"/>
        <item x="434"/>
        <item x="651"/>
        <item x="847"/>
        <item x="686"/>
        <item x="4"/>
        <item x="941"/>
        <item x="525"/>
        <item x="163"/>
        <item x="564"/>
        <item x="893"/>
        <item x="123"/>
        <item x="267"/>
        <item x="751"/>
        <item x="885"/>
        <item x="192"/>
        <item x="342"/>
        <item x="463"/>
        <item x="460"/>
        <item x="317"/>
        <item x="739"/>
        <item x="235"/>
        <item x="632"/>
        <item x="355"/>
        <item x="319"/>
        <item x="85"/>
        <item x="777"/>
        <item x="642"/>
        <item x="318"/>
        <item x="790"/>
        <item x="357"/>
        <item x="207"/>
        <item x="822"/>
        <item x="131"/>
        <item x="118"/>
        <item x="657"/>
        <item x="414"/>
        <item x="257"/>
        <item x="580"/>
        <item x="71"/>
        <item x="62"/>
        <item x="909"/>
        <item x="217"/>
        <item x="854"/>
        <item x="713"/>
        <item x="602"/>
        <item x="263"/>
        <item x="687"/>
        <item x="976"/>
        <item x="582"/>
        <item x="706"/>
        <item x="926"/>
        <item x="803"/>
        <item x="94"/>
        <item x="225"/>
        <item x="925"/>
        <item x="786"/>
        <item x="731"/>
        <item x="173"/>
        <item x="251"/>
        <item x="177"/>
        <item x="973"/>
        <item x="198"/>
        <item x="324"/>
        <item x="377"/>
        <item x="815"/>
        <item x="236"/>
        <item x="789"/>
        <item x="590"/>
        <item x="194"/>
        <item x="39"/>
        <item x="669"/>
        <item x="566"/>
        <item x="382"/>
        <item x="573"/>
        <item x="663"/>
        <item x="705"/>
        <item x="443"/>
        <item x="514"/>
        <item x="917"/>
        <item x="345"/>
        <item x="453"/>
        <item x="61"/>
        <item x="875"/>
        <item x="472"/>
        <item x="959"/>
        <item x="691"/>
        <item x="482"/>
        <item x="868"/>
        <item x="130"/>
        <item x="540"/>
        <item x="791"/>
        <item x="742"/>
        <item x="226"/>
        <item x="1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9">
        <item sd="0" x="2"/>
        <item x="3"/>
        <item sd="0" x="5"/>
        <item sd="0" x="6"/>
        <item sd="0" x="4"/>
        <item sd="0" x="0"/>
        <item sd="0" x="1"/>
        <item m="1" x="7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3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m="1" x="21"/>
        <item x="3"/>
        <item t="default"/>
      </items>
    </pivotField>
    <pivotField showAll="0"/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55">
        <item x="304"/>
        <item x="269"/>
        <item x="185"/>
        <item x="31"/>
        <item x="217"/>
        <item x="95"/>
        <item x="241"/>
        <item x="342"/>
        <item x="84"/>
        <item x="340"/>
        <item x="165"/>
        <item x="125"/>
        <item x="157"/>
        <item x="136"/>
        <item x="76"/>
        <item x="353"/>
        <item x="302"/>
        <item x="230"/>
        <item x="350"/>
        <item x="40"/>
        <item x="166"/>
        <item x="234"/>
        <item x="315"/>
        <item x="42"/>
        <item x="248"/>
        <item x="266"/>
        <item x="345"/>
        <item x="138"/>
        <item x="67"/>
        <item x="3"/>
        <item x="203"/>
        <item x="123"/>
        <item x="235"/>
        <item x="317"/>
        <item x="254"/>
        <item x="109"/>
        <item x="250"/>
        <item x="154"/>
        <item x="244"/>
        <item x="143"/>
        <item x="148"/>
        <item x="155"/>
        <item x="198"/>
        <item x="101"/>
        <item x="219"/>
        <item x="47"/>
        <item x="310"/>
        <item x="323"/>
        <item x="216"/>
        <item x="46"/>
        <item x="249"/>
        <item x="314"/>
        <item x="251"/>
        <item x="190"/>
        <item x="330"/>
        <item x="282"/>
        <item x="111"/>
        <item x="115"/>
        <item x="343"/>
        <item x="60"/>
        <item x="305"/>
        <item x="201"/>
        <item x="331"/>
        <item x="105"/>
        <item x="10"/>
        <item x="208"/>
        <item x="93"/>
        <item x="104"/>
        <item x="20"/>
        <item x="191"/>
        <item x="329"/>
        <item x="75"/>
        <item x="228"/>
        <item x="271"/>
        <item x="177"/>
        <item x="32"/>
        <item x="339"/>
        <item x="187"/>
        <item x="349"/>
        <item x="229"/>
        <item x="65"/>
        <item x="333"/>
        <item x="145"/>
        <item x="215"/>
        <item x="242"/>
        <item x="258"/>
        <item x="178"/>
        <item x="270"/>
        <item x="152"/>
        <item x="179"/>
        <item x="16"/>
        <item x="142"/>
        <item x="308"/>
        <item x="318"/>
        <item x="124"/>
        <item x="57"/>
        <item x="291"/>
        <item x="169"/>
        <item x="1"/>
        <item x="296"/>
        <item x="320"/>
        <item x="257"/>
        <item x="238"/>
        <item x="335"/>
        <item x="321"/>
        <item x="120"/>
        <item x="295"/>
        <item x="163"/>
        <item x="199"/>
        <item x="102"/>
        <item x="287"/>
        <item x="280"/>
        <item x="21"/>
        <item x="288"/>
        <item x="83"/>
        <item x="336"/>
        <item x="240"/>
        <item x="283"/>
        <item x="297"/>
        <item x="79"/>
        <item x="78"/>
        <item x="87"/>
        <item x="284"/>
        <item x="100"/>
        <item x="28"/>
        <item x="45"/>
        <item x="306"/>
        <item x="49"/>
        <item x="70"/>
        <item x="91"/>
        <item x="252"/>
        <item x="94"/>
        <item x="71"/>
        <item x="52"/>
        <item x="183"/>
        <item x="56"/>
        <item x="151"/>
        <item x="51"/>
        <item x="69"/>
        <item x="43"/>
        <item x="279"/>
        <item x="227"/>
        <item x="18"/>
        <item x="15"/>
        <item x="7"/>
        <item x="348"/>
        <item x="161"/>
        <item x="256"/>
        <item x="26"/>
        <item x="232"/>
        <item x="63"/>
        <item x="184"/>
        <item x="135"/>
        <item x="316"/>
        <item x="160"/>
        <item x="167"/>
        <item x="77"/>
        <item x="110"/>
        <item x="59"/>
        <item x="149"/>
        <item x="12"/>
        <item x="121"/>
        <item x="312"/>
        <item x="276"/>
        <item x="221"/>
        <item x="209"/>
        <item x="114"/>
        <item x="328"/>
        <item x="298"/>
        <item x="294"/>
        <item x="200"/>
        <item x="134"/>
        <item x="214"/>
        <item x="33"/>
        <item x="289"/>
        <item x="90"/>
        <item x="192"/>
        <item x="82"/>
        <item x="5"/>
        <item x="277"/>
        <item x="324"/>
        <item x="180"/>
        <item x="35"/>
        <item x="34"/>
        <item x="231"/>
        <item x="322"/>
        <item x="347"/>
        <item x="29"/>
        <item x="128"/>
        <item x="263"/>
        <item x="17"/>
        <item x="30"/>
        <item x="313"/>
        <item x="150"/>
        <item x="341"/>
        <item x="247"/>
        <item x="246"/>
        <item x="133"/>
        <item x="275"/>
        <item x="281"/>
        <item x="233"/>
        <item x="53"/>
        <item x="175"/>
        <item x="62"/>
        <item x="273"/>
        <item x="116"/>
        <item x="119"/>
        <item x="144"/>
        <item x="24"/>
        <item x="286"/>
        <item x="210"/>
        <item x="2"/>
        <item x="27"/>
        <item x="267"/>
        <item x="188"/>
        <item x="170"/>
        <item x="64"/>
        <item x="86"/>
        <item x="38"/>
        <item x="272"/>
        <item x="73"/>
        <item x="74"/>
        <item x="290"/>
        <item x="41"/>
        <item x="255"/>
        <item x="337"/>
        <item x="153"/>
        <item x="182"/>
        <item x="193"/>
        <item x="332"/>
        <item x="325"/>
        <item x="261"/>
        <item x="68"/>
        <item x="36"/>
        <item x="226"/>
        <item x="172"/>
        <item x="159"/>
        <item x="212"/>
        <item x="211"/>
        <item x="168"/>
        <item x="146"/>
        <item x="260"/>
        <item x="301"/>
        <item x="173"/>
        <item x="156"/>
        <item x="113"/>
        <item x="85"/>
        <item x="195"/>
        <item x="206"/>
        <item x="55"/>
        <item x="129"/>
        <item x="319"/>
        <item x="309"/>
        <item x="39"/>
        <item x="268"/>
        <item x="23"/>
        <item x="236"/>
        <item x="292"/>
        <item x="264"/>
        <item x="99"/>
        <item x="25"/>
        <item x="141"/>
        <item x="218"/>
        <item x="4"/>
        <item x="92"/>
        <item x="205"/>
        <item x="54"/>
        <item x="262"/>
        <item x="140"/>
        <item x="237"/>
        <item x="186"/>
        <item x="72"/>
        <item x="162"/>
        <item x="8"/>
        <item x="126"/>
        <item x="207"/>
        <item x="103"/>
        <item x="245"/>
        <item x="176"/>
        <item x="300"/>
        <item x="98"/>
        <item x="171"/>
        <item x="224"/>
        <item x="344"/>
        <item x="274"/>
        <item x="58"/>
        <item x="285"/>
        <item x="278"/>
        <item x="202"/>
        <item x="137"/>
        <item x="299"/>
        <item x="307"/>
        <item x="222"/>
        <item x="97"/>
        <item x="259"/>
        <item x="117"/>
        <item x="130"/>
        <item x="118"/>
        <item x="213"/>
        <item x="223"/>
        <item x="6"/>
        <item x="243"/>
        <item x="106"/>
        <item x="131"/>
        <item x="352"/>
        <item x="61"/>
        <item x="311"/>
        <item x="48"/>
        <item x="80"/>
        <item x="11"/>
        <item x="327"/>
        <item x="338"/>
        <item x="204"/>
        <item x="89"/>
        <item x="14"/>
        <item x="181"/>
        <item x="13"/>
        <item x="293"/>
        <item x="174"/>
        <item x="22"/>
        <item x="253"/>
        <item x="147"/>
        <item x="303"/>
        <item x="127"/>
        <item x="9"/>
        <item x="81"/>
        <item x="239"/>
        <item x="112"/>
        <item x="107"/>
        <item x="50"/>
        <item x="19"/>
        <item x="164"/>
        <item x="88"/>
        <item x="139"/>
        <item x="351"/>
        <item x="326"/>
        <item x="44"/>
        <item x="66"/>
        <item x="122"/>
        <item x="37"/>
        <item x="225"/>
        <item x="265"/>
        <item x="197"/>
        <item x="334"/>
        <item x="132"/>
        <item x="189"/>
        <item x="96"/>
        <item x="158"/>
        <item x="196"/>
        <item x="108"/>
        <item x="194"/>
        <item x="220"/>
        <item x="346"/>
        <item x="0"/>
        <item t="default"/>
      </items>
    </pivotField>
    <pivotField numFmtId="164" showAll="0"/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62">
        <item x="632"/>
        <item x="600"/>
        <item x="457"/>
        <item x="430"/>
        <item x="54"/>
        <item x="191"/>
        <item x="51"/>
        <item x="459"/>
        <item x="333"/>
        <item x="540"/>
        <item x="98"/>
        <item x="249"/>
        <item x="307"/>
        <item x="227"/>
        <item x="274"/>
        <item x="750"/>
        <item x="654"/>
        <item x="332"/>
        <item x="130"/>
        <item x="638"/>
        <item x="393"/>
        <item x="452"/>
        <item x="238"/>
        <item x="721"/>
        <item x="556"/>
        <item x="121"/>
        <item x="658"/>
        <item x="567"/>
        <item x="401"/>
        <item x="49"/>
        <item x="100"/>
        <item x="518"/>
        <item x="329"/>
        <item x="664"/>
        <item x="509"/>
        <item x="480"/>
        <item x="433"/>
        <item x="84"/>
        <item x="259"/>
        <item x="741"/>
        <item x="525"/>
        <item x="171"/>
        <item x="374"/>
        <item x="550"/>
        <item x="1"/>
        <item x="508"/>
        <item x="483"/>
        <item x="135"/>
        <item x="189"/>
        <item x="356"/>
        <item x="188"/>
        <item x="35"/>
        <item x="182"/>
        <item x="93"/>
        <item x="541"/>
        <item x="179"/>
        <item x="331"/>
        <item x="671"/>
        <item x="94"/>
        <item x="306"/>
        <item x="278"/>
        <item x="676"/>
        <item x="25"/>
        <item x="192"/>
        <item x="595"/>
        <item x="368"/>
        <item x="88"/>
        <item x="194"/>
        <item x="160"/>
        <item x="702"/>
        <item x="507"/>
        <item x="534"/>
        <item x="166"/>
        <item x="201"/>
        <item x="153"/>
        <item x="152"/>
        <item x="313"/>
        <item x="225"/>
        <item x="264"/>
        <item x="757"/>
        <item x="79"/>
        <item x="4"/>
        <item x="445"/>
        <item x="77"/>
        <item x="161"/>
        <item x="260"/>
        <item x="243"/>
        <item x="91"/>
        <item x="185"/>
        <item x="108"/>
        <item x="597"/>
        <item x="593"/>
        <item x="205"/>
        <item x="48"/>
        <item x="13"/>
        <item x="45"/>
        <item x="542"/>
        <item x="394"/>
        <item x="232"/>
        <item x="78"/>
        <item x="739"/>
        <item x="690"/>
        <item x="370"/>
        <item x="617"/>
        <item x="74"/>
        <item x="136"/>
        <item x="476"/>
        <item x="522"/>
        <item x="266"/>
        <item x="200"/>
        <item x="701"/>
        <item x="666"/>
        <item x="24"/>
        <item x="610"/>
        <item x="469"/>
        <item x="178"/>
        <item x="195"/>
        <item x="366"/>
        <item x="484"/>
        <item x="341"/>
        <item x="8"/>
        <item x="208"/>
        <item x="641"/>
        <item x="97"/>
        <item x="614"/>
        <item x="30"/>
        <item x="68"/>
        <item x="647"/>
        <item x="285"/>
        <item x="631"/>
        <item x="292"/>
        <item x="491"/>
        <item x="565"/>
        <item x="569"/>
        <item x="720"/>
        <item x="296"/>
        <item x="566"/>
        <item x="217"/>
        <item x="64"/>
        <item x="696"/>
        <item x="754"/>
        <item x="202"/>
        <item x="2"/>
        <item x="649"/>
        <item x="286"/>
        <item x="581"/>
        <item x="448"/>
        <item x="639"/>
        <item x="319"/>
        <item x="119"/>
        <item x="494"/>
        <item x="756"/>
        <item x="280"/>
        <item x="694"/>
        <item x="598"/>
        <item x="149"/>
        <item x="495"/>
        <item x="253"/>
        <item x="630"/>
        <item x="21"/>
        <item x="414"/>
        <item x="619"/>
        <item x="643"/>
        <item x="222"/>
        <item x="316"/>
        <item x="545"/>
        <item x="434"/>
        <item x="673"/>
        <item x="38"/>
        <item x="186"/>
        <item x="571"/>
        <item x="120"/>
        <item x="705"/>
        <item x="527"/>
        <item x="530"/>
        <item x="612"/>
        <item x="686"/>
        <item x="220"/>
        <item x="246"/>
        <item x="543"/>
        <item x="582"/>
        <item x="560"/>
        <item x="481"/>
        <item x="390"/>
        <item x="118"/>
        <item x="688"/>
        <item x="9"/>
        <item x="478"/>
        <item x="710"/>
        <item x="330"/>
        <item x="449"/>
        <item x="439"/>
        <item x="70"/>
        <item x="367"/>
        <item x="472"/>
        <item x="734"/>
        <item x="558"/>
        <item x="517"/>
        <item x="338"/>
        <item x="297"/>
        <item x="345"/>
        <item x="717"/>
        <item x="487"/>
        <item x="58"/>
        <item x="645"/>
        <item x="576"/>
        <item x="304"/>
        <item x="123"/>
        <item x="362"/>
        <item x="164"/>
        <item x="625"/>
        <item x="659"/>
        <item x="85"/>
        <item x="738"/>
        <item x="528"/>
        <item x="343"/>
        <item x="642"/>
        <item x="138"/>
        <item x="283"/>
        <item x="14"/>
        <item x="258"/>
        <item x="127"/>
        <item x="730"/>
        <item x="755"/>
        <item x="529"/>
        <item x="20"/>
        <item x="141"/>
        <item x="498"/>
        <item x="683"/>
        <item x="213"/>
        <item x="109"/>
        <item x="455"/>
        <item x="409"/>
        <item x="237"/>
        <item x="451"/>
        <item x="651"/>
        <item x="145"/>
        <item x="470"/>
        <item x="165"/>
        <item x="427"/>
        <item x="554"/>
        <item x="353"/>
        <item x="403"/>
        <item x="726"/>
        <item x="670"/>
        <item x="335"/>
        <item x="209"/>
        <item x="745"/>
        <item x="348"/>
        <item x="636"/>
        <item x="396"/>
        <item x="680"/>
        <item x="438"/>
        <item x="590"/>
        <item x="346"/>
        <item x="426"/>
        <item x="640"/>
        <item x="603"/>
        <item x="311"/>
        <item x="298"/>
        <item x="183"/>
        <item x="235"/>
        <item x="607"/>
        <item x="76"/>
        <item x="126"/>
        <item x="471"/>
        <item x="502"/>
        <item x="172"/>
        <item x="41"/>
        <item x="71"/>
        <item x="110"/>
        <item x="668"/>
        <item x="586"/>
        <item x="725"/>
        <item x="354"/>
        <item x="268"/>
        <item x="7"/>
        <item x="669"/>
        <item x="40"/>
        <item x="355"/>
        <item x="162"/>
        <item x="744"/>
        <item x="302"/>
        <item x="608"/>
        <item x="749"/>
        <item x="547"/>
        <item x="134"/>
        <item x="16"/>
        <item x="320"/>
        <item x="699"/>
        <item x="622"/>
        <item x="727"/>
        <item x="465"/>
        <item x="337"/>
        <item x="687"/>
        <item x="269"/>
        <item x="96"/>
        <item x="365"/>
        <item x="344"/>
        <item x="33"/>
        <item x="416"/>
        <item x="244"/>
        <item x="441"/>
        <item x="271"/>
        <item x="308"/>
        <item x="203"/>
        <item x="223"/>
        <item x="163"/>
        <item x="233"/>
        <item x="216"/>
        <item x="447"/>
        <item x="538"/>
        <item x="440"/>
        <item x="700"/>
        <item x="334"/>
        <item x="431"/>
        <item x="352"/>
        <item x="743"/>
        <item x="148"/>
        <item x="490"/>
        <item x="385"/>
        <item x="539"/>
        <item x="196"/>
        <item x="515"/>
        <item x="747"/>
        <item x="395"/>
        <item x="523"/>
        <item x="176"/>
        <item x="672"/>
        <item x="501"/>
        <item x="579"/>
        <item x="43"/>
        <item x="386"/>
        <item x="609"/>
        <item x="724"/>
        <item x="589"/>
        <item x="116"/>
        <item x="184"/>
        <item x="373"/>
        <item x="303"/>
        <item x="187"/>
        <item x="383"/>
        <item x="594"/>
        <item x="419"/>
        <item x="400"/>
        <item x="399"/>
        <item x="573"/>
        <item x="59"/>
        <item x="678"/>
        <item x="633"/>
        <item x="42"/>
        <item x="53"/>
        <item x="12"/>
        <item x="648"/>
        <item x="514"/>
        <item x="578"/>
        <item x="210"/>
        <item x="548"/>
        <item x="69"/>
        <item x="718"/>
        <item x="644"/>
        <item x="660"/>
        <item x="391"/>
        <item x="521"/>
        <item x="415"/>
        <item x="242"/>
        <item x="236"/>
        <item x="488"/>
        <item x="107"/>
        <item x="312"/>
        <item x="629"/>
        <item x="568"/>
        <item x="229"/>
        <item x="421"/>
        <item x="380"/>
        <item x="81"/>
        <item x="413"/>
        <item x="387"/>
        <item x="692"/>
        <item x="446"/>
        <item x="681"/>
        <item x="456"/>
        <item x="239"/>
        <item x="214"/>
        <item x="428"/>
        <item x="281"/>
        <item x="61"/>
        <item x="704"/>
        <item x="684"/>
        <item x="190"/>
        <item x="689"/>
        <item x="559"/>
        <item x="408"/>
        <item x="361"/>
        <item x="251"/>
        <item x="73"/>
        <item x="197"/>
        <item x="261"/>
        <item x="388"/>
        <item x="706"/>
        <item x="37"/>
        <item x="207"/>
        <item x="34"/>
        <item x="557"/>
        <item x="752"/>
        <item x="255"/>
        <item x="19"/>
        <item x="570"/>
        <item x="536"/>
        <item x="381"/>
        <item x="378"/>
        <item x="753"/>
        <item x="402"/>
        <item x="735"/>
        <item x="80"/>
        <item x="662"/>
        <item x="748"/>
        <item x="371"/>
        <item x="67"/>
        <item x="697"/>
        <item x="158"/>
        <item x="466"/>
        <item x="691"/>
        <item x="241"/>
        <item x="125"/>
        <item x="486"/>
        <item x="442"/>
        <item x="411"/>
        <item x="326"/>
        <item x="520"/>
        <item x="626"/>
        <item x="516"/>
        <item x="546"/>
        <item x="340"/>
        <item x="36"/>
        <item x="384"/>
        <item x="350"/>
        <item x="169"/>
        <item x="714"/>
        <item x="44"/>
        <item x="351"/>
        <item x="562"/>
        <item x="424"/>
        <item x="56"/>
        <item x="574"/>
        <item x="561"/>
        <item x="15"/>
        <item x="147"/>
        <item x="234"/>
        <item x="429"/>
        <item x="3"/>
        <item x="575"/>
        <item x="146"/>
        <item x="435"/>
        <item x="295"/>
        <item x="275"/>
        <item x="420"/>
        <item x="122"/>
        <item x="618"/>
        <item x="263"/>
        <item x="140"/>
        <item x="254"/>
        <item x="5"/>
        <item x="503"/>
        <item x="83"/>
        <item x="512"/>
        <item x="708"/>
        <item x="291"/>
        <item x="256"/>
        <item x="599"/>
        <item x="627"/>
        <item x="417"/>
        <item x="703"/>
        <item x="32"/>
        <item x="92"/>
        <item x="318"/>
        <item x="252"/>
        <item x="324"/>
        <item x="199"/>
        <item x="511"/>
        <item x="309"/>
        <item x="226"/>
        <item x="709"/>
        <item x="564"/>
        <item x="131"/>
        <item x="328"/>
        <item x="624"/>
        <item x="301"/>
        <item x="55"/>
        <item x="279"/>
        <item x="342"/>
        <item x="563"/>
        <item x="588"/>
        <item x="300"/>
        <item x="314"/>
        <item x="604"/>
        <item x="265"/>
        <item x="349"/>
        <item x="379"/>
        <item x="685"/>
        <item x="86"/>
        <item x="29"/>
        <item x="322"/>
        <item x="477"/>
        <item x="693"/>
        <item x="504"/>
        <item x="760"/>
        <item x="611"/>
        <item x="317"/>
        <item x="497"/>
        <item x="665"/>
        <item x="287"/>
        <item x="733"/>
        <item x="506"/>
        <item x="736"/>
        <item x="623"/>
        <item x="729"/>
        <item x="549"/>
        <item x="66"/>
        <item x="82"/>
        <item x="60"/>
        <item x="65"/>
        <item x="674"/>
        <item x="397"/>
        <item x="323"/>
        <item x="247"/>
        <item x="475"/>
        <item x="663"/>
        <item x="218"/>
        <item x="129"/>
        <item x="114"/>
        <item x="637"/>
        <item x="500"/>
        <item x="57"/>
        <item x="715"/>
        <item x="382"/>
        <item x="493"/>
        <item x="634"/>
        <item x="26"/>
        <item x="423"/>
        <item x="551"/>
        <item x="105"/>
        <item x="587"/>
        <item x="206"/>
        <item x="111"/>
        <item x="628"/>
        <item x="50"/>
        <item x="240"/>
        <item x="89"/>
        <item x="656"/>
        <item x="137"/>
        <item x="732"/>
        <item x="257"/>
        <item x="315"/>
        <item x="221"/>
        <item x="499"/>
        <item x="713"/>
        <item x="159"/>
        <item x="372"/>
        <item x="22"/>
        <item x="0"/>
        <item x="519"/>
        <item x="142"/>
        <item x="250"/>
        <item x="728"/>
        <item x="198"/>
        <item x="150"/>
        <item x="272"/>
        <item x="75"/>
        <item x="510"/>
        <item x="712"/>
        <item x="113"/>
        <item x="533"/>
        <item x="655"/>
        <item x="18"/>
        <item x="650"/>
        <item x="357"/>
        <item x="436"/>
        <item x="389"/>
        <item x="211"/>
        <item x="133"/>
        <item x="224"/>
        <item x="652"/>
        <item x="180"/>
        <item x="524"/>
        <item x="467"/>
        <item x="443"/>
        <item x="102"/>
        <item x="293"/>
        <item x="339"/>
        <item x="580"/>
        <item x="723"/>
        <item x="104"/>
        <item x="657"/>
        <item x="591"/>
        <item x="358"/>
        <item x="228"/>
        <item x="474"/>
        <item x="289"/>
        <item x="461"/>
        <item x="28"/>
        <item x="707"/>
        <item x="719"/>
        <item x="460"/>
        <item x="716"/>
        <item x="154"/>
        <item x="132"/>
        <item x="407"/>
        <item x="473"/>
        <item x="615"/>
        <item x="115"/>
        <item x="46"/>
        <item x="193"/>
        <item x="398"/>
        <item x="751"/>
        <item x="359"/>
        <item x="453"/>
        <item x="168"/>
        <item x="273"/>
        <item x="31"/>
        <item x="117"/>
        <item x="577"/>
        <item x="482"/>
        <item x="282"/>
        <item x="305"/>
        <item x="552"/>
        <item x="526"/>
        <item x="336"/>
        <item x="17"/>
        <item x="360"/>
        <item x="321"/>
        <item x="327"/>
        <item x="128"/>
        <item x="653"/>
        <item x="151"/>
        <item x="245"/>
        <item x="605"/>
        <item x="731"/>
        <item x="585"/>
        <item x="6"/>
        <item x="458"/>
        <item x="52"/>
        <item x="531"/>
        <item x="464"/>
        <item x="496"/>
        <item x="95"/>
        <item x="583"/>
        <item x="406"/>
        <item x="215"/>
        <item x="262"/>
        <item x="167"/>
        <item x="698"/>
        <item x="219"/>
        <item x="101"/>
        <item x="513"/>
        <item x="740"/>
        <item x="444"/>
        <item x="432"/>
        <item x="294"/>
        <item x="284"/>
        <item x="231"/>
        <item x="635"/>
        <item x="463"/>
        <item x="106"/>
        <item x="376"/>
        <item x="613"/>
        <item x="204"/>
        <item x="412"/>
        <item x="425"/>
        <item x="47"/>
        <item x="175"/>
        <item x="392"/>
        <item x="621"/>
        <item x="602"/>
        <item x="62"/>
        <item x="682"/>
        <item x="584"/>
        <item x="144"/>
        <item x="325"/>
        <item x="363"/>
        <item x="468"/>
        <item x="679"/>
        <item x="485"/>
        <item x="364"/>
        <item x="288"/>
        <item x="410"/>
        <item x="492"/>
        <item x="124"/>
        <item x="661"/>
        <item x="505"/>
        <item x="170"/>
        <item x="532"/>
        <item x="248"/>
        <item x="667"/>
        <item x="695"/>
        <item x="596"/>
        <item x="155"/>
        <item x="601"/>
        <item x="479"/>
        <item x="437"/>
        <item x="10"/>
        <item x="310"/>
        <item x="758"/>
        <item x="277"/>
        <item x="711"/>
        <item x="535"/>
        <item x="620"/>
        <item x="450"/>
        <item x="454"/>
        <item x="537"/>
        <item x="299"/>
        <item x="177"/>
        <item x="212"/>
        <item x="72"/>
        <item x="737"/>
        <item x="544"/>
        <item x="63"/>
        <item x="112"/>
        <item x="462"/>
        <item x="742"/>
        <item x="418"/>
        <item x="616"/>
        <item x="290"/>
        <item x="675"/>
        <item x="174"/>
        <item x="553"/>
        <item x="377"/>
        <item x="722"/>
        <item x="27"/>
        <item x="646"/>
        <item x="99"/>
        <item x="90"/>
        <item x="276"/>
        <item x="267"/>
        <item x="369"/>
        <item x="677"/>
        <item x="555"/>
        <item x="404"/>
        <item x="375"/>
        <item x="572"/>
        <item x="39"/>
        <item x="23"/>
        <item x="746"/>
        <item x="87"/>
        <item x="230"/>
        <item x="139"/>
        <item x="157"/>
        <item x="347"/>
        <item x="173"/>
        <item x="270"/>
        <item x="181"/>
        <item x="405"/>
        <item x="422"/>
        <item x="606"/>
        <item x="592"/>
        <item x="156"/>
        <item x="489"/>
        <item x="759"/>
        <item x="143"/>
        <item x="11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9"/>
    <field x="20"/>
  </rowFields>
  <rowItems count="16">
    <i>
      <x/>
    </i>
    <i r="1">
      <x v="1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2" hier="-1"/>
  </pageFields>
  <dataFields count="1">
    <dataField name="Average of capital-gains" fld="15" subtotal="average" baseField="10" baseItem="0"/>
  </dataFields>
  <formats count="2">
    <format dxfId="85">
      <pivotArea outline="0" collapsedLevelsAreSubtotals="1" fieldPosition="0"/>
    </format>
    <format dxfId="84">
      <pivotArea collapsedLevelsAreSubtotals="1" fieldPosition="0">
        <references count="3">
          <reference field="18" count="1" selected="0">
            <x v="2"/>
          </reference>
          <reference field="19" count="1" selected="0">
            <x v="2"/>
          </reference>
          <reference field="2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1B5EA-5E58-4B60-B7EE-F34DCF0BA083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4:AN22" firstHeaderRow="1" firstDataRow="2" firstDataCol="1"/>
  <pivotFields count="40">
    <pivotField showAll="0"/>
    <pivotField axis="axisRow" showAll="0">
      <items count="47">
        <item x="41"/>
        <item x="44"/>
        <item x="42"/>
        <item x="45"/>
        <item x="10"/>
        <item x="39"/>
        <item x="20"/>
        <item x="13"/>
        <item x="28"/>
        <item x="23"/>
        <item x="2"/>
        <item x="22"/>
        <item x="14"/>
        <item x="30"/>
        <item x="8"/>
        <item x="6"/>
        <item x="21"/>
        <item x="31"/>
        <item x="7"/>
        <item x="11"/>
        <item x="5"/>
        <item x="17"/>
        <item x="3"/>
        <item x="1"/>
        <item x="18"/>
        <item x="4"/>
        <item x="19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sd="0" x="2"/>
        <item sd="0" x="3"/>
        <item sd="0" x="5"/>
        <item sd="0" x="6"/>
        <item sd="0" x="4"/>
        <item sd="0" x="0"/>
        <item sd="0" x="1"/>
        <item m="1" x="7"/>
        <item t="default"/>
      </items>
    </pivotField>
    <pivotField axis="axisCol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3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m="1" x="21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11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policy_annual_premium" fld="7" subtotal="average" baseField="0" baseItem="1"/>
  </dataFields>
  <formats count="4">
    <format dxfId="130">
      <pivotArea outline="0" collapsedLevelsAreSubtotals="1" fieldPosition="0"/>
    </format>
    <format dxfId="131">
      <pivotArea collapsedLevelsAreSubtotals="1" fieldPosition="0">
        <references count="3">
          <reference field="10" count="1" selected="0">
            <x v="0"/>
          </reference>
          <reference field="11" count="1">
            <x v="2"/>
          </reference>
          <reference field="12" count="1" selected="0">
            <x v="3"/>
          </reference>
        </references>
      </pivotArea>
    </format>
    <format dxfId="129">
      <pivotArea collapsedLevelsAreSubtotals="1" fieldPosition="0">
        <references count="3">
          <reference field="10" count="1" selected="0">
            <x v="1"/>
          </reference>
          <reference field="11" count="1">
            <x v="2"/>
          </reference>
          <reference field="12" count="1" selected="0">
            <x v="9"/>
          </reference>
        </references>
      </pivotArea>
    </format>
    <format dxfId="128">
      <pivotArea collapsedLevelsAreSubtotals="1" fieldPosition="0">
        <references count="3">
          <reference field="10" count="1" selected="0">
            <x v="0"/>
          </reference>
          <reference field="11" count="1">
            <x v="2"/>
          </reference>
          <reference field="12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0CF6C-EDCF-43E5-A80C-BE735958F1AF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4:W15" firstHeaderRow="1" firstDataRow="1" firstDataCol="1" rowPageCount="2" colPageCount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axis="axisPage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axis="axisRow" showAll="0">
      <items count="23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m="1" x="21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1">
    <i>
      <x v="1"/>
    </i>
    <i>
      <x v="3"/>
    </i>
    <i>
      <x v="7"/>
    </i>
    <i>
      <x v="8"/>
    </i>
    <i>
      <x v="10"/>
    </i>
    <i>
      <x v="11"/>
    </i>
    <i>
      <x v="12"/>
    </i>
    <i>
      <x v="16"/>
    </i>
    <i>
      <x v="17"/>
    </i>
    <i>
      <x v="21"/>
    </i>
    <i t="grand">
      <x/>
    </i>
  </rowItems>
  <colItems count="1">
    <i/>
  </colItems>
  <pageFields count="2">
    <pageField fld="12" item="1" hier="-1"/>
    <pageField fld="11" item="6" hier="-1"/>
  </pageFields>
  <dataFields count="1">
    <dataField name="Count of policy_number" fld="2" subtotal="count" baseField="10" baseItem="0"/>
  </dataFields>
  <formats count="1">
    <format dxfId="1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6DE89-6D1A-42A7-B2D7-CD2864230864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S19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olicy_number" fld="2" subtotal="count" baseField="10" baseItem="0"/>
  </dataFields>
  <formats count="1">
    <format dxfId="1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7F86A-0BF4-44FF-B997-CDF424E45D9E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/>
  <pivotFields count="40">
    <pivotField showAll="0"/>
    <pivotField showAll="0"/>
    <pivotField showAll="0"/>
    <pivotField numFmtId="164"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6AB67-14F8-46A9-B54D-937B9DEDFFCC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10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sd="0" x="1"/>
        <item x="0"/>
        <item t="default"/>
      </items>
    </pivotField>
    <pivotField axis="axisRow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11"/>
    <field x="12"/>
  </rowFields>
  <rowItems count="107">
    <i>
      <x/>
    </i>
    <i>
      <x v="1"/>
    </i>
    <i r="1">
      <x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grand">
      <x/>
    </i>
  </rowItems>
  <colItems count="1">
    <i/>
  </colItems>
  <dataFields count="1">
    <dataField name="Average of policy_deductable" fld="6" subtotal="average" baseField="10" baseItem="0" numFmtId="1"/>
  </dataFields>
  <formats count="1">
    <format dxfId="1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FACE4-E10D-4494-B2C4-4AFAAE580DEC}" name="Table1" displayName="Table1" ref="B8:AO1007" totalsRowShown="0" headerRowDxfId="127" dataDxfId="126">
  <autoFilter ref="B8:AO1007" xr:uid="{956FACE4-E10D-4494-B2C4-4AFAAE580DEC}"/>
  <tableColumns count="40">
    <tableColumn id="1" xr3:uid="{52556B92-AAE3-4523-B8F1-8460A910AF5C}" name="months_as_customer" dataDxfId="125"/>
    <tableColumn id="2" xr3:uid="{DCC98B1F-BD3A-49FD-A928-52C2FB577835}" name="age" dataDxfId="124"/>
    <tableColumn id="3" xr3:uid="{90DB7FCE-F158-40C5-9727-4B212A80C2CE}" name="policy_number" dataDxfId="123"/>
    <tableColumn id="4" xr3:uid="{C56BE0D2-1D17-470E-843B-BB770019B6AE}" name="policy_bind_date" dataDxfId="122"/>
    <tableColumn id="5" xr3:uid="{5E42EF22-4CFD-4E0F-91C8-717A161D4881}" name="policy_state" dataDxfId="121"/>
    <tableColumn id="6" xr3:uid="{7A2122D9-82C3-438D-909B-9C6519A56432}" name="policy_csl" dataDxfId="120"/>
    <tableColumn id="7" xr3:uid="{9F40C645-3798-4B3D-9030-41939EA723F9}" name="policy_deductable" dataDxfId="119"/>
    <tableColumn id="8" xr3:uid="{CC9CC0B8-A10B-4A5F-B4E9-E79591E4F32E}" name="policy_annual_premium" dataDxfId="118"/>
    <tableColumn id="9" xr3:uid="{9E342CDA-2CDF-4C58-ACDC-1FD2BE4618F1}" name="umbrella_limit" dataDxfId="117"/>
    <tableColumn id="10" xr3:uid="{189B32F9-2649-4345-809B-A4D06E4CFFD8}" name="insured_zip" dataDxfId="116"/>
    <tableColumn id="11" xr3:uid="{AE3597D3-A215-42F1-AA12-349778B8A428}" name="insured_sex" dataDxfId="115"/>
    <tableColumn id="12" xr3:uid="{08D15275-5D3C-4028-A46C-D8BBCF48835C}" name="insured_education_level" dataDxfId="114"/>
    <tableColumn id="13" xr3:uid="{526195A4-5E1A-4497-AE96-9FA809EEDFC8}" name="insured_occupation" dataDxfId="113"/>
    <tableColumn id="14" xr3:uid="{C0A66CF2-6910-404C-8FB9-C95B4650B7DB}" name="insured_hobbies" dataDxfId="112"/>
    <tableColumn id="15" xr3:uid="{5866F3FB-688D-42E4-BA56-72A9A4369931}" name="insured_relationship" dataDxfId="111"/>
    <tableColumn id="16" xr3:uid="{F7873668-D0C4-4670-B795-257E69A2F6B1}" name="capital-gains" dataDxfId="110"/>
    <tableColumn id="17" xr3:uid="{0392E5B3-CB38-4D5A-996E-01BA84C7CF13}" name="capital-loss" dataDxfId="109"/>
    <tableColumn id="18" xr3:uid="{C69C2083-03A5-4076-A911-E60E127ED914}" name="incident_date" dataDxfId="108"/>
    <tableColumn id="19" xr3:uid="{FDABB3BD-BB36-4D03-B88B-67FFB2C19544}" name="incident_type" dataDxfId="107"/>
    <tableColumn id="20" xr3:uid="{2E160501-6DDA-4F1B-9602-C37766E771C0}" name="collision_type" dataDxfId="106"/>
    <tableColumn id="21" xr3:uid="{8D2247F2-2312-4AE2-92A9-EC18DE075788}" name="incident_severity" dataDxfId="105"/>
    <tableColumn id="22" xr3:uid="{B3D302E4-39E3-4C68-8287-219E92C833B6}" name="authorities_contacted" dataDxfId="104"/>
    <tableColumn id="23" xr3:uid="{9C52C10E-0380-4EC7-B350-3EF69A6842FA}" name="incident_state" dataDxfId="103"/>
    <tableColumn id="24" xr3:uid="{626590A5-879E-4300-84B7-0AFDF0E04596}" name="incident_city" dataDxfId="102"/>
    <tableColumn id="25" xr3:uid="{C26546D0-F23C-4223-86E5-A0793A765166}" name="incident_location" dataDxfId="101"/>
    <tableColumn id="26" xr3:uid="{9E855F2C-7B0B-48FF-8986-EC023FE14497}" name="incident_hour_of_the_day" dataDxfId="100"/>
    <tableColumn id="27" xr3:uid="{F1050D45-271F-4290-8B3C-A922FCF5F0F7}" name="number_of_vehicles_involved" dataDxfId="99"/>
    <tableColumn id="28" xr3:uid="{EE752E29-1CEC-45B1-A1FD-E03638CA72E1}" name="property_damage" dataDxfId="98"/>
    <tableColumn id="29" xr3:uid="{7A941CF6-179A-4959-953F-BF70A9B5F09B}" name="bodily_injuries" dataDxfId="97"/>
    <tableColumn id="30" xr3:uid="{F767F240-7FC7-41A4-A843-801132A9EB34}" name="witnesses" dataDxfId="96"/>
    <tableColumn id="31" xr3:uid="{052B4848-A011-4496-B194-94377065CDDD}" name="police_report_available" dataDxfId="95"/>
    <tableColumn id="32" xr3:uid="{732D3331-79D4-439A-B083-255C92AAE61E}" name="total_claim_amount" dataDxfId="94"/>
    <tableColumn id="33" xr3:uid="{4F1C9C05-A334-4E96-BBBD-0B0EB030CEF2}" name="injury_claim" dataDxfId="93"/>
    <tableColumn id="34" xr3:uid="{B38D858F-6FFA-44AA-863A-4E6F5D587062}" name="property_claim" dataDxfId="92"/>
    <tableColumn id="35" xr3:uid="{47E9E7B5-857B-4586-B72F-D6F6D5E7FCD4}" name="vehicle_claim" dataDxfId="91"/>
    <tableColumn id="36" xr3:uid="{AF4AB40E-9994-4887-B3FD-8AB4D9A477E6}" name="auto_make" dataDxfId="90"/>
    <tableColumn id="37" xr3:uid="{C3A2D7B3-94F9-403E-8551-503FD6E3D132}" name="auto_model" dataDxfId="89"/>
    <tableColumn id="38" xr3:uid="{D67E4680-47DD-4A3B-8C52-C6DE16BE3BCF}" name="auto_year" dataDxfId="88"/>
    <tableColumn id="39" xr3:uid="{4834C9E5-D62F-4441-9EA6-3B8FAD2532BA}" name="fraud_reported" dataDxfId="87"/>
    <tableColumn id="41" xr3:uid="{0856292D-23C7-42C8-B2C0-3E83B0098C42}" name="Count Blank" dataDxfId="86">
      <calculatedColumnFormula>COUNTBLANK(Table1[[#This Row],[months_as_customer]:[fraud_reported]])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199" workbookViewId="0">
      <selection activeCell="C232" sqref="C232"/>
    </sheetView>
  </sheetViews>
  <sheetFormatPr defaultColWidth="12.5703125" defaultRowHeight="15.75" customHeight="1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E749-3860-4AB6-93ED-153710A98367}">
  <sheetPr>
    <outlinePr summaryBelow="0" summaryRight="0"/>
  </sheetPr>
  <dimension ref="A1:AO1007"/>
  <sheetViews>
    <sheetView tabSelected="1" zoomScale="90" zoomScaleNormal="90" workbookViewId="0"/>
  </sheetViews>
  <sheetFormatPr defaultColWidth="12.42578125" defaultRowHeight="15.75" customHeight="1" x14ac:dyDescent="0.2"/>
  <cols>
    <col min="1" max="1" width="15.42578125" bestFit="1" customWidth="1"/>
    <col min="2" max="2" width="24.140625" bestFit="1" customWidth="1"/>
    <col min="3" max="3" width="10.42578125" bestFit="1" customWidth="1"/>
    <col min="4" max="4" width="17.28515625" bestFit="1" customWidth="1"/>
    <col min="5" max="5" width="19.140625" bestFit="1" customWidth="1"/>
    <col min="6" max="6" width="14.7109375" bestFit="1" customWidth="1"/>
    <col min="7" max="7" width="12.85546875" bestFit="1" customWidth="1"/>
    <col min="8" max="8" width="20.28515625" bestFit="1" customWidth="1"/>
    <col min="9" max="9" width="25.7109375" bestFit="1" customWidth="1"/>
    <col min="10" max="10" width="16.7109375" bestFit="1" customWidth="1"/>
    <col min="11" max="12" width="15" bestFit="1" customWidth="1"/>
    <col min="13" max="13" width="26.140625" bestFit="1" customWidth="1"/>
    <col min="14" max="14" width="21.85546875" bestFit="1" customWidth="1"/>
    <col min="15" max="15" width="19" bestFit="1" customWidth="1"/>
    <col min="16" max="16" width="22.7109375" bestFit="1" customWidth="1"/>
    <col min="17" max="17" width="15.42578125" bestFit="1" customWidth="1"/>
    <col min="18" max="18" width="14.5703125" bestFit="1" customWidth="1"/>
    <col min="19" max="19" width="16" bestFit="1" customWidth="1"/>
    <col min="20" max="20" width="22.140625" bestFit="1" customWidth="1"/>
    <col min="21" max="21" width="16.140625" bestFit="1" customWidth="1"/>
    <col min="22" max="22" width="19.28515625" bestFit="1" customWidth="1"/>
    <col min="23" max="23" width="24" bestFit="1" customWidth="1"/>
    <col min="24" max="24" width="16.5703125" bestFit="1" customWidth="1"/>
    <col min="25" max="25" width="15.140625" bestFit="1" customWidth="1"/>
    <col min="26" max="26" width="25.42578125" bestFit="1" customWidth="1"/>
    <col min="27" max="27" width="27.7109375" bestFit="1" customWidth="1"/>
    <col min="28" max="28" width="31.28515625" bestFit="1" customWidth="1"/>
    <col min="29" max="29" width="20" bestFit="1" customWidth="1"/>
    <col min="30" max="30" width="16.85546875" bestFit="1" customWidth="1"/>
    <col min="31" max="31" width="13.140625" bestFit="1" customWidth="1"/>
    <col min="32" max="32" width="25.28515625" bestFit="1" customWidth="1"/>
    <col min="33" max="33" width="22" bestFit="1" customWidth="1"/>
    <col min="34" max="34" width="14.7109375" bestFit="1" customWidth="1"/>
    <col min="35" max="35" width="17.5703125" bestFit="1" customWidth="1"/>
    <col min="36" max="36" width="16.140625" bestFit="1" customWidth="1"/>
    <col min="37" max="37" width="14" bestFit="1" customWidth="1"/>
    <col min="38" max="38" width="15.85546875" bestFit="1" customWidth="1"/>
    <col min="39" max="39" width="12.85546875" bestFit="1" customWidth="1"/>
    <col min="40" max="40" width="17.5703125" bestFit="1" customWidth="1"/>
    <col min="41" max="41" width="14.5703125" bestFit="1" customWidth="1"/>
  </cols>
  <sheetData>
    <row r="1" spans="1:41" ht="15.75" customHeight="1" x14ac:dyDescent="0.2">
      <c r="A1" t="s">
        <v>1185</v>
      </c>
      <c r="B1" s="5">
        <f>MIN(Table1[months_as_customer])</f>
        <v>0</v>
      </c>
      <c r="C1" s="5">
        <f>MIN(Table1[age])</f>
        <v>19</v>
      </c>
      <c r="D1" s="5">
        <f>MIN(Table1[policy_number])</f>
        <v>100804</v>
      </c>
      <c r="E1" s="6">
        <f>MIN(Table1[policy_bind_date])</f>
        <v>32881</v>
      </c>
      <c r="F1" s="5">
        <f>MIN(Table1[policy_state])</f>
        <v>0</v>
      </c>
      <c r="G1" s="5">
        <f>MIN(Table1[policy_csl])</f>
        <v>0</v>
      </c>
      <c r="H1" s="5">
        <f>MIN(Table1[policy_deductable])</f>
        <v>500</v>
      </c>
      <c r="I1" s="5">
        <f>MIN(Table1[policy_annual_premium])</f>
        <v>433.33</v>
      </c>
      <c r="J1" s="5">
        <f>MIN(Table1[umbrella_limit])</f>
        <v>0</v>
      </c>
      <c r="K1" s="5">
        <f>MIN(Table1[insured_zip])</f>
        <v>430104</v>
      </c>
      <c r="L1" s="5">
        <f>MIN(Table1[insured_sex])</f>
        <v>0</v>
      </c>
      <c r="M1" s="5">
        <f>MIN(Table1[insured_education_level])</f>
        <v>0</v>
      </c>
      <c r="N1" s="5">
        <f>MIN(Table1[insured_occupation])</f>
        <v>0</v>
      </c>
      <c r="O1" s="5">
        <f>MIN(Table1[insured_hobbies])</f>
        <v>0</v>
      </c>
      <c r="P1" s="5">
        <f>MIN(Table1[insured_relationship])</f>
        <v>0</v>
      </c>
      <c r="Q1" s="5">
        <f>MIN(Table1[capital-gains])</f>
        <v>0</v>
      </c>
      <c r="R1" s="5">
        <f>MIN(Table1[capital-loss])</f>
        <v>-111100</v>
      </c>
      <c r="S1" s="6">
        <f>MIN(Table1[incident_date])</f>
        <v>42005</v>
      </c>
      <c r="T1" s="5">
        <f>MIN(Table1[incident_type])</f>
        <v>0</v>
      </c>
      <c r="U1" s="5">
        <f>MIN(Table1[collision_type])</f>
        <v>0</v>
      </c>
      <c r="V1" s="5">
        <f>MIN(Table1[incident_severity])</f>
        <v>0</v>
      </c>
      <c r="W1" s="5">
        <f>MIN(Table1[authorities_contacted])</f>
        <v>0</v>
      </c>
      <c r="X1" s="5">
        <f>MIN(Table1[incident_state])</f>
        <v>0</v>
      </c>
      <c r="Y1" s="5">
        <f>MIN(Table1[incident_city])</f>
        <v>0</v>
      </c>
      <c r="Z1" s="5">
        <f>MIN(Table1[incident_location])</f>
        <v>0</v>
      </c>
      <c r="AA1" s="5">
        <f>MIN(Table1[incident_hour_of_the_day])</f>
        <v>0</v>
      </c>
      <c r="AB1" s="5">
        <f>MIN(Table1[number_of_vehicles_involved])</f>
        <v>1</v>
      </c>
      <c r="AC1" s="5">
        <f>MIN(Table1[property_damage])</f>
        <v>0</v>
      </c>
      <c r="AD1" s="5">
        <f>MIN(Table1[bodily_injuries])</f>
        <v>0</v>
      </c>
      <c r="AE1" s="5">
        <f>MIN(Table1[witnesses])</f>
        <v>0</v>
      </c>
      <c r="AF1" s="5">
        <f>MIN(Table1[police_report_available])</f>
        <v>0</v>
      </c>
      <c r="AG1" s="5">
        <f>MIN(Table1[total_claim_amount])</f>
        <v>100</v>
      </c>
      <c r="AH1" s="5">
        <f>MIN(Table1[injury_claim])</f>
        <v>0</v>
      </c>
      <c r="AI1" s="5">
        <f>MIN(Table1[property_claim])</f>
        <v>0</v>
      </c>
      <c r="AJ1" s="5">
        <f>MIN(Table1[vehicle_claim])</f>
        <v>70</v>
      </c>
      <c r="AK1" s="5">
        <f>MIN(Table1[auto_make])</f>
        <v>0</v>
      </c>
      <c r="AL1" s="5">
        <f>MIN(Table1[auto_model])</f>
        <v>93</v>
      </c>
      <c r="AM1" s="5">
        <f>MIN(Table1[auto_year])</f>
        <v>1995</v>
      </c>
      <c r="AN1" s="5">
        <f>MIN(Table1[fraud_reported])</f>
        <v>0</v>
      </c>
      <c r="AO1" s="5">
        <f>MIN(Table1[Count Blank])</f>
        <v>0</v>
      </c>
    </row>
    <row r="2" spans="1:41" ht="15.75" customHeight="1" x14ac:dyDescent="0.2">
      <c r="A2" t="s">
        <v>1186</v>
      </c>
      <c r="B2" s="5">
        <f>MAX(Table1[months_as_customer])</f>
        <v>479</v>
      </c>
      <c r="C2" s="5">
        <f>MAX(Table1[age])</f>
        <v>64</v>
      </c>
      <c r="D2" s="5">
        <f>MAX(Table1[policy_number])</f>
        <v>999435</v>
      </c>
      <c r="E2" s="6">
        <f>MAX(Table1[policy_bind_date])</f>
        <v>42057</v>
      </c>
      <c r="F2" s="5">
        <f>MAX(Table1[policy_state])</f>
        <v>0</v>
      </c>
      <c r="G2" s="5">
        <f>MAX(Table1[policy_csl])</f>
        <v>0</v>
      </c>
      <c r="H2" s="5">
        <f>MAX(Table1[policy_deductable])</f>
        <v>2000</v>
      </c>
      <c r="I2" s="5">
        <f>MAX(Table1[policy_annual_premium])</f>
        <v>2047.59</v>
      </c>
      <c r="J2" s="5">
        <f>MAX(Table1[umbrella_limit])</f>
        <v>10000000</v>
      </c>
      <c r="K2" s="5">
        <f>MAX(Table1[insured_zip])</f>
        <v>620962</v>
      </c>
      <c r="L2" s="5">
        <f>MAX(Table1[insured_sex])</f>
        <v>0</v>
      </c>
      <c r="M2" s="5">
        <f>MAX(Table1[insured_education_level])</f>
        <v>0</v>
      </c>
      <c r="N2" s="5">
        <f>MAX(Table1[insured_occupation])</f>
        <v>0</v>
      </c>
      <c r="O2" s="5">
        <f>MAX(Table1[insured_hobbies])</f>
        <v>0</v>
      </c>
      <c r="P2" s="5">
        <f>MAX(Table1[insured_relationship])</f>
        <v>0</v>
      </c>
      <c r="Q2" s="5">
        <f>MAX(Table1[capital-gains])</f>
        <v>100500</v>
      </c>
      <c r="R2" s="5">
        <f>MAX(Table1[capital-loss])</f>
        <v>0</v>
      </c>
      <c r="S2" s="6">
        <f>MAX(Table1[incident_date])</f>
        <v>42064</v>
      </c>
      <c r="T2" s="5">
        <f>MAX(Table1[incident_type])</f>
        <v>0</v>
      </c>
      <c r="U2" s="5">
        <f>MAX(Table1[collision_type])</f>
        <v>0</v>
      </c>
      <c r="V2" s="5">
        <f>MAX(Table1[incident_severity])</f>
        <v>0</v>
      </c>
      <c r="W2" s="5">
        <f>MAX(Table1[authorities_contacted])</f>
        <v>0</v>
      </c>
      <c r="X2" s="5">
        <f>MAX(Table1[incident_state])</f>
        <v>0</v>
      </c>
      <c r="Y2" s="5">
        <f>MAX(Table1[incident_city])</f>
        <v>0</v>
      </c>
      <c r="Z2" s="5">
        <f>MAX(Table1[incident_location])</f>
        <v>0</v>
      </c>
      <c r="AA2" s="5">
        <f>MAX(Table1[incident_hour_of_the_day])</f>
        <v>23</v>
      </c>
      <c r="AB2" s="5">
        <f>MAX(Table1[number_of_vehicles_involved])</f>
        <v>4</v>
      </c>
      <c r="AC2" s="5">
        <f>MAX(Table1[property_damage])</f>
        <v>0</v>
      </c>
      <c r="AD2" s="5">
        <f>MAX(Table1[bodily_injuries])</f>
        <v>2</v>
      </c>
      <c r="AE2" s="5">
        <f>MAX(Table1[witnesses])</f>
        <v>3</v>
      </c>
      <c r="AF2" s="5">
        <f>MAX(Table1[police_report_available])</f>
        <v>0</v>
      </c>
      <c r="AG2" s="5">
        <f>MAX(Table1[total_claim_amount])</f>
        <v>114920</v>
      </c>
      <c r="AH2" s="5">
        <f>MAX(Table1[injury_claim])</f>
        <v>21450</v>
      </c>
      <c r="AI2" s="5">
        <f>MAX(Table1[property_claim])</f>
        <v>23670</v>
      </c>
      <c r="AJ2" s="5">
        <f>MAX(Table1[vehicle_claim])</f>
        <v>79560</v>
      </c>
      <c r="AK2" s="5">
        <f>MAX(Table1[auto_make])</f>
        <v>0</v>
      </c>
      <c r="AL2" s="5">
        <f>MAX(Table1[auto_model])</f>
        <v>95</v>
      </c>
      <c r="AM2" s="5">
        <f>MAX(Table1[auto_year])</f>
        <v>2015</v>
      </c>
      <c r="AN2" s="5">
        <f>MAX(Table1[fraud_reported])</f>
        <v>0</v>
      </c>
      <c r="AO2" s="5">
        <f>MAX(Table1[Count Blank])</f>
        <v>0</v>
      </c>
    </row>
    <row r="3" spans="1:41" ht="15.75" customHeight="1" x14ac:dyDescent="0.2">
      <c r="A3" t="s">
        <v>1187</v>
      </c>
      <c r="B3" s="5">
        <f>MEDIAN(Table1[months_as_customer])</f>
        <v>200</v>
      </c>
      <c r="C3" s="5">
        <f>MEDIAN(Table1[age])</f>
        <v>38</v>
      </c>
      <c r="D3" s="5">
        <f>MEDIAN(Table1[policy_number])</f>
        <v>532330</v>
      </c>
      <c r="E3" s="6">
        <f>MEDIAN(Table1[policy_bind_date])</f>
        <v>37347</v>
      </c>
      <c r="F3" s="5" t="e">
        <f>MEDIAN(Table1[policy_state])</f>
        <v>#NUM!</v>
      </c>
      <c r="G3" s="5" t="e">
        <f>MEDIAN(Table1[policy_csl])</f>
        <v>#NUM!</v>
      </c>
      <c r="H3" s="5">
        <f>MEDIAN(Table1[policy_deductable])</f>
        <v>1000</v>
      </c>
      <c r="I3" s="5">
        <f>MEDIAN(Table1[policy_annual_premium])</f>
        <v>1257.83</v>
      </c>
      <c r="J3" s="5">
        <f>MEDIAN(Table1[umbrella_limit])</f>
        <v>0</v>
      </c>
      <c r="K3" s="5">
        <f>MEDIAN(Table1[insured_zip])</f>
        <v>466393</v>
      </c>
      <c r="L3" s="5" t="e">
        <f>MEDIAN(Table1[insured_sex])</f>
        <v>#NUM!</v>
      </c>
      <c r="M3" s="5" t="e">
        <f>MEDIAN(Table1[insured_education_level])</f>
        <v>#NUM!</v>
      </c>
      <c r="N3" s="5" t="e">
        <f>MEDIAN(Table1[insured_occupation])</f>
        <v>#NUM!</v>
      </c>
      <c r="O3" s="5" t="e">
        <f>MEDIAN(Table1[insured_hobbies])</f>
        <v>#NUM!</v>
      </c>
      <c r="P3" s="5" t="e">
        <f>MEDIAN(Table1[insured_relationship])</f>
        <v>#NUM!</v>
      </c>
      <c r="Q3" s="5">
        <f>MEDIAN(Table1[capital-gains])</f>
        <v>0</v>
      </c>
      <c r="R3" s="5">
        <f>MEDIAN(Table1[capital-loss])</f>
        <v>-24100</v>
      </c>
      <c r="S3" s="6">
        <f>MEDIAN(Table1[incident_date])</f>
        <v>42035</v>
      </c>
      <c r="T3" s="5" t="e">
        <f>MEDIAN(Table1[incident_type])</f>
        <v>#NUM!</v>
      </c>
      <c r="U3" s="5" t="e">
        <f>MEDIAN(Table1[collision_type])</f>
        <v>#NUM!</v>
      </c>
      <c r="V3" s="5" t="e">
        <f>MEDIAN(Table1[incident_severity])</f>
        <v>#NUM!</v>
      </c>
      <c r="W3" s="5" t="e">
        <f>MEDIAN(Table1[authorities_contacted])</f>
        <v>#NUM!</v>
      </c>
      <c r="X3" s="5" t="e">
        <f>MEDIAN(Table1[incident_state])</f>
        <v>#NUM!</v>
      </c>
      <c r="Y3" s="5" t="e">
        <f>MEDIAN(Table1[incident_city])</f>
        <v>#NUM!</v>
      </c>
      <c r="Z3" s="5" t="e">
        <f>MEDIAN(Table1[incident_location])</f>
        <v>#NUM!</v>
      </c>
      <c r="AA3" s="5">
        <f>MEDIAN(Table1[incident_hour_of_the_day])</f>
        <v>12</v>
      </c>
      <c r="AB3" s="5">
        <f>MEDIAN(Table1[number_of_vehicles_involved])</f>
        <v>1</v>
      </c>
      <c r="AC3" s="5" t="e">
        <f>MEDIAN(Table1[property_damage])</f>
        <v>#NUM!</v>
      </c>
      <c r="AD3" s="5">
        <f>MEDIAN(Table1[bodily_injuries])</f>
        <v>1</v>
      </c>
      <c r="AE3" s="5">
        <f>MEDIAN(Table1[witnesses])</f>
        <v>1</v>
      </c>
      <c r="AF3" s="5" t="e">
        <f>MEDIAN(Table1[police_report_available])</f>
        <v>#NUM!</v>
      </c>
      <c r="AG3" s="5">
        <f>MEDIAN(Table1[total_claim_amount])</f>
        <v>57970</v>
      </c>
      <c r="AH3" s="5">
        <f>MEDIAN(Table1[injury_claim])</f>
        <v>6770</v>
      </c>
      <c r="AI3" s="5">
        <f>MEDIAN(Table1[property_claim])</f>
        <v>6750</v>
      </c>
      <c r="AJ3" s="5">
        <f>MEDIAN(Table1[vehicle_claim])</f>
        <v>42080</v>
      </c>
      <c r="AK3" s="5" t="e">
        <f>MEDIAN(Table1[auto_make])</f>
        <v>#NUM!</v>
      </c>
      <c r="AL3" s="5">
        <f>MEDIAN(Table1[auto_model])</f>
        <v>95</v>
      </c>
      <c r="AM3" s="5">
        <f>MEDIAN(Table1[auto_year])</f>
        <v>2005</v>
      </c>
      <c r="AN3" s="5" t="e">
        <f>MEDIAN(Table1[fraud_reported])</f>
        <v>#NUM!</v>
      </c>
      <c r="AO3" s="5">
        <f>MEDIAN(Table1[Count Blank])</f>
        <v>0</v>
      </c>
    </row>
    <row r="4" spans="1:41" ht="15.75" customHeight="1" x14ac:dyDescent="0.2">
      <c r="A4" t="s">
        <v>1188</v>
      </c>
      <c r="B4" s="5">
        <f>MODE(Table1[months_as_customer])</f>
        <v>194</v>
      </c>
      <c r="C4" s="5">
        <f>MODE(Table1[age])</f>
        <v>43</v>
      </c>
      <c r="D4" s="5" t="e">
        <f>MODE(Table1[policy_number])</f>
        <v>#N/A</v>
      </c>
      <c r="E4" s="6">
        <f>MODE(Table1[policy_bind_date])</f>
        <v>38718</v>
      </c>
      <c r="F4" s="5" t="e">
        <f>MODE(Table1[policy_state])</f>
        <v>#N/A</v>
      </c>
      <c r="G4" s="5" t="e">
        <f>MODE(Table1[policy_csl])</f>
        <v>#N/A</v>
      </c>
      <c r="H4" s="5">
        <f>MODE(Table1[policy_deductable])</f>
        <v>1000</v>
      </c>
      <c r="I4" s="5">
        <f>MODE(Table1[policy_annual_premium])</f>
        <v>1215.3599999999999</v>
      </c>
      <c r="J4" s="5">
        <f>MODE(Table1[umbrella_limit])</f>
        <v>0</v>
      </c>
      <c r="K4" s="5">
        <f>MODE(Table1[insured_zip])</f>
        <v>446895</v>
      </c>
      <c r="L4" s="5" t="e">
        <f>MODE(Table1[insured_sex])</f>
        <v>#N/A</v>
      </c>
      <c r="M4" s="5" t="e">
        <f>MODE(Table1[insured_education_level])</f>
        <v>#N/A</v>
      </c>
      <c r="N4" s="5" t="e">
        <f>MODE(Table1[insured_occupation])</f>
        <v>#N/A</v>
      </c>
      <c r="O4" s="5" t="e">
        <f>MODE(Table1[insured_hobbies])</f>
        <v>#N/A</v>
      </c>
      <c r="P4" s="5" t="e">
        <f>MODE(Table1[insured_relationship])</f>
        <v>#N/A</v>
      </c>
      <c r="Q4" s="5">
        <f>MODE(Table1[capital-gains])</f>
        <v>0</v>
      </c>
      <c r="R4" s="5">
        <f>MODE(Table1[capital-loss])</f>
        <v>0</v>
      </c>
      <c r="S4" s="6">
        <f>MODE(Table1[incident_date])</f>
        <v>42037</v>
      </c>
      <c r="T4" s="5" t="e">
        <f>MODE(Table1[incident_type])</f>
        <v>#N/A</v>
      </c>
      <c r="U4" s="5" t="e">
        <f>MODE(Table1[collision_type])</f>
        <v>#N/A</v>
      </c>
      <c r="V4" s="5" t="e">
        <f>MODE(Table1[incident_severity])</f>
        <v>#N/A</v>
      </c>
      <c r="W4" s="5" t="e">
        <f>MODE(Table1[authorities_contacted])</f>
        <v>#N/A</v>
      </c>
      <c r="X4" s="5" t="e">
        <f>MODE(Table1[incident_state])</f>
        <v>#N/A</v>
      </c>
      <c r="Y4" s="5" t="e">
        <f>MODE(Table1[incident_city])</f>
        <v>#N/A</v>
      </c>
      <c r="Z4" s="5" t="e">
        <f>MODE(Table1[incident_location])</f>
        <v>#N/A</v>
      </c>
      <c r="AA4" s="5">
        <f>MODE(Table1[incident_hour_of_the_day])</f>
        <v>17</v>
      </c>
      <c r="AB4" s="5">
        <f>MODE(Table1[number_of_vehicles_involved])</f>
        <v>1</v>
      </c>
      <c r="AC4" s="5" t="e">
        <f>MODE(Table1[property_damage])</f>
        <v>#N/A</v>
      </c>
      <c r="AD4" s="5">
        <f>MODE(Table1[bodily_injuries])</f>
        <v>0</v>
      </c>
      <c r="AE4" s="5">
        <f>MODE(Table1[witnesses])</f>
        <v>1</v>
      </c>
      <c r="AF4" s="5" t="e">
        <f>MODE(Table1[police_report_available])</f>
        <v>#N/A</v>
      </c>
      <c r="AG4" s="5">
        <f>MODE(Table1[total_claim_amount])</f>
        <v>59400</v>
      </c>
      <c r="AH4" s="5">
        <f>MODE(Table1[injury_claim])</f>
        <v>0</v>
      </c>
      <c r="AI4" s="5">
        <f>MODE(Table1[property_claim])</f>
        <v>0</v>
      </c>
      <c r="AJ4" s="5">
        <f>MODE(Table1[vehicle_claim])</f>
        <v>5040</v>
      </c>
      <c r="AK4" s="5" t="e">
        <f>MODE(Table1[auto_make])</f>
        <v>#N/A</v>
      </c>
      <c r="AL4" s="5">
        <f>MODE(Table1[auto_model])</f>
        <v>95</v>
      </c>
      <c r="AM4" s="5">
        <f>MODE(Table1[auto_year])</f>
        <v>1995</v>
      </c>
      <c r="AN4" s="5" t="e">
        <f>MODE(Table1[fraud_reported])</f>
        <v>#N/A</v>
      </c>
      <c r="AO4" s="5">
        <f>MODE(Table1[Count Blank])</f>
        <v>0</v>
      </c>
    </row>
    <row r="5" spans="1:41" ht="15.75" customHeight="1" x14ac:dyDescent="0.2">
      <c r="A5" t="s">
        <v>1189</v>
      </c>
      <c r="B5" s="11">
        <f>AVERAGE(Table1[months_as_customer])</f>
        <v>204.15015015015015</v>
      </c>
      <c r="C5" s="11">
        <f>AVERAGE(Table1[age])</f>
        <v>38.964964964964963</v>
      </c>
      <c r="D5" s="11">
        <f>AVERAGE(Table1[policy_number])</f>
        <v>546085.68968968967</v>
      </c>
      <c r="E5" s="6">
        <f>AVERAGE(Table1[policy_bind_date])</f>
        <v>37290.872872872875</v>
      </c>
      <c r="F5" s="11" t="e">
        <f>AVERAGE(Table1[policy_state])</f>
        <v>#DIV/0!</v>
      </c>
      <c r="G5" s="11" t="e">
        <f>AVERAGE(Table1[policy_csl])</f>
        <v>#DIV/0!</v>
      </c>
      <c r="H5" s="11">
        <f>AVERAGE(Table1[policy_deductable])</f>
        <v>1133.1331331331332</v>
      </c>
      <c r="I5" s="11">
        <f>AVERAGE(Table1[policy_annual_premium])</f>
        <v>1256.8309442776128</v>
      </c>
      <c r="J5" s="11">
        <f>AVERAGE(Table1[umbrella_limit])</f>
        <v>1104104.1041041042</v>
      </c>
      <c r="K5" s="11">
        <f>AVERAGE(Table1[insured_zip])</f>
        <v>501101.60760760761</v>
      </c>
      <c r="L5" s="11" t="e">
        <f>AVERAGE(Table1[insured_sex])</f>
        <v>#DIV/0!</v>
      </c>
      <c r="M5" s="11" t="e">
        <f>AVERAGE(Table1[insured_education_level])</f>
        <v>#DIV/0!</v>
      </c>
      <c r="N5" s="11" t="e">
        <f>AVERAGE(Table1[insured_occupation])</f>
        <v>#DIV/0!</v>
      </c>
      <c r="O5" s="11" t="e">
        <f>AVERAGE(Table1[insured_hobbies])</f>
        <v>#DIV/0!</v>
      </c>
      <c r="P5" s="11" t="e">
        <f>AVERAGE(Table1[insured_relationship])</f>
        <v>#DIV/0!</v>
      </c>
      <c r="Q5" s="11">
        <f>AVERAGE(Table1[capital-gains])</f>
        <v>25171.223223223224</v>
      </c>
      <c r="R5" s="11">
        <f>AVERAGE(Table1[capital-loss])</f>
        <v>-26820.52052052052</v>
      </c>
      <c r="S5" s="11">
        <f>AVERAGE(Table1[incident_date])</f>
        <v>42034.356356356358</v>
      </c>
      <c r="T5" s="11" t="e">
        <f>AVERAGE(Table1[incident_type])</f>
        <v>#DIV/0!</v>
      </c>
      <c r="U5" s="11" t="e">
        <f>AVERAGE(Table1[collision_type])</f>
        <v>#DIV/0!</v>
      </c>
      <c r="V5" s="11" t="e">
        <f>AVERAGE(Table1[incident_severity])</f>
        <v>#DIV/0!</v>
      </c>
      <c r="W5" s="11" t="e">
        <f>AVERAGE(Table1[authorities_contacted])</f>
        <v>#DIV/0!</v>
      </c>
      <c r="X5" s="11" t="e">
        <f>AVERAGE(Table1[incident_state])</f>
        <v>#DIV/0!</v>
      </c>
      <c r="Y5" s="11" t="e">
        <f>AVERAGE(Table1[incident_city])</f>
        <v>#DIV/0!</v>
      </c>
      <c r="Z5" s="11" t="e">
        <f>AVERAGE(Table1[incident_location])</f>
        <v>#DIV/0!</v>
      </c>
      <c r="AA5" s="11">
        <f>AVERAGE(Table1[incident_hour_of_the_day])</f>
        <v>11.63963963963964</v>
      </c>
      <c r="AB5" s="11">
        <f>AVERAGE(Table1[number_of_vehicles_involved])</f>
        <v>1.8378378378378379</v>
      </c>
      <c r="AC5" s="11" t="e">
        <f>AVERAGE(Table1[property_damage])</f>
        <v>#DIV/0!</v>
      </c>
      <c r="AD5" s="11">
        <f>AVERAGE(Table1[bodily_injuries])</f>
        <v>0.99199199199199195</v>
      </c>
      <c r="AE5" s="11">
        <f>AVERAGE(Table1[witnesses])</f>
        <v>1.4854854854854855</v>
      </c>
      <c r="AF5" s="11" t="e">
        <f>AVERAGE(Table1[police_report_available])</f>
        <v>#DIV/0!</v>
      </c>
      <c r="AG5" s="11">
        <f>AVERAGE(Table1[total_claim_amount])</f>
        <v>52743.183183183181</v>
      </c>
      <c r="AH5" s="11">
        <f>AVERAGE(Table1[injury_claim])</f>
        <v>7424.3443443443448</v>
      </c>
      <c r="AI5" s="11">
        <f>AVERAGE(Table1[property_claim])</f>
        <v>7395.9659659659656</v>
      </c>
      <c r="AJ5" s="11">
        <f>AVERAGE(Table1[vehicle_claim])</f>
        <v>37922.872872872875</v>
      </c>
      <c r="AK5" s="11" t="e">
        <f>AVERAGE(Table1[auto_make])</f>
        <v>#DIV/0!</v>
      </c>
      <c r="AL5" s="11">
        <f>AVERAGE(Table1[auto_model])</f>
        <v>94.038461538461533</v>
      </c>
      <c r="AM5" s="11">
        <f>AVERAGE(Table1[auto_year])</f>
        <v>2005.1021021021022</v>
      </c>
      <c r="AN5" s="11" t="e">
        <f>AVERAGE(Table1[fraud_reported])</f>
        <v>#DIV/0!</v>
      </c>
      <c r="AO5" s="11">
        <f>AVERAGE(Table1[Count Blank])</f>
        <v>0</v>
      </c>
    </row>
    <row r="6" spans="1:41" ht="15.75" customHeight="1" x14ac:dyDescent="0.2">
      <c r="A6" s="10" t="s">
        <v>1193</v>
      </c>
      <c r="B6">
        <f>COUNTBLANK(Table1[months_as_customer])</f>
        <v>0</v>
      </c>
      <c r="C6">
        <f>COUNTBLANK(Table1[age])</f>
        <v>0</v>
      </c>
      <c r="D6">
        <f>COUNTBLANK(Table1[policy_number])</f>
        <v>0</v>
      </c>
      <c r="E6">
        <f>COUNTBLANK(Table1[policy_bind_date])</f>
        <v>0</v>
      </c>
      <c r="F6">
        <f>COUNTBLANK(Table1[policy_state])</f>
        <v>0</v>
      </c>
      <c r="G6">
        <f>COUNTBLANK(Table1[policy_csl])</f>
        <v>0</v>
      </c>
      <c r="H6">
        <f>COUNTBLANK(Table1[policy_deductable])</f>
        <v>0</v>
      </c>
      <c r="I6">
        <f>COUNTBLANK(Table1[policy_annual_premium])</f>
        <v>0</v>
      </c>
      <c r="J6">
        <f>COUNTBLANK(Table1[umbrella_limit])</f>
        <v>0</v>
      </c>
      <c r="K6">
        <f>COUNTBLANK(Table1[insured_zip])</f>
        <v>0</v>
      </c>
      <c r="L6">
        <f>COUNTBLANK(Table1[insured_sex])</f>
        <v>0</v>
      </c>
      <c r="M6">
        <f>COUNTBLANK(Table1[insured_education_level])</f>
        <v>0</v>
      </c>
      <c r="N6">
        <f>COUNTBLANK(Table1[insured_occupation])</f>
        <v>0</v>
      </c>
      <c r="O6">
        <f>COUNTBLANK(Table1[insured_hobbies])</f>
        <v>0</v>
      </c>
      <c r="P6">
        <f>COUNTBLANK(Table1[insured_relationship])</f>
        <v>0</v>
      </c>
      <c r="Q6">
        <f>COUNTBLANK(Table1[capital-gains])</f>
        <v>0</v>
      </c>
      <c r="R6">
        <f>COUNTBLANK(Table1[capital-loss])</f>
        <v>0</v>
      </c>
      <c r="S6">
        <f>COUNTBLANK(Table1[incident_date])</f>
        <v>0</v>
      </c>
      <c r="T6">
        <f>COUNTBLANK(Table1[incident_type])</f>
        <v>0</v>
      </c>
      <c r="U6">
        <f>COUNTBLANK(Table1[collision_type])</f>
        <v>0</v>
      </c>
      <c r="V6">
        <f>COUNTBLANK(Table1[incident_severity])</f>
        <v>0</v>
      </c>
      <c r="W6">
        <f>COUNTBLANK(Table1[authorities_contacted])</f>
        <v>0</v>
      </c>
      <c r="X6">
        <f>COUNTBLANK(Table1[incident_state])</f>
        <v>0</v>
      </c>
      <c r="Y6">
        <f>COUNTBLANK(Table1[incident_city])</f>
        <v>0</v>
      </c>
      <c r="Z6">
        <f>COUNTBLANK(Table1[incident_location])</f>
        <v>0</v>
      </c>
      <c r="AA6">
        <f>COUNTBLANK(Table1[incident_hour_of_the_day])</f>
        <v>0</v>
      </c>
      <c r="AB6">
        <f>COUNTBLANK(Table1[number_of_vehicles_involved])</f>
        <v>0</v>
      </c>
      <c r="AC6">
        <f>COUNTBLANK(Table1[property_damage])</f>
        <v>0</v>
      </c>
      <c r="AD6">
        <f>COUNTBLANK(Table1[bodily_injuries])</f>
        <v>0</v>
      </c>
      <c r="AE6">
        <f>COUNTBLANK(Table1[witnesses])</f>
        <v>0</v>
      </c>
      <c r="AF6">
        <f>COUNTBLANK(Table1[police_report_available])</f>
        <v>0</v>
      </c>
      <c r="AG6">
        <f>COUNTBLANK(Table1[total_claim_amount])</f>
        <v>0</v>
      </c>
      <c r="AH6">
        <f>COUNTBLANK(Table1[injury_claim])</f>
        <v>0</v>
      </c>
      <c r="AI6">
        <f>COUNTBLANK(Table1[property_claim])</f>
        <v>0</v>
      </c>
      <c r="AJ6">
        <f>COUNTBLANK(Table1[vehicle_claim])</f>
        <v>0</v>
      </c>
      <c r="AK6">
        <f>COUNTBLANK(Table1[auto_make])</f>
        <v>0</v>
      </c>
      <c r="AL6">
        <f>COUNTBLANK(Table1[auto_model])</f>
        <v>0</v>
      </c>
      <c r="AM6">
        <f>COUNTBLANK(Table1[auto_year])</f>
        <v>0</v>
      </c>
      <c r="AN6">
        <f>COUNTBLANK(Table1[fraud_reported])</f>
        <v>0</v>
      </c>
      <c r="AO6">
        <f>COUNTBLANK(Table1[Count Blank])</f>
        <v>0</v>
      </c>
    </row>
    <row r="7" spans="1:41" ht="15.75" customHeight="1" x14ac:dyDescent="0.2">
      <c r="I7" s="20"/>
      <c r="J7" s="21"/>
    </row>
    <row r="8" spans="1:41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 s="1">
        <f>COUNTBLANK(Table1[[#This Row],[months_as_customer]:[fraud_reported]])</f>
        <v>0</v>
      </c>
    </row>
    <row r="10" spans="1:41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 s="1">
        <f>COUNTBLANK(Table1[[#This Row],[months_as_customer]:[fraud_reported]])</f>
        <v>0</v>
      </c>
    </row>
    <row r="11" spans="1:41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 s="1">
        <f>COUNTBLANK(Table1[[#This Row],[months_as_customer]:[fraud_reported]])</f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0" t="s">
        <v>1200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 s="1">
        <f>COUNTBLANK(Table1[[#This Row],[months_as_customer]:[fraud_reported]])</f>
        <v>0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0" t="s">
        <v>1200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 s="1">
        <f>COUNTBLANK(Table1[[#This Row],[months_as_customer]:[fraud_reported]])</f>
        <v>0</v>
      </c>
    </row>
    <row r="14" spans="1:41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 s="1">
        <f>COUNTBLANK(Table1[[#This Row],[months_as_customer]:[fraud_reported]])</f>
        <v>0</v>
      </c>
    </row>
    <row r="15" spans="1:41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1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 s="1">
        <f>COUNTBLANK(Table1[[#This Row],[months_as_customer]:[fraud_reported]])</f>
        <v>0</v>
      </c>
    </row>
    <row r="16" spans="1:41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 s="1">
        <f>COUNTBLANK(Table1[[#This Row],[months_as_customer]:[fraud_reported]])</f>
        <v>0</v>
      </c>
    </row>
    <row r="17" spans="2:41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 s="1">
        <f>COUNTBLANK(Table1[[#This Row],[months_as_customer]:[fraud_reported]])</f>
        <v>0</v>
      </c>
    </row>
    <row r="18" spans="2:41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 s="1">
        <f>COUNTBLANK(Table1[[#This Row],[months_as_customer]:[fraud_reported]])</f>
        <v>0</v>
      </c>
    </row>
    <row r="19" spans="2:41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 s="1">
        <f>COUNTBLANK(Table1[[#This Row],[months_as_customer]:[fraud_reported]])</f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3">
        <v>1288.6100000000001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0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 s="1">
        <f>COUNTBLANK(Table1[[#This Row],[months_as_customer]:[fraud_reported]])</f>
        <v>0</v>
      </c>
    </row>
    <row r="21" spans="2:41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 s="1">
        <f>COUNTBLANK(Table1[[#This Row],[months_as_customer]:[fraud_reported]])</f>
        <v>0</v>
      </c>
    </row>
    <row r="22" spans="2:41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 s="1">
        <f>COUNTBLANK(Table1[[#This Row],[months_as_customer]:[fraud_reported]])</f>
        <v>0</v>
      </c>
    </row>
    <row r="23" spans="2:41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 s="1">
        <f>COUNTBLANK(Table1[[#This Row],[months_as_customer]:[fraud_reported]])</f>
        <v>0</v>
      </c>
    </row>
    <row r="24" spans="2:41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 s="1">
        <f>COUNTBLANK(Table1[[#This Row],[months_as_customer]:[fraud_reported]])</f>
        <v>0</v>
      </c>
    </row>
    <row r="25" spans="2:41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 s="1">
        <f>COUNTBLANK(Table1[[#This Row],[months_as_customer]:[fraud_reported]])</f>
        <v>0</v>
      </c>
    </row>
    <row r="26" spans="2:41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 s="1">
        <f>COUNTBLANK(Table1[[#This Row],[months_as_customer]:[fraud_reported]])</f>
        <v>0</v>
      </c>
    </row>
    <row r="27" spans="2:41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 s="1">
        <f>COUNTBLANK(Table1[[#This Row],[months_as_customer]:[fraud_reported]])</f>
        <v>0</v>
      </c>
    </row>
    <row r="28" spans="2:41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 s="1">
        <f>COUNTBLANK(Table1[[#This Row],[months_as_customer]:[fraud_reported]])</f>
        <v>0</v>
      </c>
    </row>
    <row r="29" spans="2:41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 s="1">
        <f>COUNTBLANK(Table1[[#This Row],[months_as_customer]:[fraud_reported]])</f>
        <v>0</v>
      </c>
    </row>
    <row r="30" spans="2:41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 s="1">
        <f>COUNTBLANK(Table1[[#This Row],[months_as_customer]:[fraud_reported]])</f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3">
        <v>1401.3300000000002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 s="1">
        <f>COUNTBLANK(Table1[[#This Row],[months_as_customer]:[fraud_reported]])</f>
        <v>0</v>
      </c>
    </row>
    <row r="32" spans="2:41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 s="1">
        <f>COUNTBLANK(Table1[[#This Row],[months_as_customer]:[fraud_reported]])</f>
        <v>0</v>
      </c>
    </row>
    <row r="33" spans="2:41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19952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 s="1">
        <f>COUNTBLANK(Table1[[#This Row],[months_as_customer]:[fraud_reported]])</f>
        <v>0</v>
      </c>
    </row>
    <row r="34" spans="2:41" ht="12.75" x14ac:dyDescent="0.2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 s="1">
        <f>COUNTBLANK(Table1[[#This Row],[months_as_customer]:[fraud_reported]])</f>
        <v>0</v>
      </c>
    </row>
    <row r="35" spans="2:41" ht="12.75" x14ac:dyDescent="0.2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 s="1">
        <f>COUNTBLANK(Table1[[#This Row],[months_as_customer]:[fraud_reported]])</f>
        <v>0</v>
      </c>
    </row>
    <row r="36" spans="2:41" ht="12.75" x14ac:dyDescent="0.2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 s="1">
        <f>COUNTBLANK(Table1[[#This Row],[months_as_customer]:[fraud_reported]])</f>
        <v>0</v>
      </c>
    </row>
    <row r="37" spans="2:41" ht="12.75" x14ac:dyDescent="0.2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 s="1">
        <f>COUNTBLANK(Table1[[#This Row],[months_as_customer]:[fraud_reported]])</f>
        <v>0</v>
      </c>
    </row>
    <row r="38" spans="2:41" ht="12.75" x14ac:dyDescent="0.2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 s="1">
        <f>COUNTBLANK(Table1[[#This Row],[months_as_customer]:[fraud_reported]])</f>
        <v>0</v>
      </c>
    </row>
    <row r="39" spans="2:41" ht="12.75" x14ac:dyDescent="0.2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 s="1">
        <f>COUNTBLANK(Table1[[#This Row],[months_as_customer]:[fraud_reported]])</f>
        <v>0</v>
      </c>
    </row>
    <row r="40" spans="2:41" ht="12.75" x14ac:dyDescent="0.2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 s="1">
        <f>COUNTBLANK(Table1[[#This Row],[months_as_customer]:[fraud_reported]])</f>
        <v>0</v>
      </c>
    </row>
    <row r="41" spans="2:41" ht="12.75" x14ac:dyDescent="0.2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 s="1">
        <f>COUNTBLANK(Table1[[#This Row],[months_as_customer]:[fraud_reported]])</f>
        <v>0</v>
      </c>
    </row>
    <row r="42" spans="2:41" ht="12.75" x14ac:dyDescent="0.2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 s="1">
        <f>COUNTBLANK(Table1[[#This Row],[months_as_customer]:[fraud_reported]])</f>
        <v>0</v>
      </c>
    </row>
    <row r="43" spans="2:41" ht="12.75" x14ac:dyDescent="0.2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 s="1">
        <f>COUNTBLANK(Table1[[#This Row],[months_as_customer]:[fraud_reported]])</f>
        <v>0</v>
      </c>
    </row>
    <row r="44" spans="2:41" ht="12.75" x14ac:dyDescent="0.2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 s="1">
        <f>COUNTBLANK(Table1[[#This Row],[months_as_customer]:[fraud_reported]])</f>
        <v>0</v>
      </c>
    </row>
    <row r="45" spans="2:41" ht="12.75" x14ac:dyDescent="0.2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 s="1">
        <f>COUNTBLANK(Table1[[#This Row],[months_as_customer]:[fraud_reported]])</f>
        <v>0</v>
      </c>
    </row>
    <row r="46" spans="2:41" ht="12.75" x14ac:dyDescent="0.2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 s="1">
        <f>COUNTBLANK(Table1[[#This Row],[months_as_customer]:[fraud_reported]])</f>
        <v>0</v>
      </c>
    </row>
    <row r="47" spans="2:41" ht="12.75" x14ac:dyDescent="0.2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 s="1">
        <f>COUNTBLANK(Table1[[#This Row],[months_as_customer]:[fraud_reported]])</f>
        <v>0</v>
      </c>
    </row>
    <row r="48" spans="2:41" ht="12.75" x14ac:dyDescent="0.2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 s="1">
        <f>COUNTBLANK(Table1[[#This Row],[months_as_customer]:[fraud_reported]])</f>
        <v>0</v>
      </c>
    </row>
    <row r="49" spans="2:41" ht="12.75" x14ac:dyDescent="0.2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 s="1">
        <f>COUNTBLANK(Table1[[#This Row],[months_as_customer]:[fraud_reported]])</f>
        <v>0</v>
      </c>
    </row>
    <row r="50" spans="2:41" ht="12.75" x14ac:dyDescent="0.2">
      <c r="B50" s="1">
        <v>37</v>
      </c>
      <c r="C50"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 s="1">
        <f>COUNTBLANK(Table1[[#This Row],[months_as_customer]:[fraud_reported]])</f>
        <v>0</v>
      </c>
    </row>
    <row r="51" spans="2:41" ht="12.75" x14ac:dyDescent="0.2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 s="1">
        <f>COUNTBLANK(Table1[[#This Row],[months_as_customer]:[fraud_reported]])</f>
        <v>0</v>
      </c>
    </row>
    <row r="52" spans="2:41" ht="12.75" x14ac:dyDescent="0.2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 s="1">
        <f>COUNTBLANK(Table1[[#This Row],[months_as_customer]:[fraud_reported]])</f>
        <v>0</v>
      </c>
    </row>
    <row r="53" spans="2:41" ht="12.75" x14ac:dyDescent="0.2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 s="1">
        <f>COUNTBLANK(Table1[[#This Row],[months_as_customer]:[fraud_reported]])</f>
        <v>0</v>
      </c>
    </row>
    <row r="54" spans="2:41" ht="12.75" x14ac:dyDescent="0.2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 s="1">
        <f>COUNTBLANK(Table1[[#This Row],[months_as_customer]:[fraud_reported]])</f>
        <v>0</v>
      </c>
    </row>
    <row r="55" spans="2:41" ht="12.75" x14ac:dyDescent="0.2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 s="1">
        <f>COUNTBLANK(Table1[[#This Row],[months_as_customer]:[fraud_reported]])</f>
        <v>0</v>
      </c>
    </row>
    <row r="56" spans="2:41" ht="12.75" x14ac:dyDescent="0.2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 s="1">
        <f>COUNTBLANK(Table1[[#This Row],[months_as_customer]:[fraud_reported]])</f>
        <v>0</v>
      </c>
    </row>
    <row r="57" spans="2:41" ht="12.75" x14ac:dyDescent="0.2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 s="1">
        <f>COUNTBLANK(Table1[[#This Row],[months_as_customer]:[fraud_reported]])</f>
        <v>0</v>
      </c>
    </row>
    <row r="58" spans="2:41" ht="12.75" x14ac:dyDescent="0.2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 s="1">
        <f>COUNTBLANK(Table1[[#This Row],[months_as_customer]:[fraud_reported]])</f>
        <v>0</v>
      </c>
    </row>
    <row r="59" spans="2:41" ht="12.75" x14ac:dyDescent="0.2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 s="1">
        <f>COUNTBLANK(Table1[[#This Row],[months_as_customer]:[fraud_reported]])</f>
        <v>0</v>
      </c>
    </row>
    <row r="60" spans="2:41" ht="12.75" x14ac:dyDescent="0.2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 s="1">
        <f>COUNTBLANK(Table1[[#This Row],[months_as_customer]:[fraud_reported]])</f>
        <v>0</v>
      </c>
    </row>
    <row r="61" spans="2:41" ht="12.75" x14ac:dyDescent="0.2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 s="1">
        <f>COUNTBLANK(Table1[[#This Row],[months_as_customer]:[fraud_reported]])</f>
        <v>0</v>
      </c>
    </row>
    <row r="62" spans="2:41" ht="12.75" x14ac:dyDescent="0.2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 s="1">
        <f>COUNTBLANK(Table1[[#This Row],[months_as_customer]:[fraud_reported]])</f>
        <v>0</v>
      </c>
    </row>
    <row r="63" spans="2:41" ht="12.75" x14ac:dyDescent="0.2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 s="1">
        <f>COUNTBLANK(Table1[[#This Row],[months_as_customer]:[fraud_reported]])</f>
        <v>0</v>
      </c>
    </row>
    <row r="64" spans="2:41" ht="12.75" x14ac:dyDescent="0.2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 s="1">
        <f>COUNTBLANK(Table1[[#This Row],[months_as_customer]:[fraud_reported]])</f>
        <v>0</v>
      </c>
    </row>
    <row r="65" spans="2:41" ht="12.75" x14ac:dyDescent="0.2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 s="1">
        <f>COUNTBLANK(Table1[[#This Row],[months_as_customer]:[fraud_reported]])</f>
        <v>0</v>
      </c>
    </row>
    <row r="66" spans="2:41" ht="12.75" x14ac:dyDescent="0.2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 s="1">
        <f>COUNTBLANK(Table1[[#This Row],[months_as_customer]:[fraud_reported]])</f>
        <v>0</v>
      </c>
    </row>
    <row r="67" spans="2:41" ht="12.75" x14ac:dyDescent="0.2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 s="1">
        <f>COUNTBLANK(Table1[[#This Row],[months_as_customer]:[fraud_reported]])</f>
        <v>0</v>
      </c>
    </row>
    <row r="68" spans="2:41" ht="12.75" x14ac:dyDescent="0.2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 s="1">
        <f>COUNTBLANK(Table1[[#This Row],[months_as_customer]:[fraud_reported]])</f>
        <v>0</v>
      </c>
    </row>
    <row r="69" spans="2:41" ht="12.75" x14ac:dyDescent="0.2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 s="1">
        <f>COUNTBLANK(Table1[[#This Row],[months_as_customer]:[fraud_reported]])</f>
        <v>0</v>
      </c>
    </row>
    <row r="70" spans="2:41" ht="12.75" x14ac:dyDescent="0.2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 s="1">
        <f>COUNTBLANK(Table1[[#This Row],[months_as_customer]:[fraud_reported]])</f>
        <v>0</v>
      </c>
    </row>
    <row r="71" spans="2:41" ht="12.75" x14ac:dyDescent="0.2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 s="1">
        <f>COUNTBLANK(Table1[[#This Row],[months_as_customer]:[fraud_reported]])</f>
        <v>0</v>
      </c>
    </row>
    <row r="72" spans="2:41" ht="12.75" x14ac:dyDescent="0.2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 s="1">
        <f>COUNTBLANK(Table1[[#This Row],[months_as_customer]:[fraud_reported]])</f>
        <v>0</v>
      </c>
    </row>
    <row r="73" spans="2:41" ht="12.75" x14ac:dyDescent="0.2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 s="1">
        <f>COUNTBLANK(Table1[[#This Row],[months_as_customer]:[fraud_reported]])</f>
        <v>0</v>
      </c>
    </row>
    <row r="74" spans="2:41" ht="12.75" x14ac:dyDescent="0.2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 s="1">
        <f>COUNTBLANK(Table1[[#This Row],[months_as_customer]:[fraud_reported]])</f>
        <v>0</v>
      </c>
    </row>
    <row r="75" spans="2:41" ht="12.75" x14ac:dyDescent="0.2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 s="1">
        <f>COUNTBLANK(Table1[[#This Row],[months_as_customer]:[fraud_reported]])</f>
        <v>0</v>
      </c>
    </row>
    <row r="76" spans="2:41" ht="12.75" x14ac:dyDescent="0.2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 s="1">
        <f>COUNTBLANK(Table1[[#This Row],[months_as_customer]:[fraud_reported]])</f>
        <v>0</v>
      </c>
    </row>
    <row r="77" spans="2:41" ht="12.75" x14ac:dyDescent="0.2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 s="1">
        <f>COUNTBLANK(Table1[[#This Row],[months_as_customer]:[fraud_reported]])</f>
        <v>0</v>
      </c>
    </row>
    <row r="78" spans="2:41" ht="12.75" x14ac:dyDescent="0.2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 s="1">
        <f>COUNTBLANK(Table1[[#This Row],[months_as_customer]:[fraud_reported]])</f>
        <v>0</v>
      </c>
    </row>
    <row r="79" spans="2:41" ht="12.75" x14ac:dyDescent="0.2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 s="1">
        <f>COUNTBLANK(Table1[[#This Row],[months_as_customer]:[fraud_reported]])</f>
        <v>0</v>
      </c>
    </row>
    <row r="80" spans="2:41" ht="12.75" x14ac:dyDescent="0.2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 s="1">
        <f>COUNTBLANK(Table1[[#This Row],[months_as_customer]:[fraud_reported]])</f>
        <v>0</v>
      </c>
    </row>
    <row r="81" spans="2:41" ht="12.75" x14ac:dyDescent="0.2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 s="1">
        <f>COUNTBLANK(Table1[[#This Row],[months_as_customer]:[fraud_reported]])</f>
        <v>0</v>
      </c>
    </row>
    <row r="82" spans="2:41" ht="12.75" x14ac:dyDescent="0.2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 s="1">
        <f>COUNTBLANK(Table1[[#This Row],[months_as_customer]:[fraud_reported]])</f>
        <v>0</v>
      </c>
    </row>
    <row r="83" spans="2:41" ht="12.75" x14ac:dyDescent="0.2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 s="1">
        <f>COUNTBLANK(Table1[[#This Row],[months_as_customer]:[fraud_reported]])</f>
        <v>0</v>
      </c>
    </row>
    <row r="84" spans="2:41" ht="12.75" x14ac:dyDescent="0.2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 s="1">
        <f>COUNTBLANK(Table1[[#This Row],[months_as_customer]:[fraud_reported]])</f>
        <v>0</v>
      </c>
    </row>
    <row r="85" spans="2:41" ht="12.75" x14ac:dyDescent="0.2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 s="1">
        <f>COUNTBLANK(Table1[[#This Row],[months_as_customer]:[fraud_reported]])</f>
        <v>0</v>
      </c>
    </row>
    <row r="86" spans="2:41" ht="12.75" x14ac:dyDescent="0.2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 s="1">
        <f>COUNTBLANK(Table1[[#This Row],[months_as_customer]:[fraud_reported]])</f>
        <v>0</v>
      </c>
    </row>
    <row r="87" spans="2:41" ht="12.75" x14ac:dyDescent="0.2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 s="1">
        <f>COUNTBLANK(Table1[[#This Row],[months_as_customer]:[fraud_reported]])</f>
        <v>0</v>
      </c>
    </row>
    <row r="88" spans="2:41" ht="12.75" x14ac:dyDescent="0.2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 s="1">
        <f>COUNTBLANK(Table1[[#This Row],[months_as_customer]:[fraud_reported]])</f>
        <v>0</v>
      </c>
    </row>
    <row r="89" spans="2:41" ht="12.75" x14ac:dyDescent="0.2">
      <c r="B89" s="1">
        <v>244</v>
      </c>
      <c r="C89"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 s="1">
        <f>COUNTBLANK(Table1[[#This Row],[months_as_customer]:[fraud_reported]])</f>
        <v>0</v>
      </c>
    </row>
    <row r="90" spans="2:41" ht="12.75" x14ac:dyDescent="0.2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 s="1">
        <f>COUNTBLANK(Table1[[#This Row],[months_as_customer]:[fraud_reported]])</f>
        <v>0</v>
      </c>
    </row>
    <row r="91" spans="2:41" ht="12.75" x14ac:dyDescent="0.2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 s="1">
        <f>COUNTBLANK(Table1[[#This Row],[months_as_customer]:[fraud_reported]])</f>
        <v>0</v>
      </c>
    </row>
    <row r="92" spans="2:41" ht="12.75" x14ac:dyDescent="0.2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 s="1">
        <f>COUNTBLANK(Table1[[#This Row],[months_as_customer]:[fraud_reported]])</f>
        <v>0</v>
      </c>
    </row>
    <row r="93" spans="2:41" ht="12.75" x14ac:dyDescent="0.2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 s="1">
        <f>COUNTBLANK(Table1[[#This Row],[months_as_customer]:[fraud_reported]])</f>
        <v>0</v>
      </c>
    </row>
    <row r="94" spans="2:41" ht="12.75" x14ac:dyDescent="0.2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 s="1">
        <f>COUNTBLANK(Table1[[#This Row],[months_as_customer]:[fraud_reported]])</f>
        <v>0</v>
      </c>
    </row>
    <row r="95" spans="2:41" ht="12.75" x14ac:dyDescent="0.2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 s="1">
        <f>COUNTBLANK(Table1[[#This Row],[months_as_customer]:[fraud_reported]])</f>
        <v>0</v>
      </c>
    </row>
    <row r="96" spans="2:41" ht="12.75" x14ac:dyDescent="0.2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 s="1">
        <f>COUNTBLANK(Table1[[#This Row],[months_as_customer]:[fraud_reported]])</f>
        <v>0</v>
      </c>
    </row>
    <row r="97" spans="2:41" ht="12.75" x14ac:dyDescent="0.2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 s="1">
        <f>COUNTBLANK(Table1[[#This Row],[months_as_customer]:[fraud_reported]])</f>
        <v>0</v>
      </c>
    </row>
    <row r="98" spans="2:41" ht="12.75" x14ac:dyDescent="0.2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 s="1">
        <f>COUNTBLANK(Table1[[#This Row],[months_as_customer]:[fraud_reported]])</f>
        <v>0</v>
      </c>
    </row>
    <row r="99" spans="2:41" ht="12.75" x14ac:dyDescent="0.2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 s="1">
        <f>COUNTBLANK(Table1[[#This Row],[months_as_customer]:[fraud_reported]])</f>
        <v>0</v>
      </c>
    </row>
    <row r="100" spans="2:41" ht="12.75" x14ac:dyDescent="0.2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 s="1">
        <f>COUNTBLANK(Table1[[#This Row],[months_as_customer]:[fraud_reported]])</f>
        <v>0</v>
      </c>
    </row>
    <row r="101" spans="2:41" ht="12.75" x14ac:dyDescent="0.2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 s="1">
        <f>COUNTBLANK(Table1[[#This Row],[months_as_customer]:[fraud_reported]])</f>
        <v>0</v>
      </c>
    </row>
    <row r="102" spans="2:41" ht="12.75" x14ac:dyDescent="0.2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 s="1">
        <f>COUNTBLANK(Table1[[#This Row],[months_as_customer]:[fraud_reported]])</f>
        <v>0</v>
      </c>
    </row>
    <row r="103" spans="2:41" ht="12.75" x14ac:dyDescent="0.2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 s="1">
        <f>COUNTBLANK(Table1[[#This Row],[months_as_customer]:[fraud_reported]])</f>
        <v>0</v>
      </c>
    </row>
    <row r="104" spans="2:41" ht="12.75" x14ac:dyDescent="0.2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 s="1">
        <f>COUNTBLANK(Table1[[#This Row],[months_as_customer]:[fraud_reported]])</f>
        <v>0</v>
      </c>
    </row>
    <row r="105" spans="2:41" ht="12.75" x14ac:dyDescent="0.2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 s="1">
        <f>COUNTBLANK(Table1[[#This Row],[months_as_customer]:[fraud_reported]])</f>
        <v>0</v>
      </c>
    </row>
    <row r="106" spans="2:41" ht="12.75" x14ac:dyDescent="0.2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 s="1">
        <f>COUNTBLANK(Table1[[#This Row],[months_as_customer]:[fraud_reported]])</f>
        <v>0</v>
      </c>
    </row>
    <row r="107" spans="2:41" ht="12.75" x14ac:dyDescent="0.2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 s="1">
        <f>COUNTBLANK(Table1[[#This Row],[months_as_customer]:[fraud_reported]])</f>
        <v>0</v>
      </c>
    </row>
    <row r="108" spans="2:41" ht="12.75" x14ac:dyDescent="0.2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 s="1">
        <f>COUNTBLANK(Table1[[#This Row],[months_as_customer]:[fraud_reported]])</f>
        <v>0</v>
      </c>
    </row>
    <row r="109" spans="2:41" ht="12.75" x14ac:dyDescent="0.2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 s="1">
        <f>COUNTBLANK(Table1[[#This Row],[months_as_customer]:[fraud_reported]])</f>
        <v>0</v>
      </c>
    </row>
    <row r="110" spans="2:41" ht="12.75" x14ac:dyDescent="0.2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 s="1">
        <f>COUNTBLANK(Table1[[#This Row],[months_as_customer]:[fraud_reported]])</f>
        <v>0</v>
      </c>
    </row>
    <row r="111" spans="2:41" ht="12.75" x14ac:dyDescent="0.2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 s="1">
        <f>COUNTBLANK(Table1[[#This Row],[months_as_customer]:[fraud_reported]])</f>
        <v>0</v>
      </c>
    </row>
    <row r="112" spans="2:41" ht="12.75" x14ac:dyDescent="0.2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 s="1">
        <f>COUNTBLANK(Table1[[#This Row],[months_as_customer]:[fraud_reported]])</f>
        <v>0</v>
      </c>
    </row>
    <row r="113" spans="2:41" ht="12.75" x14ac:dyDescent="0.2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 s="1">
        <f>COUNTBLANK(Table1[[#This Row],[months_as_customer]:[fraud_reported]])</f>
        <v>0</v>
      </c>
    </row>
    <row r="114" spans="2:41" ht="12.75" x14ac:dyDescent="0.2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 s="1">
        <f>COUNTBLANK(Table1[[#This Row],[months_as_customer]:[fraud_reported]])</f>
        <v>0</v>
      </c>
    </row>
    <row r="115" spans="2:41" ht="12.75" x14ac:dyDescent="0.2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 s="1">
        <f>COUNTBLANK(Table1[[#This Row],[months_as_customer]:[fraud_reported]])</f>
        <v>0</v>
      </c>
    </row>
    <row r="116" spans="2:41" ht="12.75" x14ac:dyDescent="0.2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>
        <f>Table1[[#This Row],[injury_claim]]+Table1[[#This Row],[property_claim]]+Table1[[#This Row],[vehicle_claim]]</f>
        <v>70590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 s="1">
        <f>COUNTBLANK(Table1[[#This Row],[months_as_customer]:[fraud_reported]])</f>
        <v>0</v>
      </c>
    </row>
    <row r="117" spans="2:41" ht="12.75" x14ac:dyDescent="0.2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 s="1">
        <f>COUNTBLANK(Table1[[#This Row],[months_as_customer]:[fraud_reported]])</f>
        <v>0</v>
      </c>
    </row>
    <row r="118" spans="2:41" ht="12.75" x14ac:dyDescent="0.2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 s="1">
        <f>COUNTBLANK(Table1[[#This Row],[months_as_customer]:[fraud_reported]])</f>
        <v>0</v>
      </c>
    </row>
    <row r="119" spans="2:41" ht="12.75" x14ac:dyDescent="0.2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 s="1">
        <f>COUNTBLANK(Table1[[#This Row],[months_as_customer]:[fraud_reported]])</f>
        <v>0</v>
      </c>
    </row>
    <row r="120" spans="2:41" ht="12.75" x14ac:dyDescent="0.2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X120" s="10" t="s">
        <v>78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 s="1">
        <f>COUNTBLANK(Table1[[#This Row],[months_as_customer]:[fraud_reported]])</f>
        <v>0</v>
      </c>
    </row>
    <row r="121" spans="2:41" ht="12.75" x14ac:dyDescent="0.2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 s="1">
        <f>COUNTBLANK(Table1[[#This Row],[months_as_customer]:[fraud_reported]])</f>
        <v>0</v>
      </c>
    </row>
    <row r="122" spans="2:41" ht="12.75" x14ac:dyDescent="0.2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 s="1">
        <f>COUNTBLANK(Table1[[#This Row],[months_as_customer]:[fraud_reported]])</f>
        <v>0</v>
      </c>
    </row>
    <row r="123" spans="2:41" ht="12.75" x14ac:dyDescent="0.2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 s="1">
        <f>COUNTBLANK(Table1[[#This Row],[months_as_customer]:[fraud_reported]])</f>
        <v>0</v>
      </c>
    </row>
    <row r="124" spans="2:41" ht="12.75" x14ac:dyDescent="0.2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 s="1">
        <f>COUNTBLANK(Table1[[#This Row],[months_as_customer]:[fraud_reported]])</f>
        <v>0</v>
      </c>
    </row>
    <row r="125" spans="2:41" ht="12.75" x14ac:dyDescent="0.2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 s="1">
        <f>COUNTBLANK(Table1[[#This Row],[months_as_customer]:[fraud_reported]])</f>
        <v>0</v>
      </c>
    </row>
    <row r="126" spans="2:41" ht="12.75" x14ac:dyDescent="0.2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 s="1">
        <f>COUNTBLANK(Table1[[#This Row],[months_as_customer]:[fraud_reported]])</f>
        <v>0</v>
      </c>
    </row>
    <row r="127" spans="2:41" ht="12.75" x14ac:dyDescent="0.2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 s="1">
        <f>COUNTBLANK(Table1[[#This Row],[months_as_customer]:[fraud_reported]])</f>
        <v>0</v>
      </c>
    </row>
    <row r="128" spans="2:41" ht="12.75" x14ac:dyDescent="0.2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 s="1">
        <f>COUNTBLANK(Table1[[#This Row],[months_as_customer]:[fraud_reported]])</f>
        <v>0</v>
      </c>
    </row>
    <row r="129" spans="2:41" ht="12.75" x14ac:dyDescent="0.2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W129" s="10" t="s">
        <v>100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 s="1">
        <f>COUNTBLANK(Table1[[#This Row],[months_as_customer]:[fraud_reported]])</f>
        <v>0</v>
      </c>
    </row>
    <row r="130" spans="2:41" ht="12.75" x14ac:dyDescent="0.2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 s="1">
        <f>COUNTBLANK(Table1[[#This Row],[months_as_customer]:[fraud_reported]])</f>
        <v>0</v>
      </c>
    </row>
    <row r="131" spans="2:41" ht="12.75" x14ac:dyDescent="0.2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 s="1">
        <f>COUNTBLANK(Table1[[#This Row],[months_as_customer]:[fraud_reported]])</f>
        <v>0</v>
      </c>
    </row>
    <row r="132" spans="2:41" ht="12.75" x14ac:dyDescent="0.2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 s="1">
        <f>COUNTBLANK(Table1[[#This Row],[months_as_customer]:[fraud_reported]])</f>
        <v>0</v>
      </c>
    </row>
    <row r="133" spans="2:41" ht="12.75" x14ac:dyDescent="0.2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 s="1">
        <f>COUNTBLANK(Table1[[#This Row],[months_as_customer]:[fraud_reported]])</f>
        <v>0</v>
      </c>
    </row>
    <row r="134" spans="2:41" ht="12.75" x14ac:dyDescent="0.2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 s="1">
        <f>COUNTBLANK(Table1[[#This Row],[months_as_customer]:[fraud_reported]])</f>
        <v>0</v>
      </c>
    </row>
    <row r="135" spans="2:41" ht="12.75" x14ac:dyDescent="0.2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 s="1">
        <f>COUNTBLANK(Table1[[#This Row],[months_as_customer]:[fraud_reported]])</f>
        <v>0</v>
      </c>
    </row>
    <row r="136" spans="2:41" ht="12.75" x14ac:dyDescent="0.2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 s="1">
        <f>COUNTBLANK(Table1[[#This Row],[months_as_customer]:[fraud_reported]])</f>
        <v>0</v>
      </c>
    </row>
    <row r="137" spans="2:41" ht="12.75" x14ac:dyDescent="0.2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 s="1">
        <f>COUNTBLANK(Table1[[#This Row],[months_as_customer]:[fraud_reported]])</f>
        <v>0</v>
      </c>
    </row>
    <row r="138" spans="2:41" ht="12.75" x14ac:dyDescent="0.2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 s="1">
        <f>COUNTBLANK(Table1[[#This Row],[months_as_customer]:[fraud_reported]])</f>
        <v>0</v>
      </c>
    </row>
    <row r="139" spans="2:41" ht="12.75" x14ac:dyDescent="0.2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 s="1">
        <f>COUNTBLANK(Table1[[#This Row],[months_as_customer]:[fraud_reported]])</f>
        <v>0</v>
      </c>
    </row>
    <row r="140" spans="2:41" ht="12.75" x14ac:dyDescent="0.2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 s="1">
        <f>COUNTBLANK(Table1[[#This Row],[months_as_customer]:[fraud_reported]])</f>
        <v>0</v>
      </c>
    </row>
    <row r="141" spans="2:41" ht="12.75" x14ac:dyDescent="0.2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 s="1">
        <f>COUNTBLANK(Table1[[#This Row],[months_as_customer]:[fraud_reported]])</f>
        <v>0</v>
      </c>
    </row>
    <row r="142" spans="2:41" ht="12.75" x14ac:dyDescent="0.2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 s="1">
        <f>COUNTBLANK(Table1[[#This Row],[months_as_customer]:[fraud_reported]])</f>
        <v>0</v>
      </c>
    </row>
    <row r="143" spans="2:41" ht="12.75" x14ac:dyDescent="0.2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 s="1">
        <f>COUNTBLANK(Table1[[#This Row],[months_as_customer]:[fraud_reported]])</f>
        <v>0</v>
      </c>
    </row>
    <row r="144" spans="2:41" ht="12.75" x14ac:dyDescent="0.2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 s="1">
        <f>COUNTBLANK(Table1[[#This Row],[months_as_customer]:[fraud_reported]])</f>
        <v>0</v>
      </c>
    </row>
    <row r="145" spans="2:41" ht="12.75" x14ac:dyDescent="0.2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 s="1">
        <f>COUNTBLANK(Table1[[#This Row],[months_as_customer]:[fraud_reported]])</f>
        <v>0</v>
      </c>
    </row>
    <row r="146" spans="2:41" ht="12.75" x14ac:dyDescent="0.2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 s="1">
        <f>COUNTBLANK(Table1[[#This Row],[months_as_customer]:[fraud_reported]])</f>
        <v>0</v>
      </c>
    </row>
    <row r="147" spans="2:41" ht="12.75" x14ac:dyDescent="0.2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 s="1">
        <f>COUNTBLANK(Table1[[#This Row],[months_as_customer]:[fraud_reported]])</f>
        <v>0</v>
      </c>
    </row>
    <row r="148" spans="2:41" ht="12.75" x14ac:dyDescent="0.2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 s="1">
        <f>COUNTBLANK(Table1[[#This Row],[months_as_customer]:[fraud_reported]])</f>
        <v>0</v>
      </c>
    </row>
    <row r="149" spans="2:41" ht="12.75" x14ac:dyDescent="0.2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 s="1">
        <f>COUNTBLANK(Table1[[#This Row],[months_as_customer]:[fraud_reported]])</f>
        <v>0</v>
      </c>
    </row>
    <row r="150" spans="2:41" ht="12.75" x14ac:dyDescent="0.2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 s="1">
        <f>COUNTBLANK(Table1[[#This Row],[months_as_customer]:[fraud_reported]])</f>
        <v>0</v>
      </c>
    </row>
    <row r="151" spans="2:41" ht="12.75" x14ac:dyDescent="0.2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 s="1">
        <f>COUNTBLANK(Table1[[#This Row],[months_as_customer]:[fraud_reported]])</f>
        <v>0</v>
      </c>
    </row>
    <row r="152" spans="2:41" ht="12.75" x14ac:dyDescent="0.2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 s="1">
        <f>COUNTBLANK(Table1[[#This Row],[months_as_customer]:[fraud_reported]])</f>
        <v>0</v>
      </c>
    </row>
    <row r="153" spans="2:41" ht="12.75" x14ac:dyDescent="0.2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 s="1">
        <f>COUNTBLANK(Table1[[#This Row],[months_as_customer]:[fraud_reported]])</f>
        <v>0</v>
      </c>
    </row>
    <row r="154" spans="2:41" ht="12.75" x14ac:dyDescent="0.2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 s="1">
        <f>COUNTBLANK(Table1[[#This Row],[months_as_customer]:[fraud_reported]])</f>
        <v>0</v>
      </c>
    </row>
    <row r="155" spans="2:41" ht="12.75" x14ac:dyDescent="0.2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 s="1">
        <f>COUNTBLANK(Table1[[#This Row],[months_as_customer]:[fraud_reported]])</f>
        <v>0</v>
      </c>
    </row>
    <row r="156" spans="2:41" ht="12.75" x14ac:dyDescent="0.2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 s="1">
        <f>COUNTBLANK(Table1[[#This Row],[months_as_customer]:[fraud_reported]])</f>
        <v>0</v>
      </c>
    </row>
    <row r="157" spans="2:41" ht="12.75" x14ac:dyDescent="0.2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 s="1">
        <f>COUNTBLANK(Table1[[#This Row],[months_as_customer]:[fraud_reported]])</f>
        <v>0</v>
      </c>
    </row>
    <row r="158" spans="2:41" ht="12.75" x14ac:dyDescent="0.2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 s="1">
        <f>COUNTBLANK(Table1[[#This Row],[months_as_customer]:[fraud_reported]])</f>
        <v>0</v>
      </c>
    </row>
    <row r="159" spans="2:41" ht="12.75" x14ac:dyDescent="0.2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 s="1">
        <f>COUNTBLANK(Table1[[#This Row],[months_as_customer]:[fraud_reported]])</f>
        <v>0</v>
      </c>
    </row>
    <row r="160" spans="2:41" ht="12.75" x14ac:dyDescent="0.2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 s="1">
        <f>COUNTBLANK(Table1[[#This Row],[months_as_customer]:[fraud_reported]])</f>
        <v>0</v>
      </c>
    </row>
    <row r="161" spans="2:41" ht="12.75" x14ac:dyDescent="0.2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 s="1">
        <f>COUNTBLANK(Table1[[#This Row],[months_as_customer]:[fraud_reported]])</f>
        <v>0</v>
      </c>
    </row>
    <row r="162" spans="2:41" ht="12.75" x14ac:dyDescent="0.2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 s="1">
        <f>COUNTBLANK(Table1[[#This Row],[months_as_customer]:[fraud_reported]])</f>
        <v>0</v>
      </c>
    </row>
    <row r="163" spans="2:41" ht="12.75" x14ac:dyDescent="0.2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 s="1">
        <f>COUNTBLANK(Table1[[#This Row],[months_as_customer]:[fraud_reported]])</f>
        <v>0</v>
      </c>
    </row>
    <row r="164" spans="2:41" ht="12.75" x14ac:dyDescent="0.2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 s="1">
        <f>COUNTBLANK(Table1[[#This Row],[months_as_customer]:[fraud_reported]])</f>
        <v>0</v>
      </c>
    </row>
    <row r="165" spans="2:41" ht="12.75" x14ac:dyDescent="0.2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 s="1">
        <f>COUNTBLANK(Table1[[#This Row],[months_as_customer]:[fraud_reported]])</f>
        <v>0</v>
      </c>
    </row>
    <row r="166" spans="2:41" ht="12.75" x14ac:dyDescent="0.2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 s="1">
        <f>COUNTBLANK(Table1[[#This Row],[months_as_customer]:[fraud_reported]])</f>
        <v>0</v>
      </c>
    </row>
    <row r="167" spans="2:41" ht="12.75" x14ac:dyDescent="0.2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 s="1">
        <f>COUNTBLANK(Table1[[#This Row],[months_as_customer]:[fraud_reported]])</f>
        <v>0</v>
      </c>
    </row>
    <row r="168" spans="2:41" ht="12.75" x14ac:dyDescent="0.2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 s="1">
        <f>COUNTBLANK(Table1[[#This Row],[months_as_customer]:[fraud_reported]])</f>
        <v>0</v>
      </c>
    </row>
    <row r="169" spans="2:41" ht="12.75" x14ac:dyDescent="0.2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 s="1">
        <f>COUNTBLANK(Table1[[#This Row],[months_as_customer]:[fraud_reported]])</f>
        <v>0</v>
      </c>
    </row>
    <row r="170" spans="2:41" ht="12.75" x14ac:dyDescent="0.2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 s="1">
        <f>COUNTBLANK(Table1[[#This Row],[months_as_customer]:[fraud_reported]])</f>
        <v>0</v>
      </c>
    </row>
    <row r="171" spans="2:41" ht="12.75" x14ac:dyDescent="0.2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 s="1">
        <f>COUNTBLANK(Table1[[#This Row],[months_as_customer]:[fraud_reported]])</f>
        <v>0</v>
      </c>
    </row>
    <row r="172" spans="2:41" ht="12.75" x14ac:dyDescent="0.2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 s="1">
        <f>COUNTBLANK(Table1[[#This Row],[months_as_customer]:[fraud_reported]])</f>
        <v>0</v>
      </c>
    </row>
    <row r="173" spans="2:41" ht="12.75" x14ac:dyDescent="0.2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 s="1">
        <f>COUNTBLANK(Table1[[#This Row],[months_as_customer]:[fraud_reported]])</f>
        <v>0</v>
      </c>
    </row>
    <row r="174" spans="2:41" ht="12.75" x14ac:dyDescent="0.2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 s="1">
        <f>COUNTBLANK(Table1[[#This Row],[months_as_customer]:[fraud_reported]])</f>
        <v>0</v>
      </c>
    </row>
    <row r="175" spans="2:41" ht="12.75" x14ac:dyDescent="0.2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 s="1">
        <f>COUNTBLANK(Table1[[#This Row],[months_as_customer]:[fraud_reported]])</f>
        <v>0</v>
      </c>
    </row>
    <row r="176" spans="2:41" ht="12.75" x14ac:dyDescent="0.2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 s="1">
        <f>COUNTBLANK(Table1[[#This Row],[months_as_customer]:[fraud_reported]])</f>
        <v>0</v>
      </c>
    </row>
    <row r="177" spans="2:41" ht="12.75" x14ac:dyDescent="0.2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 s="1">
        <f>COUNTBLANK(Table1[[#This Row],[months_as_customer]:[fraud_reported]])</f>
        <v>0</v>
      </c>
    </row>
    <row r="178" spans="2:41" ht="12.75" x14ac:dyDescent="0.2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 s="1">
        <f>COUNTBLANK(Table1[[#This Row],[months_as_customer]:[fraud_reported]])</f>
        <v>0</v>
      </c>
    </row>
    <row r="179" spans="2:41" ht="12.75" x14ac:dyDescent="0.2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 s="1">
        <f>COUNTBLANK(Table1[[#This Row],[months_as_customer]:[fraud_reported]])</f>
        <v>0</v>
      </c>
    </row>
    <row r="180" spans="2:41" ht="12.75" x14ac:dyDescent="0.2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 s="1">
        <f>COUNTBLANK(Table1[[#This Row],[months_as_customer]:[fraud_reported]])</f>
        <v>0</v>
      </c>
    </row>
    <row r="181" spans="2:41" ht="12.75" x14ac:dyDescent="0.2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 s="1">
        <f>COUNTBLANK(Table1[[#This Row],[months_as_customer]:[fraud_reported]])</f>
        <v>0</v>
      </c>
    </row>
    <row r="182" spans="2:41" ht="12.75" x14ac:dyDescent="0.2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 s="1">
        <f>COUNTBLANK(Table1[[#This Row],[months_as_customer]:[fraud_reported]])</f>
        <v>0</v>
      </c>
    </row>
    <row r="183" spans="2:41" ht="12.75" x14ac:dyDescent="0.2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 s="1">
        <f>COUNTBLANK(Table1[[#This Row],[months_as_customer]:[fraud_reported]])</f>
        <v>0</v>
      </c>
    </row>
    <row r="184" spans="2:41" ht="12.75" x14ac:dyDescent="0.2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 s="1">
        <f>COUNTBLANK(Table1[[#This Row],[months_as_customer]:[fraud_reported]])</f>
        <v>0</v>
      </c>
    </row>
    <row r="185" spans="2:41" ht="12.75" x14ac:dyDescent="0.2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 s="1">
        <f>COUNTBLANK(Table1[[#This Row],[months_as_customer]:[fraud_reported]])</f>
        <v>0</v>
      </c>
    </row>
    <row r="186" spans="2:41" ht="12.75" x14ac:dyDescent="0.2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 s="1">
        <f>COUNTBLANK(Table1[[#This Row],[months_as_customer]:[fraud_reported]])</f>
        <v>0</v>
      </c>
    </row>
    <row r="187" spans="2:41" ht="12.75" x14ac:dyDescent="0.2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 s="1">
        <f>COUNTBLANK(Table1[[#This Row],[months_as_customer]:[fraud_reported]])</f>
        <v>0</v>
      </c>
    </row>
    <row r="188" spans="2:41" ht="12.75" x14ac:dyDescent="0.2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 s="1">
        <f>COUNTBLANK(Table1[[#This Row],[months_as_customer]:[fraud_reported]])</f>
        <v>0</v>
      </c>
    </row>
    <row r="189" spans="2:41" ht="12.75" x14ac:dyDescent="0.2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 s="1">
        <f>COUNTBLANK(Table1[[#This Row],[months_as_customer]:[fraud_reported]])</f>
        <v>0</v>
      </c>
    </row>
    <row r="190" spans="2:41" ht="12.75" x14ac:dyDescent="0.2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 s="1">
        <f>COUNTBLANK(Table1[[#This Row],[months_as_customer]:[fraud_reported]])</f>
        <v>0</v>
      </c>
    </row>
    <row r="191" spans="2:41" ht="12.75" x14ac:dyDescent="0.2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 s="1">
        <f>COUNTBLANK(Table1[[#This Row],[months_as_customer]:[fraud_reported]])</f>
        <v>0</v>
      </c>
    </row>
    <row r="192" spans="2:41" ht="12.75" x14ac:dyDescent="0.2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 s="1">
        <f>COUNTBLANK(Table1[[#This Row],[months_as_customer]:[fraud_reported]])</f>
        <v>0</v>
      </c>
    </row>
    <row r="193" spans="2:41" ht="12.75" x14ac:dyDescent="0.2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 s="1">
        <f>COUNTBLANK(Table1[[#This Row],[months_as_customer]:[fraud_reported]])</f>
        <v>0</v>
      </c>
    </row>
    <row r="194" spans="2:41" ht="12.75" x14ac:dyDescent="0.2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 s="1">
        <f>COUNTBLANK(Table1[[#This Row],[months_as_customer]:[fraud_reported]])</f>
        <v>0</v>
      </c>
    </row>
    <row r="195" spans="2:41" ht="12.75" x14ac:dyDescent="0.2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 s="1">
        <f>COUNTBLANK(Table1[[#This Row],[months_as_customer]:[fraud_reported]])</f>
        <v>0</v>
      </c>
    </row>
    <row r="196" spans="2:41" ht="12.75" x14ac:dyDescent="0.2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 s="1">
        <f>COUNTBLANK(Table1[[#This Row],[months_as_customer]:[fraud_reported]])</f>
        <v>0</v>
      </c>
    </row>
    <row r="197" spans="2:41" ht="12.75" x14ac:dyDescent="0.2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 s="1">
        <f>COUNTBLANK(Table1[[#This Row],[months_as_customer]:[fraud_reported]])</f>
        <v>0</v>
      </c>
    </row>
    <row r="198" spans="2:41" ht="12.75" x14ac:dyDescent="0.2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 s="1">
        <f>COUNTBLANK(Table1[[#This Row],[months_as_customer]:[fraud_reported]])</f>
        <v>0</v>
      </c>
    </row>
    <row r="199" spans="2:41" ht="12.75" x14ac:dyDescent="0.2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 s="1">
        <f>COUNTBLANK(Table1[[#This Row],[months_as_customer]:[fraud_reported]])</f>
        <v>0</v>
      </c>
    </row>
    <row r="200" spans="2:41" ht="12.75" x14ac:dyDescent="0.2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 s="1">
        <f>COUNTBLANK(Table1[[#This Row],[months_as_customer]:[fraud_reported]])</f>
        <v>0</v>
      </c>
    </row>
    <row r="201" spans="2:41" ht="12.75" x14ac:dyDescent="0.2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 s="1">
        <f>COUNTBLANK(Table1[[#This Row],[months_as_customer]:[fraud_reported]])</f>
        <v>0</v>
      </c>
    </row>
    <row r="202" spans="2:41" ht="12.75" x14ac:dyDescent="0.2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 s="1">
        <f>COUNTBLANK(Table1[[#This Row],[months_as_customer]:[fraud_reported]])</f>
        <v>0</v>
      </c>
    </row>
    <row r="203" spans="2:41" ht="12.75" x14ac:dyDescent="0.2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 s="1">
        <f>COUNTBLANK(Table1[[#This Row],[months_as_customer]:[fraud_reported]])</f>
        <v>0</v>
      </c>
    </row>
    <row r="204" spans="2:41" ht="12.75" x14ac:dyDescent="0.2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 s="1">
        <f>COUNTBLANK(Table1[[#This Row],[months_as_customer]:[fraud_reported]])</f>
        <v>0</v>
      </c>
    </row>
    <row r="205" spans="2:41" ht="12.75" x14ac:dyDescent="0.2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 s="1">
        <f>COUNTBLANK(Table1[[#This Row],[months_as_customer]:[fraud_reported]])</f>
        <v>0</v>
      </c>
    </row>
    <row r="206" spans="2:41" ht="12.75" x14ac:dyDescent="0.2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 s="1">
        <f>COUNTBLANK(Table1[[#This Row],[months_as_customer]:[fraud_reported]])</f>
        <v>0</v>
      </c>
    </row>
    <row r="207" spans="2:41" ht="12.75" x14ac:dyDescent="0.2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 s="1">
        <f>COUNTBLANK(Table1[[#This Row],[months_as_customer]:[fraud_reported]])</f>
        <v>0</v>
      </c>
    </row>
    <row r="208" spans="2:41" ht="12.75" x14ac:dyDescent="0.2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 s="1">
        <f>COUNTBLANK(Table1[[#This Row],[months_as_customer]:[fraud_reported]])</f>
        <v>0</v>
      </c>
    </row>
    <row r="209" spans="2:41" ht="12.75" x14ac:dyDescent="0.2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 s="1">
        <f>COUNTBLANK(Table1[[#This Row],[months_as_customer]:[fraud_reported]])</f>
        <v>0</v>
      </c>
    </row>
    <row r="210" spans="2:41" ht="12.75" x14ac:dyDescent="0.2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 s="1">
        <f>COUNTBLANK(Table1[[#This Row],[months_as_customer]:[fraud_reported]])</f>
        <v>0</v>
      </c>
    </row>
    <row r="211" spans="2:41" ht="12.75" x14ac:dyDescent="0.2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G211">
        <f>Table1[[#This Row],[injury_claim]]+Table1[[#This Row],[property_claim]]+Table1[[#This Row],[vehicle_claim]]</f>
        <v>64350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 s="1">
        <f>COUNTBLANK(Table1[[#This Row],[months_as_customer]:[fraud_reported]])</f>
        <v>0</v>
      </c>
    </row>
    <row r="212" spans="2:41" ht="12.75" x14ac:dyDescent="0.2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 s="1">
        <f>COUNTBLANK(Table1[[#This Row],[months_as_customer]:[fraud_reported]])</f>
        <v>0</v>
      </c>
    </row>
    <row r="213" spans="2:41" ht="12.75" x14ac:dyDescent="0.2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 s="1">
        <f>COUNTBLANK(Table1[[#This Row],[months_as_customer]:[fraud_reported]])</f>
        <v>0</v>
      </c>
    </row>
    <row r="214" spans="2:41" ht="12.75" x14ac:dyDescent="0.2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 s="1">
        <f>COUNTBLANK(Table1[[#This Row],[months_as_customer]:[fraud_reported]])</f>
        <v>0</v>
      </c>
    </row>
    <row r="215" spans="2:41" ht="12.75" x14ac:dyDescent="0.2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 s="1">
        <f>COUNTBLANK(Table1[[#This Row],[months_as_customer]:[fraud_reported]])</f>
        <v>0</v>
      </c>
    </row>
    <row r="216" spans="2:41" ht="12.75" x14ac:dyDescent="0.2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 s="1">
        <f>COUNTBLANK(Table1[[#This Row],[months_as_customer]:[fraud_reported]])</f>
        <v>0</v>
      </c>
    </row>
    <row r="217" spans="2:41" ht="12.75" x14ac:dyDescent="0.2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 s="1">
        <f>COUNTBLANK(Table1[[#This Row],[months_as_customer]:[fraud_reported]])</f>
        <v>0</v>
      </c>
    </row>
    <row r="218" spans="2:41" ht="12.75" x14ac:dyDescent="0.2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 s="1">
        <f>COUNTBLANK(Table1[[#This Row],[months_as_customer]:[fraud_reported]])</f>
        <v>0</v>
      </c>
    </row>
    <row r="219" spans="2:41" ht="12.75" x14ac:dyDescent="0.2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 s="1">
        <f>COUNTBLANK(Table1[[#This Row],[months_as_customer]:[fraud_reported]])</f>
        <v>0</v>
      </c>
    </row>
    <row r="220" spans="2:41" ht="12.75" x14ac:dyDescent="0.2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 s="1">
        <f>COUNTBLANK(Table1[[#This Row],[months_as_customer]:[fraud_reported]])</f>
        <v>0</v>
      </c>
    </row>
    <row r="221" spans="2:41" ht="12.75" x14ac:dyDescent="0.2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 s="1">
        <f>COUNTBLANK(Table1[[#This Row],[months_as_customer]:[fraud_reported]])</f>
        <v>0</v>
      </c>
    </row>
    <row r="222" spans="2:41" ht="12.75" x14ac:dyDescent="0.2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 s="1">
        <f>COUNTBLANK(Table1[[#This Row],[months_as_customer]:[fraud_reported]])</f>
        <v>0</v>
      </c>
    </row>
    <row r="223" spans="2:41" ht="12.75" x14ac:dyDescent="0.2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 s="1">
        <f>COUNTBLANK(Table1[[#This Row],[months_as_customer]:[fraud_reported]])</f>
        <v>0</v>
      </c>
    </row>
    <row r="224" spans="2:41" ht="12.75" x14ac:dyDescent="0.2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 s="1">
        <f>COUNTBLANK(Table1[[#This Row],[months_as_customer]:[fraud_reported]])</f>
        <v>0</v>
      </c>
    </row>
    <row r="225" spans="2:41" ht="12.75" x14ac:dyDescent="0.2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 s="1">
        <f>COUNTBLANK(Table1[[#This Row],[months_as_customer]:[fraud_reported]])</f>
        <v>0</v>
      </c>
    </row>
    <row r="226" spans="2:41" ht="12.75" x14ac:dyDescent="0.2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 s="1">
        <f>COUNTBLANK(Table1[[#This Row],[months_as_customer]:[fraud_reported]])</f>
        <v>0</v>
      </c>
    </row>
    <row r="227" spans="2:41" ht="12.75" x14ac:dyDescent="0.2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 s="1">
        <f>COUNTBLANK(Table1[[#This Row],[months_as_customer]:[fraud_reported]])</f>
        <v>0</v>
      </c>
    </row>
    <row r="228" spans="2:41" ht="12.75" x14ac:dyDescent="0.2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 s="1">
        <f>COUNTBLANK(Table1[[#This Row],[months_as_customer]:[fraud_reported]])</f>
        <v>0</v>
      </c>
    </row>
    <row r="229" spans="2:41" ht="12.75" x14ac:dyDescent="0.2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 s="1">
        <f>COUNTBLANK(Table1[[#This Row],[months_as_customer]:[fraud_reported]])</f>
        <v>0</v>
      </c>
    </row>
    <row r="230" spans="2:41" ht="12.75" x14ac:dyDescent="0.2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 s="1">
        <f>COUNTBLANK(Table1[[#This Row],[months_as_customer]:[fraud_reported]])</f>
        <v>0</v>
      </c>
    </row>
    <row r="231" spans="2:41" ht="12.75" x14ac:dyDescent="0.2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 s="1">
        <f>COUNTBLANK(Table1[[#This Row],[months_as_customer]:[fraud_reported]])</f>
        <v>0</v>
      </c>
    </row>
    <row r="232" spans="2:41" ht="12.75" x14ac:dyDescent="0.2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 s="1">
        <f>COUNTBLANK(Table1[[#This Row],[months_as_customer]:[fraud_reported]])</f>
        <v>0</v>
      </c>
    </row>
    <row r="233" spans="2:41" ht="12.75" x14ac:dyDescent="0.2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 s="1">
        <f>COUNTBLANK(Table1[[#This Row],[months_as_customer]:[fraud_reported]])</f>
        <v>0</v>
      </c>
    </row>
    <row r="234" spans="2:41" ht="12.75" x14ac:dyDescent="0.2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 s="1">
        <f>COUNTBLANK(Table1[[#This Row],[months_as_customer]:[fraud_reported]])</f>
        <v>0</v>
      </c>
    </row>
    <row r="235" spans="2:41" ht="12.75" x14ac:dyDescent="0.2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 s="1">
        <f>COUNTBLANK(Table1[[#This Row],[months_as_customer]:[fraud_reported]])</f>
        <v>0</v>
      </c>
    </row>
    <row r="236" spans="2:41" ht="12.75" x14ac:dyDescent="0.2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 s="1">
        <f>COUNTBLANK(Table1[[#This Row],[months_as_customer]:[fraud_reported]])</f>
        <v>0</v>
      </c>
    </row>
    <row r="237" spans="2:41" ht="12.75" x14ac:dyDescent="0.2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 s="1">
        <f>COUNTBLANK(Table1[[#This Row],[months_as_customer]:[fraud_reported]])</f>
        <v>0</v>
      </c>
    </row>
    <row r="238" spans="2:41" ht="12.75" x14ac:dyDescent="0.2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W238" s="10" t="s">
        <v>50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 s="1">
        <f>COUNTBLANK(Table1[[#This Row],[months_as_customer]:[fraud_reported]])</f>
        <v>0</v>
      </c>
    </row>
    <row r="239" spans="2:41" ht="12.75" x14ac:dyDescent="0.2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 s="1">
        <f>COUNTBLANK(Table1[[#This Row],[months_as_customer]:[fraud_reported]])</f>
        <v>0</v>
      </c>
    </row>
    <row r="240" spans="2:41" ht="12.75" x14ac:dyDescent="0.2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 s="1">
        <f>COUNTBLANK(Table1[[#This Row],[months_as_customer]:[fraud_reported]])</f>
        <v>0</v>
      </c>
    </row>
    <row r="241" spans="2:41" ht="12.75" x14ac:dyDescent="0.2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 s="1">
        <f>COUNTBLANK(Table1[[#This Row],[months_as_customer]:[fraud_reported]])</f>
        <v>0</v>
      </c>
    </row>
    <row r="242" spans="2:41" ht="12.75" x14ac:dyDescent="0.2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 s="1">
        <f>COUNTBLANK(Table1[[#This Row],[months_as_customer]:[fraud_reported]])</f>
        <v>0</v>
      </c>
    </row>
    <row r="243" spans="2:41" ht="12.75" x14ac:dyDescent="0.2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 s="1">
        <f>COUNTBLANK(Table1[[#This Row],[months_as_customer]:[fraud_reported]])</f>
        <v>0</v>
      </c>
    </row>
    <row r="244" spans="2:41" ht="12.75" x14ac:dyDescent="0.2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 s="1">
        <f>COUNTBLANK(Table1[[#This Row],[months_as_customer]:[fraud_reported]])</f>
        <v>0</v>
      </c>
    </row>
    <row r="245" spans="2:41" ht="12.75" x14ac:dyDescent="0.2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 s="1">
        <f>COUNTBLANK(Table1[[#This Row],[months_as_customer]:[fraud_reported]])</f>
        <v>0</v>
      </c>
    </row>
    <row r="246" spans="2:41" ht="12.75" x14ac:dyDescent="0.2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 s="1">
        <f>COUNTBLANK(Table1[[#This Row],[months_as_customer]:[fraud_reported]])</f>
        <v>0</v>
      </c>
    </row>
    <row r="247" spans="2:41" ht="12.75" x14ac:dyDescent="0.2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 s="1">
        <f>COUNTBLANK(Table1[[#This Row],[months_as_customer]:[fraud_reported]])</f>
        <v>0</v>
      </c>
    </row>
    <row r="248" spans="2:41" ht="12.75" x14ac:dyDescent="0.2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 s="1">
        <f>COUNTBLANK(Table1[[#This Row],[months_as_customer]:[fraud_reported]])</f>
        <v>0</v>
      </c>
    </row>
    <row r="249" spans="2:41" ht="12.75" x14ac:dyDescent="0.2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 s="1">
        <f>COUNTBLANK(Table1[[#This Row],[months_as_customer]:[fraud_reported]])</f>
        <v>0</v>
      </c>
    </row>
    <row r="250" spans="2:41" ht="12.75" x14ac:dyDescent="0.2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 s="1">
        <f>COUNTBLANK(Table1[[#This Row],[months_as_customer]:[fraud_reported]])</f>
        <v>0</v>
      </c>
    </row>
    <row r="251" spans="2:41" ht="12.75" x14ac:dyDescent="0.2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 s="1">
        <f>COUNTBLANK(Table1[[#This Row],[months_as_customer]:[fraud_reported]])</f>
        <v>0</v>
      </c>
    </row>
    <row r="252" spans="2:41" ht="12.75" x14ac:dyDescent="0.2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 s="1">
        <f>COUNTBLANK(Table1[[#This Row],[months_as_customer]:[fraud_reported]])</f>
        <v>0</v>
      </c>
    </row>
    <row r="253" spans="2:41" ht="12.75" x14ac:dyDescent="0.2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 s="1">
        <f>COUNTBLANK(Table1[[#This Row],[months_as_customer]:[fraud_reported]])</f>
        <v>0</v>
      </c>
    </row>
    <row r="254" spans="2:41" ht="12.75" x14ac:dyDescent="0.2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 s="1">
        <f>COUNTBLANK(Table1[[#This Row],[months_as_customer]:[fraud_reported]])</f>
        <v>0</v>
      </c>
    </row>
    <row r="255" spans="2:41" ht="12.75" x14ac:dyDescent="0.2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 s="1">
        <f>COUNTBLANK(Table1[[#This Row],[months_as_customer]:[fraud_reported]])</f>
        <v>0</v>
      </c>
    </row>
    <row r="256" spans="2:41" ht="12.75" x14ac:dyDescent="0.2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 s="1">
        <f>COUNTBLANK(Table1[[#This Row],[months_as_customer]:[fraud_reported]])</f>
        <v>0</v>
      </c>
    </row>
    <row r="257" spans="2:41" ht="12.75" x14ac:dyDescent="0.2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 s="1">
        <f>COUNTBLANK(Table1[[#This Row],[months_as_customer]:[fraud_reported]])</f>
        <v>0</v>
      </c>
    </row>
    <row r="258" spans="2:41" ht="12.75" x14ac:dyDescent="0.2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 s="1">
        <f>COUNTBLANK(Table1[[#This Row],[months_as_customer]:[fraud_reported]])</f>
        <v>0</v>
      </c>
    </row>
    <row r="259" spans="2:41" ht="12.75" x14ac:dyDescent="0.2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 s="1">
        <f>COUNTBLANK(Table1[[#This Row],[months_as_customer]:[fraud_reported]])</f>
        <v>0</v>
      </c>
    </row>
    <row r="260" spans="2:41" ht="12.75" x14ac:dyDescent="0.2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 s="1">
        <f>COUNTBLANK(Table1[[#This Row],[months_as_customer]:[fraud_reported]])</f>
        <v>0</v>
      </c>
    </row>
    <row r="261" spans="2:41" ht="12.75" x14ac:dyDescent="0.2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 s="1">
        <f>COUNTBLANK(Table1[[#This Row],[months_as_customer]:[fraud_reported]])</f>
        <v>0</v>
      </c>
    </row>
    <row r="262" spans="2:41" ht="12.75" x14ac:dyDescent="0.2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 s="1">
        <f>COUNTBLANK(Table1[[#This Row],[months_as_customer]:[fraud_reported]])</f>
        <v>0</v>
      </c>
    </row>
    <row r="263" spans="2:41" ht="12.75" x14ac:dyDescent="0.2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 s="1">
        <f>COUNTBLANK(Table1[[#This Row],[months_as_customer]:[fraud_reported]])</f>
        <v>0</v>
      </c>
    </row>
    <row r="264" spans="2:41" ht="12.75" x14ac:dyDescent="0.2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 s="1">
        <f>COUNTBLANK(Table1[[#This Row],[months_as_customer]:[fraud_reported]])</f>
        <v>0</v>
      </c>
    </row>
    <row r="265" spans="2:41" ht="12.75" x14ac:dyDescent="0.2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 s="1">
        <f>COUNTBLANK(Table1[[#This Row],[months_as_customer]:[fraud_reported]])</f>
        <v>0</v>
      </c>
    </row>
    <row r="266" spans="2:41" ht="12.75" x14ac:dyDescent="0.2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 s="1">
        <f>COUNTBLANK(Table1[[#This Row],[months_as_customer]:[fraud_reported]])</f>
        <v>0</v>
      </c>
    </row>
    <row r="267" spans="2:41" ht="12.75" x14ac:dyDescent="0.2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 s="1">
        <f>COUNTBLANK(Table1[[#This Row],[months_as_customer]:[fraud_reported]])</f>
        <v>0</v>
      </c>
    </row>
    <row r="268" spans="2:41" ht="12.75" x14ac:dyDescent="0.2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 s="1">
        <f>COUNTBLANK(Table1[[#This Row],[months_as_customer]:[fraud_reported]])</f>
        <v>0</v>
      </c>
    </row>
    <row r="269" spans="2:41" ht="12.75" x14ac:dyDescent="0.2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 s="1">
        <f>COUNTBLANK(Table1[[#This Row],[months_as_customer]:[fraud_reported]])</f>
        <v>0</v>
      </c>
    </row>
    <row r="270" spans="2:41" ht="12.75" x14ac:dyDescent="0.2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 s="1">
        <f>COUNTBLANK(Table1[[#This Row],[months_as_customer]:[fraud_reported]])</f>
        <v>0</v>
      </c>
    </row>
    <row r="271" spans="2:41" ht="12.75" x14ac:dyDescent="0.2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 s="1">
        <f>COUNTBLANK(Table1[[#This Row],[months_as_customer]:[fraud_reported]])</f>
        <v>0</v>
      </c>
    </row>
    <row r="272" spans="2:41" ht="12.75" x14ac:dyDescent="0.2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 s="1">
        <f>COUNTBLANK(Table1[[#This Row],[months_as_customer]:[fraud_reported]])</f>
        <v>0</v>
      </c>
    </row>
    <row r="273" spans="2:41" ht="12.75" x14ac:dyDescent="0.2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 s="1">
        <f>COUNTBLANK(Table1[[#This Row],[months_as_customer]:[fraud_reported]])</f>
        <v>0</v>
      </c>
    </row>
    <row r="274" spans="2:41" ht="12.75" x14ac:dyDescent="0.2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 s="1">
        <f>COUNTBLANK(Table1[[#This Row],[months_as_customer]:[fraud_reported]])</f>
        <v>0</v>
      </c>
    </row>
    <row r="275" spans="2:41" ht="12.75" x14ac:dyDescent="0.2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 s="1">
        <f>COUNTBLANK(Table1[[#This Row],[months_as_customer]:[fraud_reported]])</f>
        <v>0</v>
      </c>
    </row>
    <row r="276" spans="2:41" ht="12.75" x14ac:dyDescent="0.2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 s="1">
        <f>COUNTBLANK(Table1[[#This Row],[months_as_customer]:[fraud_reported]])</f>
        <v>0</v>
      </c>
    </row>
    <row r="277" spans="2:41" ht="12.75" x14ac:dyDescent="0.2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 s="1">
        <f>COUNTBLANK(Table1[[#This Row],[months_as_customer]:[fraud_reported]])</f>
        <v>0</v>
      </c>
    </row>
    <row r="278" spans="2:41" ht="12.75" x14ac:dyDescent="0.2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 s="1">
        <f>COUNTBLANK(Table1[[#This Row],[months_as_customer]:[fraud_reported]])</f>
        <v>0</v>
      </c>
    </row>
    <row r="279" spans="2:41" ht="12.75" x14ac:dyDescent="0.2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 s="1">
        <f>COUNTBLANK(Table1[[#This Row],[months_as_customer]:[fraud_reported]])</f>
        <v>0</v>
      </c>
    </row>
    <row r="280" spans="2:41" ht="12.75" x14ac:dyDescent="0.2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 s="1">
        <f>COUNTBLANK(Table1[[#This Row],[months_as_customer]:[fraud_reported]])</f>
        <v>0</v>
      </c>
    </row>
    <row r="281" spans="2:41" ht="12.75" x14ac:dyDescent="0.2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 s="1">
        <f>COUNTBLANK(Table1[[#This Row],[months_as_customer]:[fraud_reported]])</f>
        <v>0</v>
      </c>
    </row>
    <row r="282" spans="2:41" ht="12.75" x14ac:dyDescent="0.2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 s="1">
        <f>COUNTBLANK(Table1[[#This Row],[months_as_customer]:[fraud_reported]])</f>
        <v>0</v>
      </c>
    </row>
    <row r="283" spans="2:41" ht="12.75" x14ac:dyDescent="0.2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 s="1">
        <f>COUNTBLANK(Table1[[#This Row],[months_as_customer]:[fraud_reported]])</f>
        <v>0</v>
      </c>
    </row>
    <row r="284" spans="2:41" ht="12.75" x14ac:dyDescent="0.2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 s="1">
        <f>COUNTBLANK(Table1[[#This Row],[months_as_customer]:[fraud_reported]])</f>
        <v>0</v>
      </c>
    </row>
    <row r="285" spans="2:41" ht="12.75" x14ac:dyDescent="0.2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 s="1">
        <f>COUNTBLANK(Table1[[#This Row],[months_as_customer]:[fraud_reported]])</f>
        <v>0</v>
      </c>
    </row>
    <row r="286" spans="2:41" ht="12.75" x14ac:dyDescent="0.2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 s="1">
        <f>COUNTBLANK(Table1[[#This Row],[months_as_customer]:[fraud_reported]])</f>
        <v>0</v>
      </c>
    </row>
    <row r="287" spans="2:41" ht="12.75" x14ac:dyDescent="0.2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 s="1">
        <f>COUNTBLANK(Table1[[#This Row],[months_as_customer]:[fraud_reported]])</f>
        <v>0</v>
      </c>
    </row>
    <row r="288" spans="2:41" ht="12.75" x14ac:dyDescent="0.2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 s="1">
        <f>COUNTBLANK(Table1[[#This Row],[months_as_customer]:[fraud_reported]])</f>
        <v>0</v>
      </c>
    </row>
    <row r="289" spans="2:41" ht="12.75" x14ac:dyDescent="0.2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 s="1">
        <f>COUNTBLANK(Table1[[#This Row],[months_as_customer]:[fraud_reported]])</f>
        <v>0</v>
      </c>
    </row>
    <row r="290" spans="2:41" ht="12.75" x14ac:dyDescent="0.2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 s="1">
        <f>COUNTBLANK(Table1[[#This Row],[months_as_customer]:[fraud_reported]])</f>
        <v>0</v>
      </c>
    </row>
    <row r="291" spans="2:41" ht="12.75" x14ac:dyDescent="0.2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 s="1">
        <f>COUNTBLANK(Table1[[#This Row],[months_as_customer]:[fraud_reported]])</f>
        <v>0</v>
      </c>
    </row>
    <row r="292" spans="2:41" ht="12.75" x14ac:dyDescent="0.2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 s="1">
        <f>COUNTBLANK(Table1[[#This Row],[months_as_customer]:[fraud_reported]])</f>
        <v>0</v>
      </c>
    </row>
    <row r="293" spans="2:41" ht="12.75" x14ac:dyDescent="0.2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 s="1">
        <f>COUNTBLANK(Table1[[#This Row],[months_as_customer]:[fraud_reported]])</f>
        <v>0</v>
      </c>
    </row>
    <row r="294" spans="2:41" ht="12.75" x14ac:dyDescent="0.2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 s="1">
        <f>COUNTBLANK(Table1[[#This Row],[months_as_customer]:[fraud_reported]])</f>
        <v>0</v>
      </c>
    </row>
    <row r="295" spans="2:41" ht="12.75" x14ac:dyDescent="0.2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 s="1">
        <f>COUNTBLANK(Table1[[#This Row],[months_as_customer]:[fraud_reported]])</f>
        <v>0</v>
      </c>
    </row>
    <row r="296" spans="2:41" ht="12.75" x14ac:dyDescent="0.2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 s="1">
        <f>COUNTBLANK(Table1[[#This Row],[months_as_customer]:[fraud_reported]])</f>
        <v>0</v>
      </c>
    </row>
    <row r="297" spans="2:41" ht="12.75" x14ac:dyDescent="0.2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 s="1">
        <f>COUNTBLANK(Table1[[#This Row],[months_as_customer]:[fraud_reported]])</f>
        <v>0</v>
      </c>
    </row>
    <row r="298" spans="2:41" ht="12.75" x14ac:dyDescent="0.2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 s="1">
        <f>COUNTBLANK(Table1[[#This Row],[months_as_customer]:[fraud_reported]])</f>
        <v>0</v>
      </c>
    </row>
    <row r="299" spans="2:41" ht="12.75" x14ac:dyDescent="0.2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 s="1">
        <f>COUNTBLANK(Table1[[#This Row],[months_as_customer]:[fraud_reported]])</f>
        <v>0</v>
      </c>
    </row>
    <row r="300" spans="2:41" ht="12.75" x14ac:dyDescent="0.2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 s="1">
        <f>COUNTBLANK(Table1[[#This Row],[months_as_customer]:[fraud_reported]])</f>
        <v>0</v>
      </c>
    </row>
    <row r="301" spans="2:41" ht="12.75" x14ac:dyDescent="0.2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 s="1">
        <f>COUNTBLANK(Table1[[#This Row],[months_as_customer]:[fraud_reported]])</f>
        <v>0</v>
      </c>
    </row>
    <row r="302" spans="2:41" ht="12.75" x14ac:dyDescent="0.2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 s="1">
        <f>COUNTBLANK(Table1[[#This Row],[months_as_customer]:[fraud_reported]])</f>
        <v>0</v>
      </c>
    </row>
    <row r="303" spans="2:41" ht="12.75" x14ac:dyDescent="0.2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 s="1">
        <f>COUNTBLANK(Table1[[#This Row],[months_as_customer]:[fraud_reported]])</f>
        <v>0</v>
      </c>
    </row>
    <row r="304" spans="2:41" ht="12.75" x14ac:dyDescent="0.2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 s="1">
        <f>COUNTBLANK(Table1[[#This Row],[months_as_customer]:[fraud_reported]])</f>
        <v>0</v>
      </c>
    </row>
    <row r="305" spans="2:41" ht="12.75" x14ac:dyDescent="0.2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 s="1">
        <f>COUNTBLANK(Table1[[#This Row],[months_as_customer]:[fraud_reported]])</f>
        <v>0</v>
      </c>
    </row>
    <row r="306" spans="2:41" ht="12.75" x14ac:dyDescent="0.2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 s="1">
        <f>COUNTBLANK(Table1[[#This Row],[months_as_customer]:[fraud_reported]])</f>
        <v>0</v>
      </c>
    </row>
    <row r="307" spans="2:41" ht="12.75" x14ac:dyDescent="0.2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 s="1">
        <f>COUNTBLANK(Table1[[#This Row],[months_as_customer]:[fraud_reported]])</f>
        <v>0</v>
      </c>
    </row>
    <row r="308" spans="2:41" ht="12.75" x14ac:dyDescent="0.2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G308">
        <f>Table1[[#This Row],[injury_claim]]+Table1[[#This Row],[property_claim]]+Table1[[#This Row],[vehicle_claim]]</f>
        <v>7680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 s="1">
        <f>COUNTBLANK(Table1[[#This Row],[months_as_customer]:[fraud_reported]])</f>
        <v>0</v>
      </c>
    </row>
    <row r="309" spans="2:41" ht="12.75" x14ac:dyDescent="0.2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 s="1">
        <f>COUNTBLANK(Table1[[#This Row],[months_as_customer]:[fraud_reported]])</f>
        <v>0</v>
      </c>
    </row>
    <row r="310" spans="2:41" ht="12.75" x14ac:dyDescent="0.2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 s="1">
        <f>COUNTBLANK(Table1[[#This Row],[months_as_customer]:[fraud_reported]])</f>
        <v>0</v>
      </c>
    </row>
    <row r="311" spans="2:41" ht="12.75" x14ac:dyDescent="0.2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 s="1">
        <f>COUNTBLANK(Table1[[#This Row],[months_as_customer]:[fraud_reported]])</f>
        <v>0</v>
      </c>
    </row>
    <row r="312" spans="2:41" ht="12.75" x14ac:dyDescent="0.2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 s="1">
        <f>COUNTBLANK(Table1[[#This Row],[months_as_customer]:[fraud_reported]])</f>
        <v>0</v>
      </c>
    </row>
    <row r="313" spans="2:41" ht="12.75" x14ac:dyDescent="0.2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 s="1">
        <f>COUNTBLANK(Table1[[#This Row],[months_as_customer]:[fraud_reported]])</f>
        <v>0</v>
      </c>
    </row>
    <row r="314" spans="2:41" ht="12.75" x14ac:dyDescent="0.2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 s="1">
        <f>COUNTBLANK(Table1[[#This Row],[months_as_customer]:[fraud_reported]])</f>
        <v>0</v>
      </c>
    </row>
    <row r="315" spans="2:41" ht="12.75" x14ac:dyDescent="0.2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 s="1">
        <f>COUNTBLANK(Table1[[#This Row],[months_as_customer]:[fraud_reported]])</f>
        <v>0</v>
      </c>
    </row>
    <row r="316" spans="2:41" ht="12.75" x14ac:dyDescent="0.2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 s="1">
        <f>COUNTBLANK(Table1[[#This Row],[months_as_customer]:[fraud_reported]])</f>
        <v>0</v>
      </c>
    </row>
    <row r="317" spans="2:41" ht="12.75" x14ac:dyDescent="0.2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 s="1">
        <f>COUNTBLANK(Table1[[#This Row],[months_as_customer]:[fraud_reported]])</f>
        <v>0</v>
      </c>
    </row>
    <row r="318" spans="2:41" ht="12.75" x14ac:dyDescent="0.2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 s="1">
        <f>COUNTBLANK(Table1[[#This Row],[months_as_customer]:[fraud_reported]])</f>
        <v>0</v>
      </c>
    </row>
    <row r="319" spans="2:41" ht="12.75" x14ac:dyDescent="0.2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 s="1">
        <f>COUNTBLANK(Table1[[#This Row],[months_as_customer]:[fraud_reported]])</f>
        <v>0</v>
      </c>
    </row>
    <row r="320" spans="2:41" ht="12.75" x14ac:dyDescent="0.2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 s="1">
        <f>COUNTBLANK(Table1[[#This Row],[months_as_customer]:[fraud_reported]])</f>
        <v>0</v>
      </c>
    </row>
    <row r="321" spans="2:41" ht="12.75" x14ac:dyDescent="0.2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 s="1">
        <f>COUNTBLANK(Table1[[#This Row],[months_as_customer]:[fraud_reported]])</f>
        <v>0</v>
      </c>
    </row>
    <row r="322" spans="2:41" ht="12.75" x14ac:dyDescent="0.2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 s="1">
        <f>COUNTBLANK(Table1[[#This Row],[months_as_customer]:[fraud_reported]])</f>
        <v>0</v>
      </c>
    </row>
    <row r="323" spans="2:41" ht="12.75" x14ac:dyDescent="0.2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 s="1">
        <f>COUNTBLANK(Table1[[#This Row],[months_as_customer]:[fraud_reported]])</f>
        <v>0</v>
      </c>
    </row>
    <row r="324" spans="2:41" ht="12.75" x14ac:dyDescent="0.2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 s="1">
        <f>COUNTBLANK(Table1[[#This Row],[months_as_customer]:[fraud_reported]])</f>
        <v>0</v>
      </c>
    </row>
    <row r="325" spans="2:41" ht="12.75" x14ac:dyDescent="0.2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 s="1">
        <f>COUNTBLANK(Table1[[#This Row],[months_as_customer]:[fraud_reported]])</f>
        <v>0</v>
      </c>
    </row>
    <row r="326" spans="2:41" ht="12.75" x14ac:dyDescent="0.2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 s="1">
        <f>COUNTBLANK(Table1[[#This Row],[months_as_customer]:[fraud_reported]])</f>
        <v>0</v>
      </c>
    </row>
    <row r="327" spans="2:41" ht="12.75" x14ac:dyDescent="0.2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 s="1">
        <f>COUNTBLANK(Table1[[#This Row],[months_as_customer]:[fraud_reported]])</f>
        <v>0</v>
      </c>
    </row>
    <row r="328" spans="2:41" ht="12.75" x14ac:dyDescent="0.2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 s="1">
        <f>COUNTBLANK(Table1[[#This Row],[months_as_customer]:[fraud_reported]])</f>
        <v>0</v>
      </c>
    </row>
    <row r="329" spans="2:41" ht="12.75" x14ac:dyDescent="0.2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 s="1">
        <f>COUNTBLANK(Table1[[#This Row],[months_as_customer]:[fraud_reported]])</f>
        <v>0</v>
      </c>
    </row>
    <row r="330" spans="2:41" ht="12.75" x14ac:dyDescent="0.2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 s="1">
        <f>COUNTBLANK(Table1[[#This Row],[months_as_customer]:[fraud_reported]])</f>
        <v>0</v>
      </c>
    </row>
    <row r="331" spans="2:41" ht="12.75" x14ac:dyDescent="0.2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 s="1">
        <f>COUNTBLANK(Table1[[#This Row],[months_as_customer]:[fraud_reported]])</f>
        <v>0</v>
      </c>
    </row>
    <row r="332" spans="2:41" ht="12.75" x14ac:dyDescent="0.2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 s="1">
        <f>COUNTBLANK(Table1[[#This Row],[months_as_customer]:[fraud_reported]])</f>
        <v>0</v>
      </c>
    </row>
    <row r="333" spans="2:41" ht="12.75" x14ac:dyDescent="0.2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 s="1">
        <f>COUNTBLANK(Table1[[#This Row],[months_as_customer]:[fraud_reported]])</f>
        <v>0</v>
      </c>
    </row>
    <row r="334" spans="2:41" ht="12.75" x14ac:dyDescent="0.2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 s="1">
        <f>COUNTBLANK(Table1[[#This Row],[months_as_customer]:[fraud_reported]])</f>
        <v>0</v>
      </c>
    </row>
    <row r="335" spans="2:41" ht="12.75" x14ac:dyDescent="0.2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 s="1">
        <f>COUNTBLANK(Table1[[#This Row],[months_as_customer]:[fraud_reported]])</f>
        <v>0</v>
      </c>
    </row>
    <row r="336" spans="2:41" ht="12.75" x14ac:dyDescent="0.2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 s="1">
        <f>COUNTBLANK(Table1[[#This Row],[months_as_customer]:[fraud_reported]])</f>
        <v>0</v>
      </c>
    </row>
    <row r="337" spans="2:41" ht="12.75" x14ac:dyDescent="0.2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 s="1">
        <f>COUNTBLANK(Table1[[#This Row],[months_as_customer]:[fraud_reported]])</f>
        <v>0</v>
      </c>
    </row>
    <row r="338" spans="2:41" ht="12.75" x14ac:dyDescent="0.2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 s="1">
        <f>COUNTBLANK(Table1[[#This Row],[months_as_customer]:[fraud_reported]])</f>
        <v>0</v>
      </c>
    </row>
    <row r="339" spans="2:41" ht="12.75" x14ac:dyDescent="0.2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 s="1">
        <f>COUNTBLANK(Table1[[#This Row],[months_as_customer]:[fraud_reported]])</f>
        <v>0</v>
      </c>
    </row>
    <row r="340" spans="2:41" ht="12.75" x14ac:dyDescent="0.2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 s="1">
        <f>COUNTBLANK(Table1[[#This Row],[months_as_customer]:[fraud_reported]])</f>
        <v>0</v>
      </c>
    </row>
    <row r="341" spans="2:41" ht="12.75" x14ac:dyDescent="0.2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 s="1">
        <f>COUNTBLANK(Table1[[#This Row],[months_as_customer]:[fraud_reported]])</f>
        <v>0</v>
      </c>
    </row>
    <row r="342" spans="2:41" ht="12.75" x14ac:dyDescent="0.2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 s="1">
        <f>COUNTBLANK(Table1[[#This Row],[months_as_customer]:[fraud_reported]])</f>
        <v>0</v>
      </c>
    </row>
    <row r="343" spans="2:41" ht="12.75" x14ac:dyDescent="0.2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 s="1">
        <f>COUNTBLANK(Table1[[#This Row],[months_as_customer]:[fraud_reported]])</f>
        <v>0</v>
      </c>
    </row>
    <row r="344" spans="2:41" ht="12.75" x14ac:dyDescent="0.2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 s="1">
        <f>COUNTBLANK(Table1[[#This Row],[months_as_customer]:[fraud_reported]])</f>
        <v>0</v>
      </c>
    </row>
    <row r="345" spans="2:41" ht="12.75" x14ac:dyDescent="0.2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 s="1">
        <f>COUNTBLANK(Table1[[#This Row],[months_as_customer]:[fraud_reported]])</f>
        <v>0</v>
      </c>
    </row>
    <row r="346" spans="2:41" ht="12.75" x14ac:dyDescent="0.2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 s="1">
        <f>COUNTBLANK(Table1[[#This Row],[months_as_customer]:[fraud_reported]])</f>
        <v>0</v>
      </c>
    </row>
    <row r="347" spans="2:41" ht="12.75" x14ac:dyDescent="0.2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 s="1">
        <f>COUNTBLANK(Table1[[#This Row],[months_as_customer]:[fraud_reported]])</f>
        <v>0</v>
      </c>
    </row>
    <row r="348" spans="2:41" ht="12.75" x14ac:dyDescent="0.2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 s="1">
        <f>COUNTBLANK(Table1[[#This Row],[months_as_customer]:[fraud_reported]])</f>
        <v>0</v>
      </c>
    </row>
    <row r="349" spans="2:41" ht="12.75" x14ac:dyDescent="0.2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 s="1">
        <f>COUNTBLANK(Table1[[#This Row],[months_as_customer]:[fraud_reported]])</f>
        <v>0</v>
      </c>
    </row>
    <row r="350" spans="2:41" ht="12.75" x14ac:dyDescent="0.2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 s="1">
        <f>COUNTBLANK(Table1[[#This Row],[months_as_customer]:[fraud_reported]])</f>
        <v>0</v>
      </c>
    </row>
    <row r="351" spans="2:41" ht="12.75" x14ac:dyDescent="0.2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 s="1">
        <f>COUNTBLANK(Table1[[#This Row],[months_as_customer]:[fraud_reported]])</f>
        <v>0</v>
      </c>
    </row>
    <row r="352" spans="2:41" ht="12.75" x14ac:dyDescent="0.2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 s="1">
        <f>COUNTBLANK(Table1[[#This Row],[months_as_customer]:[fraud_reported]])</f>
        <v>0</v>
      </c>
    </row>
    <row r="353" spans="2:41" ht="12.75" x14ac:dyDescent="0.2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 s="1">
        <f>COUNTBLANK(Table1[[#This Row],[months_as_customer]:[fraud_reported]])</f>
        <v>0</v>
      </c>
    </row>
    <row r="354" spans="2:41" ht="12.75" x14ac:dyDescent="0.2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 s="1">
        <f>COUNTBLANK(Table1[[#This Row],[months_as_customer]:[fraud_reported]])</f>
        <v>0</v>
      </c>
    </row>
    <row r="355" spans="2:41" ht="12.75" x14ac:dyDescent="0.2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 s="1">
        <f>COUNTBLANK(Table1[[#This Row],[months_as_customer]:[fraud_reported]])</f>
        <v>0</v>
      </c>
    </row>
    <row r="356" spans="2:41" ht="12.75" x14ac:dyDescent="0.2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 s="1">
        <f>COUNTBLANK(Table1[[#This Row],[months_as_customer]:[fraud_reported]])</f>
        <v>0</v>
      </c>
    </row>
    <row r="357" spans="2:41" ht="12.75" x14ac:dyDescent="0.2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 s="1">
        <f>COUNTBLANK(Table1[[#This Row],[months_as_customer]:[fraud_reported]])</f>
        <v>0</v>
      </c>
    </row>
    <row r="358" spans="2:41" ht="12.75" x14ac:dyDescent="0.2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 s="1">
        <f>COUNTBLANK(Table1[[#This Row],[months_as_customer]:[fraud_reported]])</f>
        <v>0</v>
      </c>
    </row>
    <row r="359" spans="2:41" ht="12.75" x14ac:dyDescent="0.2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 s="1">
        <f>COUNTBLANK(Table1[[#This Row],[months_as_customer]:[fraud_reported]])</f>
        <v>0</v>
      </c>
    </row>
    <row r="360" spans="2:41" ht="12.75" x14ac:dyDescent="0.2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 s="1">
        <f>COUNTBLANK(Table1[[#This Row],[months_as_customer]:[fraud_reported]])</f>
        <v>0</v>
      </c>
    </row>
    <row r="361" spans="2:41" ht="12.75" x14ac:dyDescent="0.2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 s="1">
        <f>COUNTBLANK(Table1[[#This Row],[months_as_customer]:[fraud_reported]])</f>
        <v>0</v>
      </c>
    </row>
    <row r="362" spans="2:41" ht="12.75" x14ac:dyDescent="0.2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 s="1">
        <f>COUNTBLANK(Table1[[#This Row],[months_as_customer]:[fraud_reported]])</f>
        <v>0</v>
      </c>
    </row>
    <row r="363" spans="2:41" ht="12.75" x14ac:dyDescent="0.2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 s="1">
        <f>COUNTBLANK(Table1[[#This Row],[months_as_customer]:[fraud_reported]])</f>
        <v>0</v>
      </c>
    </row>
    <row r="364" spans="2:41" ht="12.75" x14ac:dyDescent="0.2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 s="1">
        <f>COUNTBLANK(Table1[[#This Row],[months_as_customer]:[fraud_reported]])</f>
        <v>0</v>
      </c>
    </row>
    <row r="365" spans="2:41" ht="12.75" x14ac:dyDescent="0.2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 s="1">
        <f>COUNTBLANK(Table1[[#This Row],[months_as_customer]:[fraud_reported]])</f>
        <v>0</v>
      </c>
    </row>
    <row r="366" spans="2:41" ht="12.75" x14ac:dyDescent="0.2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 s="1">
        <f>COUNTBLANK(Table1[[#This Row],[months_as_customer]:[fraud_reported]])</f>
        <v>0</v>
      </c>
    </row>
    <row r="367" spans="2:41" ht="12.75" x14ac:dyDescent="0.2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 s="1">
        <f>COUNTBLANK(Table1[[#This Row],[months_as_customer]:[fraud_reported]])</f>
        <v>0</v>
      </c>
    </row>
    <row r="368" spans="2:41" ht="12.75" x14ac:dyDescent="0.2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 s="1">
        <f>COUNTBLANK(Table1[[#This Row],[months_as_customer]:[fraud_reported]])</f>
        <v>0</v>
      </c>
    </row>
    <row r="369" spans="2:41" ht="12.75" x14ac:dyDescent="0.2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 s="1">
        <f>COUNTBLANK(Table1[[#This Row],[months_as_customer]:[fraud_reported]])</f>
        <v>0</v>
      </c>
    </row>
    <row r="370" spans="2:41" ht="12.75" x14ac:dyDescent="0.2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 s="1">
        <f>COUNTBLANK(Table1[[#This Row],[months_as_customer]:[fraud_reported]])</f>
        <v>0</v>
      </c>
    </row>
    <row r="371" spans="2:41" ht="12.75" x14ac:dyDescent="0.2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 s="1">
        <f>COUNTBLANK(Table1[[#This Row],[months_as_customer]:[fraud_reported]])</f>
        <v>0</v>
      </c>
    </row>
    <row r="372" spans="2:41" ht="12.75" x14ac:dyDescent="0.2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 s="1">
        <f>COUNTBLANK(Table1[[#This Row],[months_as_customer]:[fraud_reported]])</f>
        <v>0</v>
      </c>
    </row>
    <row r="373" spans="2:41" ht="12.75" x14ac:dyDescent="0.2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 s="1">
        <f>COUNTBLANK(Table1[[#This Row],[months_as_customer]:[fraud_reported]])</f>
        <v>0</v>
      </c>
    </row>
    <row r="374" spans="2:41" ht="12.75" x14ac:dyDescent="0.2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 s="1">
        <f>COUNTBLANK(Table1[[#This Row],[months_as_customer]:[fraud_reported]])</f>
        <v>0</v>
      </c>
    </row>
    <row r="375" spans="2:41" ht="12.75" x14ac:dyDescent="0.2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 s="1">
        <f>COUNTBLANK(Table1[[#This Row],[months_as_customer]:[fraud_reported]])</f>
        <v>0</v>
      </c>
    </row>
    <row r="376" spans="2:41" ht="12.75" x14ac:dyDescent="0.2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 s="1">
        <f>COUNTBLANK(Table1[[#This Row],[months_as_customer]:[fraud_reported]])</f>
        <v>0</v>
      </c>
    </row>
    <row r="377" spans="2:41" ht="12.75" x14ac:dyDescent="0.2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 s="1">
        <f>COUNTBLANK(Table1[[#This Row],[months_as_customer]:[fraud_reported]])</f>
        <v>0</v>
      </c>
    </row>
    <row r="378" spans="2:41" ht="12.75" x14ac:dyDescent="0.2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 s="1">
        <f>COUNTBLANK(Table1[[#This Row],[months_as_customer]:[fraud_reported]])</f>
        <v>0</v>
      </c>
    </row>
    <row r="379" spans="2:41" ht="12.75" x14ac:dyDescent="0.2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 s="1">
        <f>COUNTBLANK(Table1[[#This Row],[months_as_customer]:[fraud_reported]])</f>
        <v>0</v>
      </c>
    </row>
    <row r="380" spans="2:41" ht="12.75" x14ac:dyDescent="0.2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 s="1">
        <f>COUNTBLANK(Table1[[#This Row],[months_as_customer]:[fraud_reported]])</f>
        <v>0</v>
      </c>
    </row>
    <row r="381" spans="2:41" ht="12.75" x14ac:dyDescent="0.2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 s="1">
        <f>COUNTBLANK(Table1[[#This Row],[months_as_customer]:[fraud_reported]])</f>
        <v>0</v>
      </c>
    </row>
    <row r="382" spans="2:41" ht="12.75" x14ac:dyDescent="0.2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 s="1">
        <f>COUNTBLANK(Table1[[#This Row],[months_as_customer]:[fraud_reported]])</f>
        <v>0</v>
      </c>
    </row>
    <row r="383" spans="2:41" ht="12.75" x14ac:dyDescent="0.2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 s="1">
        <f>COUNTBLANK(Table1[[#This Row],[months_as_customer]:[fraud_reported]])</f>
        <v>0</v>
      </c>
    </row>
    <row r="384" spans="2:41" ht="12.75" x14ac:dyDescent="0.2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 s="1">
        <f>COUNTBLANK(Table1[[#This Row],[months_as_customer]:[fraud_reported]])</f>
        <v>0</v>
      </c>
    </row>
    <row r="385" spans="2:41" ht="12.75" x14ac:dyDescent="0.2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 s="1">
        <f>COUNTBLANK(Table1[[#This Row],[months_as_customer]:[fraud_reported]])</f>
        <v>0</v>
      </c>
    </row>
    <row r="386" spans="2:41" ht="12.75" x14ac:dyDescent="0.2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 s="1">
        <f>COUNTBLANK(Table1[[#This Row],[months_as_customer]:[fraud_reported]])</f>
        <v>0</v>
      </c>
    </row>
    <row r="387" spans="2:41" ht="12.75" x14ac:dyDescent="0.2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 s="1">
        <f>COUNTBLANK(Table1[[#This Row],[months_as_customer]:[fraud_reported]])</f>
        <v>0</v>
      </c>
    </row>
    <row r="388" spans="2:41" ht="12.75" x14ac:dyDescent="0.2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 s="1">
        <f>COUNTBLANK(Table1[[#This Row],[months_as_customer]:[fraud_reported]])</f>
        <v>0</v>
      </c>
    </row>
    <row r="389" spans="2:41" ht="12.75" x14ac:dyDescent="0.2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G389">
        <f>Table1[[#This Row],[injury_claim]]+Table1[[#This Row],[property_claim]]+Table1[[#This Row],[vehicle_claim]]</f>
        <v>62920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 s="1">
        <f>COUNTBLANK(Table1[[#This Row],[months_as_customer]:[fraud_reported]])</f>
        <v>0</v>
      </c>
    </row>
    <row r="390" spans="2:41" ht="12.75" x14ac:dyDescent="0.2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 s="1">
        <f>COUNTBLANK(Table1[[#This Row],[months_as_customer]:[fraud_reported]])</f>
        <v>0</v>
      </c>
    </row>
    <row r="391" spans="2:41" ht="12.75" x14ac:dyDescent="0.2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 s="1">
        <f>COUNTBLANK(Table1[[#This Row],[months_as_customer]:[fraud_reported]])</f>
        <v>0</v>
      </c>
    </row>
    <row r="392" spans="2:41" ht="12.75" x14ac:dyDescent="0.2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 s="1">
        <f>COUNTBLANK(Table1[[#This Row],[months_as_customer]:[fraud_reported]])</f>
        <v>0</v>
      </c>
    </row>
    <row r="393" spans="2:41" ht="12.75" x14ac:dyDescent="0.2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 s="1">
        <f>COUNTBLANK(Table1[[#This Row],[months_as_customer]:[fraud_reported]])</f>
        <v>0</v>
      </c>
    </row>
    <row r="394" spans="2:41" ht="12.75" x14ac:dyDescent="0.2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 s="1">
        <f>COUNTBLANK(Table1[[#This Row],[months_as_customer]:[fraud_reported]])</f>
        <v>0</v>
      </c>
    </row>
    <row r="395" spans="2:41" ht="12.75" x14ac:dyDescent="0.2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 s="1">
        <f>COUNTBLANK(Table1[[#This Row],[months_as_customer]:[fraud_reported]])</f>
        <v>0</v>
      </c>
    </row>
    <row r="396" spans="2:41" ht="12.75" x14ac:dyDescent="0.2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 s="1">
        <f>COUNTBLANK(Table1[[#This Row],[months_as_customer]:[fraud_reported]])</f>
        <v>0</v>
      </c>
    </row>
    <row r="397" spans="2:41" ht="12.75" x14ac:dyDescent="0.2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 s="1">
        <f>COUNTBLANK(Table1[[#This Row],[months_as_customer]:[fraud_reported]])</f>
        <v>0</v>
      </c>
    </row>
    <row r="398" spans="2:41" ht="12.75" x14ac:dyDescent="0.2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 s="1">
        <f>COUNTBLANK(Table1[[#This Row],[months_as_customer]:[fraud_reported]])</f>
        <v>0</v>
      </c>
    </row>
    <row r="399" spans="2:41" ht="12.75" x14ac:dyDescent="0.2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 s="1">
        <f>COUNTBLANK(Table1[[#This Row],[months_as_customer]:[fraud_reported]])</f>
        <v>0</v>
      </c>
    </row>
    <row r="400" spans="2:41" ht="12.75" x14ac:dyDescent="0.2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 s="1">
        <f>COUNTBLANK(Table1[[#This Row],[months_as_customer]:[fraud_reported]])</f>
        <v>0</v>
      </c>
    </row>
    <row r="401" spans="2:41" ht="12.75" x14ac:dyDescent="0.2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 s="1">
        <f>COUNTBLANK(Table1[[#This Row],[months_as_customer]:[fraud_reported]])</f>
        <v>0</v>
      </c>
    </row>
    <row r="402" spans="2:41" ht="12.75" x14ac:dyDescent="0.2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 s="1">
        <f>COUNTBLANK(Table1[[#This Row],[months_as_customer]:[fraud_reported]])</f>
        <v>0</v>
      </c>
    </row>
    <row r="403" spans="2:41" ht="12.75" x14ac:dyDescent="0.2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 s="1">
        <f>COUNTBLANK(Table1[[#This Row],[months_as_customer]:[fraud_reported]])</f>
        <v>0</v>
      </c>
    </row>
    <row r="404" spans="2:41" ht="12.75" x14ac:dyDescent="0.2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 s="1">
        <f>COUNTBLANK(Table1[[#This Row],[months_as_customer]:[fraud_reported]])</f>
        <v>0</v>
      </c>
    </row>
    <row r="405" spans="2:41" ht="12.75" x14ac:dyDescent="0.2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 s="1">
        <f>COUNTBLANK(Table1[[#This Row],[months_as_customer]:[fraud_reported]])</f>
        <v>0</v>
      </c>
    </row>
    <row r="406" spans="2:41" ht="12.75" x14ac:dyDescent="0.2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 s="1">
        <f>COUNTBLANK(Table1[[#This Row],[months_as_customer]:[fraud_reported]])</f>
        <v>0</v>
      </c>
    </row>
    <row r="407" spans="2:41" ht="12.75" x14ac:dyDescent="0.2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 s="1">
        <f>COUNTBLANK(Table1[[#This Row],[months_as_customer]:[fraud_reported]])</f>
        <v>0</v>
      </c>
    </row>
    <row r="408" spans="2:41" ht="12.75" x14ac:dyDescent="0.2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 s="1">
        <f>COUNTBLANK(Table1[[#This Row],[months_as_customer]:[fraud_reported]])</f>
        <v>0</v>
      </c>
    </row>
    <row r="409" spans="2:41" ht="12.75" x14ac:dyDescent="0.2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 s="1">
        <f>COUNTBLANK(Table1[[#This Row],[months_as_customer]:[fraud_reported]])</f>
        <v>0</v>
      </c>
    </row>
    <row r="410" spans="2:41" ht="12.75" x14ac:dyDescent="0.2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 s="1">
        <f>COUNTBLANK(Table1[[#This Row],[months_as_customer]:[fraud_reported]])</f>
        <v>0</v>
      </c>
    </row>
    <row r="411" spans="2:41" ht="12.75" x14ac:dyDescent="0.2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 s="1">
        <f>COUNTBLANK(Table1[[#This Row],[months_as_customer]:[fraud_reported]])</f>
        <v>0</v>
      </c>
    </row>
    <row r="412" spans="2:41" ht="12.75" x14ac:dyDescent="0.2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 s="1">
        <f>COUNTBLANK(Table1[[#This Row],[months_as_customer]:[fraud_reported]])</f>
        <v>0</v>
      </c>
    </row>
    <row r="413" spans="2:41" ht="12.75" x14ac:dyDescent="0.2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 s="1">
        <f>COUNTBLANK(Table1[[#This Row],[months_as_customer]:[fraud_reported]])</f>
        <v>0</v>
      </c>
    </row>
    <row r="414" spans="2:41" ht="12.75" x14ac:dyDescent="0.2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 s="1">
        <f>COUNTBLANK(Table1[[#This Row],[months_as_customer]:[fraud_reported]])</f>
        <v>0</v>
      </c>
    </row>
    <row r="415" spans="2:41" ht="12.75" x14ac:dyDescent="0.2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 s="1">
        <f>COUNTBLANK(Table1[[#This Row],[months_as_customer]:[fraud_reported]])</f>
        <v>0</v>
      </c>
    </row>
    <row r="416" spans="2:41" ht="12.75" x14ac:dyDescent="0.2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 s="1">
        <f>COUNTBLANK(Table1[[#This Row],[months_as_customer]:[fraud_reported]])</f>
        <v>0</v>
      </c>
    </row>
    <row r="417" spans="2:41" ht="12.75" x14ac:dyDescent="0.2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 s="1">
        <f>COUNTBLANK(Table1[[#This Row],[months_as_customer]:[fraud_reported]])</f>
        <v>0</v>
      </c>
    </row>
    <row r="418" spans="2:41" ht="12.75" x14ac:dyDescent="0.2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 s="1">
        <f>COUNTBLANK(Table1[[#This Row],[months_as_customer]:[fraud_reported]])</f>
        <v>0</v>
      </c>
    </row>
    <row r="419" spans="2:41" ht="12.75" x14ac:dyDescent="0.2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 s="1">
        <f>COUNTBLANK(Table1[[#This Row],[months_as_customer]:[fraud_reported]])</f>
        <v>0</v>
      </c>
    </row>
    <row r="420" spans="2:41" ht="12.75" x14ac:dyDescent="0.2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 s="1">
        <f>COUNTBLANK(Table1[[#This Row],[months_as_customer]:[fraud_reported]])</f>
        <v>0</v>
      </c>
    </row>
    <row r="421" spans="2:41" ht="12.75" x14ac:dyDescent="0.2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 s="1">
        <f>COUNTBLANK(Table1[[#This Row],[months_as_customer]:[fraud_reported]])</f>
        <v>0</v>
      </c>
    </row>
    <row r="422" spans="2:41" ht="12.75" x14ac:dyDescent="0.2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 s="1">
        <f>COUNTBLANK(Table1[[#This Row],[months_as_customer]:[fraud_reported]])</f>
        <v>0</v>
      </c>
    </row>
    <row r="423" spans="2:41" ht="12.75" x14ac:dyDescent="0.2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 s="1">
        <f>COUNTBLANK(Table1[[#This Row],[months_as_customer]:[fraud_reported]])</f>
        <v>0</v>
      </c>
    </row>
    <row r="424" spans="2:41" ht="12.75" x14ac:dyDescent="0.2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 s="1">
        <f>COUNTBLANK(Table1[[#This Row],[months_as_customer]:[fraud_reported]])</f>
        <v>0</v>
      </c>
    </row>
    <row r="425" spans="2:41" ht="12.75" x14ac:dyDescent="0.2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 s="1">
        <f>COUNTBLANK(Table1[[#This Row],[months_as_customer]:[fraud_reported]])</f>
        <v>0</v>
      </c>
    </row>
    <row r="426" spans="2:41" ht="12.75" x14ac:dyDescent="0.2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 s="1">
        <f>COUNTBLANK(Table1[[#This Row],[months_as_customer]:[fraud_reported]])</f>
        <v>0</v>
      </c>
    </row>
    <row r="427" spans="2:41" ht="12.75" x14ac:dyDescent="0.2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 s="1">
        <f>COUNTBLANK(Table1[[#This Row],[months_as_customer]:[fraud_reported]])</f>
        <v>0</v>
      </c>
    </row>
    <row r="428" spans="2:41" ht="12.75" x14ac:dyDescent="0.2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 s="1">
        <f>COUNTBLANK(Table1[[#This Row],[months_as_customer]:[fraud_reported]])</f>
        <v>0</v>
      </c>
    </row>
    <row r="429" spans="2:41" ht="12.75" x14ac:dyDescent="0.2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 s="1">
        <f>COUNTBLANK(Table1[[#This Row],[months_as_customer]:[fraud_reported]])</f>
        <v>0</v>
      </c>
    </row>
    <row r="430" spans="2:41" ht="12.75" x14ac:dyDescent="0.2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 s="1">
        <f>COUNTBLANK(Table1[[#This Row],[months_as_customer]:[fraud_reported]])</f>
        <v>0</v>
      </c>
    </row>
    <row r="431" spans="2:41" ht="12.75" x14ac:dyDescent="0.2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 s="1">
        <f>COUNTBLANK(Table1[[#This Row],[months_as_customer]:[fraud_reported]])</f>
        <v>0</v>
      </c>
    </row>
    <row r="432" spans="2:41" ht="12.75" x14ac:dyDescent="0.2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 s="1">
        <f>COUNTBLANK(Table1[[#This Row],[months_as_customer]:[fraud_reported]])</f>
        <v>0</v>
      </c>
    </row>
    <row r="433" spans="2:41" ht="12.75" x14ac:dyDescent="0.2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 s="1">
        <f>COUNTBLANK(Table1[[#This Row],[months_as_customer]:[fraud_reported]])</f>
        <v>0</v>
      </c>
    </row>
    <row r="434" spans="2:41" ht="12.75" x14ac:dyDescent="0.2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 s="1">
        <f>COUNTBLANK(Table1[[#This Row],[months_as_customer]:[fraud_reported]])</f>
        <v>0</v>
      </c>
    </row>
    <row r="435" spans="2:41" ht="12.75" x14ac:dyDescent="0.2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 s="1">
        <f>COUNTBLANK(Table1[[#This Row],[months_as_customer]:[fraud_reported]])</f>
        <v>0</v>
      </c>
    </row>
    <row r="436" spans="2:41" ht="12.75" x14ac:dyDescent="0.2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 s="1">
        <f>COUNTBLANK(Table1[[#This Row],[months_as_customer]:[fraud_reported]])</f>
        <v>0</v>
      </c>
    </row>
    <row r="437" spans="2:41" ht="12.75" x14ac:dyDescent="0.2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 s="1">
        <f>COUNTBLANK(Table1[[#This Row],[months_as_customer]:[fraud_reported]])</f>
        <v>0</v>
      </c>
    </row>
    <row r="438" spans="2:41" ht="12.75" x14ac:dyDescent="0.2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 s="1">
        <f>COUNTBLANK(Table1[[#This Row],[months_as_customer]:[fraud_reported]])</f>
        <v>0</v>
      </c>
    </row>
    <row r="439" spans="2:41" ht="12.75" x14ac:dyDescent="0.2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 s="1">
        <f>COUNTBLANK(Table1[[#This Row],[months_as_customer]:[fraud_reported]])</f>
        <v>0</v>
      </c>
    </row>
    <row r="440" spans="2:41" ht="12.75" x14ac:dyDescent="0.2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 s="1">
        <f>COUNTBLANK(Table1[[#This Row],[months_as_customer]:[fraud_reported]])</f>
        <v>0</v>
      </c>
    </row>
    <row r="441" spans="2:41" ht="12.75" x14ac:dyDescent="0.2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 s="1">
        <f>COUNTBLANK(Table1[[#This Row],[months_as_customer]:[fraud_reported]])</f>
        <v>0</v>
      </c>
    </row>
    <row r="442" spans="2:41" ht="12.75" x14ac:dyDescent="0.2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 s="1">
        <f>COUNTBLANK(Table1[[#This Row],[months_as_customer]:[fraud_reported]])</f>
        <v>0</v>
      </c>
    </row>
    <row r="443" spans="2:41" ht="12.75" x14ac:dyDescent="0.2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 s="1">
        <f>COUNTBLANK(Table1[[#This Row],[months_as_customer]:[fraud_reported]])</f>
        <v>0</v>
      </c>
    </row>
    <row r="444" spans="2:41" ht="12.75" x14ac:dyDescent="0.2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 s="1">
        <f>COUNTBLANK(Table1[[#This Row],[months_as_customer]:[fraud_reported]])</f>
        <v>0</v>
      </c>
    </row>
    <row r="445" spans="2:41" ht="12.75" x14ac:dyDescent="0.2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 s="1">
        <f>COUNTBLANK(Table1[[#This Row],[months_as_customer]:[fraud_reported]])</f>
        <v>0</v>
      </c>
    </row>
    <row r="446" spans="2:41" ht="12.75" x14ac:dyDescent="0.2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 s="1">
        <f>COUNTBLANK(Table1[[#This Row],[months_as_customer]:[fraud_reported]])</f>
        <v>0</v>
      </c>
    </row>
    <row r="447" spans="2:41" ht="12.75" x14ac:dyDescent="0.2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 s="1">
        <f>COUNTBLANK(Table1[[#This Row],[months_as_customer]:[fraud_reported]])</f>
        <v>0</v>
      </c>
    </row>
    <row r="448" spans="2:41" ht="12.75" x14ac:dyDescent="0.2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 s="1">
        <f>COUNTBLANK(Table1[[#This Row],[months_as_customer]:[fraud_reported]])</f>
        <v>0</v>
      </c>
    </row>
    <row r="449" spans="2:41" ht="12.75" x14ac:dyDescent="0.2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 s="1">
        <f>COUNTBLANK(Table1[[#This Row],[months_as_customer]:[fraud_reported]])</f>
        <v>0</v>
      </c>
    </row>
    <row r="450" spans="2:41" ht="12.75" x14ac:dyDescent="0.2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 s="1">
        <f>COUNTBLANK(Table1[[#This Row],[months_as_customer]:[fraud_reported]])</f>
        <v>0</v>
      </c>
    </row>
    <row r="451" spans="2:41" ht="12.75" x14ac:dyDescent="0.2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 s="1">
        <f>COUNTBLANK(Table1[[#This Row],[months_as_customer]:[fraud_reported]])</f>
        <v>0</v>
      </c>
    </row>
    <row r="452" spans="2:41" ht="12.75" x14ac:dyDescent="0.2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 s="1">
        <f>COUNTBLANK(Table1[[#This Row],[months_as_customer]:[fraud_reported]])</f>
        <v>0</v>
      </c>
    </row>
    <row r="453" spans="2:41" ht="12.75" x14ac:dyDescent="0.2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 s="1">
        <f>COUNTBLANK(Table1[[#This Row],[months_as_customer]:[fraud_reported]])</f>
        <v>0</v>
      </c>
    </row>
    <row r="454" spans="2:41" ht="12.75" x14ac:dyDescent="0.2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 s="1">
        <f>COUNTBLANK(Table1[[#This Row],[months_as_customer]:[fraud_reported]])</f>
        <v>0</v>
      </c>
    </row>
    <row r="455" spans="2:41" ht="12.75" x14ac:dyDescent="0.2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 s="1">
        <f>COUNTBLANK(Table1[[#This Row],[months_as_customer]:[fraud_reported]])</f>
        <v>0</v>
      </c>
    </row>
    <row r="456" spans="2:41" ht="12.75" x14ac:dyDescent="0.2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 s="1">
        <f>COUNTBLANK(Table1[[#This Row],[months_as_customer]:[fraud_reported]])</f>
        <v>0</v>
      </c>
    </row>
    <row r="457" spans="2:41" ht="12.75" x14ac:dyDescent="0.2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 s="1">
        <f>COUNTBLANK(Table1[[#This Row],[months_as_customer]:[fraud_reported]])</f>
        <v>0</v>
      </c>
    </row>
    <row r="458" spans="2:41" ht="12.75" x14ac:dyDescent="0.2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 s="1">
        <f>COUNTBLANK(Table1[[#This Row],[months_as_customer]:[fraud_reported]])</f>
        <v>0</v>
      </c>
    </row>
    <row r="459" spans="2:41" ht="12.75" x14ac:dyDescent="0.2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 s="1">
        <f>COUNTBLANK(Table1[[#This Row],[months_as_customer]:[fraud_reported]])</f>
        <v>0</v>
      </c>
    </row>
    <row r="460" spans="2:41" ht="12.75" x14ac:dyDescent="0.2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 s="1">
        <f>COUNTBLANK(Table1[[#This Row],[months_as_customer]:[fraud_reported]])</f>
        <v>0</v>
      </c>
    </row>
    <row r="461" spans="2:41" ht="12.75" x14ac:dyDescent="0.2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 s="1">
        <f>COUNTBLANK(Table1[[#This Row],[months_as_customer]:[fraud_reported]])</f>
        <v>0</v>
      </c>
    </row>
    <row r="462" spans="2:41" ht="12.75" x14ac:dyDescent="0.2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 s="1">
        <f>COUNTBLANK(Table1[[#This Row],[months_as_customer]:[fraud_reported]])</f>
        <v>0</v>
      </c>
    </row>
    <row r="463" spans="2:41" ht="12.75" x14ac:dyDescent="0.2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 s="1">
        <f>COUNTBLANK(Table1[[#This Row],[months_as_customer]:[fraud_reported]])</f>
        <v>0</v>
      </c>
    </row>
    <row r="464" spans="2:41" ht="12.75" x14ac:dyDescent="0.2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 s="1">
        <f>COUNTBLANK(Table1[[#This Row],[months_as_customer]:[fraud_reported]])</f>
        <v>0</v>
      </c>
    </row>
    <row r="465" spans="2:41" ht="12.75" x14ac:dyDescent="0.2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 s="1">
        <f>COUNTBLANK(Table1[[#This Row],[months_as_customer]:[fraud_reported]])</f>
        <v>0</v>
      </c>
    </row>
    <row r="466" spans="2:41" ht="12.75" x14ac:dyDescent="0.2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 s="1">
        <f>COUNTBLANK(Table1[[#This Row],[months_as_customer]:[fraud_reported]])</f>
        <v>0</v>
      </c>
    </row>
    <row r="467" spans="2:41" ht="12.75" x14ac:dyDescent="0.2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 s="1">
        <f>COUNTBLANK(Table1[[#This Row],[months_as_customer]:[fraud_reported]])</f>
        <v>0</v>
      </c>
    </row>
    <row r="468" spans="2:41" ht="12.75" x14ac:dyDescent="0.2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 s="1">
        <f>COUNTBLANK(Table1[[#This Row],[months_as_customer]:[fraud_reported]])</f>
        <v>0</v>
      </c>
    </row>
    <row r="469" spans="2:41" ht="12.75" x14ac:dyDescent="0.2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 s="1">
        <f>COUNTBLANK(Table1[[#This Row],[months_as_customer]:[fraud_reported]])</f>
        <v>0</v>
      </c>
    </row>
    <row r="470" spans="2:41" ht="12.75" x14ac:dyDescent="0.2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 s="1">
        <f>COUNTBLANK(Table1[[#This Row],[months_as_customer]:[fraud_reported]])</f>
        <v>0</v>
      </c>
    </row>
    <row r="471" spans="2:41" ht="12.75" x14ac:dyDescent="0.2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 s="1">
        <f>COUNTBLANK(Table1[[#This Row],[months_as_customer]:[fraud_reported]])</f>
        <v>0</v>
      </c>
    </row>
    <row r="472" spans="2:41" ht="12.75" x14ac:dyDescent="0.2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 s="1">
        <f>COUNTBLANK(Table1[[#This Row],[months_as_customer]:[fraud_reported]])</f>
        <v>0</v>
      </c>
    </row>
    <row r="473" spans="2:41" ht="12.75" x14ac:dyDescent="0.2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 s="1">
        <f>COUNTBLANK(Table1[[#This Row],[months_as_customer]:[fraud_reported]])</f>
        <v>0</v>
      </c>
    </row>
    <row r="474" spans="2:41" ht="12.75" x14ac:dyDescent="0.2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 s="1">
        <f>COUNTBLANK(Table1[[#This Row],[months_as_customer]:[fraud_reported]])</f>
        <v>0</v>
      </c>
    </row>
    <row r="475" spans="2:41" ht="12.75" x14ac:dyDescent="0.2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 s="1">
        <f>COUNTBLANK(Table1[[#This Row],[months_as_customer]:[fraud_reported]])</f>
        <v>0</v>
      </c>
    </row>
    <row r="476" spans="2:41" ht="12.75" x14ac:dyDescent="0.2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 s="1">
        <f>COUNTBLANK(Table1[[#This Row],[months_as_customer]:[fraud_reported]])</f>
        <v>0</v>
      </c>
    </row>
    <row r="477" spans="2:41" ht="12.75" x14ac:dyDescent="0.2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H477">
        <f>Table1[[#This Row],[total_claim_amount]]-SUM(Table1[[#This Row],[vehicle_claim]],Table1[[#This Row],[property_claim]])</f>
        <v>5910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 s="1">
        <f>COUNTBLANK(Table1[[#This Row],[months_as_customer]:[fraud_reported]])</f>
        <v>0</v>
      </c>
    </row>
    <row r="478" spans="2:41" ht="12.75" x14ac:dyDescent="0.2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 s="1">
        <f>COUNTBLANK(Table1[[#This Row],[months_as_customer]:[fraud_reported]])</f>
        <v>0</v>
      </c>
    </row>
    <row r="479" spans="2:41" ht="12.75" x14ac:dyDescent="0.2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 s="1">
        <f>COUNTBLANK(Table1[[#This Row],[months_as_customer]:[fraud_reported]])</f>
        <v>0</v>
      </c>
    </row>
    <row r="480" spans="2:41" ht="12.75" x14ac:dyDescent="0.2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 s="1">
        <f>COUNTBLANK(Table1[[#This Row],[months_as_customer]:[fraud_reported]])</f>
        <v>0</v>
      </c>
    </row>
    <row r="481" spans="2:41" ht="12.75" x14ac:dyDescent="0.2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 s="1">
        <f>COUNTBLANK(Table1[[#This Row],[months_as_customer]:[fraud_reported]])</f>
        <v>0</v>
      </c>
    </row>
    <row r="482" spans="2:41" ht="12.75" x14ac:dyDescent="0.2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 s="1">
        <f>COUNTBLANK(Table1[[#This Row],[months_as_customer]:[fraud_reported]])</f>
        <v>0</v>
      </c>
    </row>
    <row r="483" spans="2:41" ht="12.75" x14ac:dyDescent="0.2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 s="1">
        <f>COUNTBLANK(Table1[[#This Row],[months_as_customer]:[fraud_reported]])</f>
        <v>0</v>
      </c>
    </row>
    <row r="484" spans="2:41" ht="12.75" x14ac:dyDescent="0.2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 s="1">
        <f>COUNTBLANK(Table1[[#This Row],[months_as_customer]:[fraud_reported]])</f>
        <v>0</v>
      </c>
    </row>
    <row r="485" spans="2:41" ht="12.75" x14ac:dyDescent="0.2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 s="1">
        <f>COUNTBLANK(Table1[[#This Row],[months_as_customer]:[fraud_reported]])</f>
        <v>0</v>
      </c>
    </row>
    <row r="486" spans="2:41" ht="12.75" x14ac:dyDescent="0.2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 s="1">
        <f>COUNTBLANK(Table1[[#This Row],[months_as_customer]:[fraud_reported]])</f>
        <v>0</v>
      </c>
    </row>
    <row r="487" spans="2:41" ht="12.75" x14ac:dyDescent="0.2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 s="1">
        <f>COUNTBLANK(Table1[[#This Row],[months_as_customer]:[fraud_reported]])</f>
        <v>0</v>
      </c>
    </row>
    <row r="488" spans="2:41" ht="12.75" x14ac:dyDescent="0.2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 s="1">
        <f>COUNTBLANK(Table1[[#This Row],[months_as_customer]:[fraud_reported]])</f>
        <v>0</v>
      </c>
    </row>
    <row r="489" spans="2:41" ht="12.75" x14ac:dyDescent="0.2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 s="1">
        <f>COUNTBLANK(Table1[[#This Row],[months_as_customer]:[fraud_reported]])</f>
        <v>0</v>
      </c>
    </row>
    <row r="490" spans="2:41" ht="12.75" x14ac:dyDescent="0.2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 s="1">
        <f>COUNTBLANK(Table1[[#This Row],[months_as_customer]:[fraud_reported]])</f>
        <v>0</v>
      </c>
    </row>
    <row r="491" spans="2:41" ht="12.75" x14ac:dyDescent="0.2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 s="1">
        <f>COUNTBLANK(Table1[[#This Row],[months_as_customer]:[fraud_reported]])</f>
        <v>0</v>
      </c>
    </row>
    <row r="492" spans="2:41" ht="12.75" x14ac:dyDescent="0.2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 s="1">
        <f>COUNTBLANK(Table1[[#This Row],[months_as_customer]:[fraud_reported]])</f>
        <v>0</v>
      </c>
    </row>
    <row r="493" spans="2:41" ht="12.75" x14ac:dyDescent="0.2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 s="1">
        <f>COUNTBLANK(Table1[[#This Row],[months_as_customer]:[fraud_reported]])</f>
        <v>0</v>
      </c>
    </row>
    <row r="494" spans="2:41" ht="12.75" x14ac:dyDescent="0.2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 s="1">
        <f>COUNTBLANK(Table1[[#This Row],[months_as_customer]:[fraud_reported]])</f>
        <v>0</v>
      </c>
    </row>
    <row r="495" spans="2:41" ht="12.75" x14ac:dyDescent="0.2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 s="1">
        <f>COUNTBLANK(Table1[[#This Row],[months_as_customer]:[fraud_reported]])</f>
        <v>0</v>
      </c>
    </row>
    <row r="496" spans="2:41" ht="12.75" x14ac:dyDescent="0.2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 s="1">
        <f>COUNTBLANK(Table1[[#This Row],[months_as_customer]:[fraud_reported]])</f>
        <v>0</v>
      </c>
    </row>
    <row r="497" spans="2:41" ht="12.75" x14ac:dyDescent="0.2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 s="1">
        <f>COUNTBLANK(Table1[[#This Row],[months_as_customer]:[fraud_reported]])</f>
        <v>0</v>
      </c>
    </row>
    <row r="498" spans="2:41" ht="12.75" x14ac:dyDescent="0.2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 s="1">
        <f>COUNTBLANK(Table1[[#This Row],[months_as_customer]:[fraud_reported]])</f>
        <v>0</v>
      </c>
    </row>
    <row r="499" spans="2:41" ht="12.75" x14ac:dyDescent="0.2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 s="1">
        <f>COUNTBLANK(Table1[[#This Row],[months_as_customer]:[fraud_reported]])</f>
        <v>0</v>
      </c>
    </row>
    <row r="500" spans="2:41" ht="12.75" x14ac:dyDescent="0.2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 s="1">
        <f>COUNTBLANK(Table1[[#This Row],[months_as_customer]:[fraud_reported]])</f>
        <v>0</v>
      </c>
    </row>
    <row r="501" spans="2:41" ht="12.75" x14ac:dyDescent="0.2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 s="1">
        <f>COUNTBLANK(Table1[[#This Row],[months_as_customer]:[fraud_reported]])</f>
        <v>0</v>
      </c>
    </row>
    <row r="502" spans="2:41" ht="12.75" x14ac:dyDescent="0.2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 s="1">
        <f>COUNTBLANK(Table1[[#This Row],[months_as_customer]:[fraud_reported]])</f>
        <v>0</v>
      </c>
    </row>
    <row r="503" spans="2:41" ht="12.75" x14ac:dyDescent="0.2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 s="1">
        <f>COUNTBLANK(Table1[[#This Row],[months_as_customer]:[fraud_reported]])</f>
        <v>0</v>
      </c>
    </row>
    <row r="504" spans="2:41" ht="12.75" x14ac:dyDescent="0.2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 s="1">
        <f>COUNTBLANK(Table1[[#This Row],[months_as_customer]:[fraud_reported]])</f>
        <v>0</v>
      </c>
    </row>
    <row r="505" spans="2:41" ht="12.75" x14ac:dyDescent="0.2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 s="1">
        <f>COUNTBLANK(Table1[[#This Row],[months_as_customer]:[fraud_reported]])</f>
        <v>0</v>
      </c>
    </row>
    <row r="506" spans="2:41" ht="12.75" x14ac:dyDescent="0.2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 s="1">
        <f>COUNTBLANK(Table1[[#This Row],[months_as_customer]:[fraud_reported]])</f>
        <v>0</v>
      </c>
    </row>
    <row r="507" spans="2:41" ht="12.75" x14ac:dyDescent="0.2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 s="1">
        <f>COUNTBLANK(Table1[[#This Row],[months_as_customer]:[fraud_reported]])</f>
        <v>0</v>
      </c>
    </row>
    <row r="508" spans="2:41" ht="12.75" x14ac:dyDescent="0.2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 s="1">
        <f>COUNTBLANK(Table1[[#This Row],[months_as_customer]:[fraud_reported]])</f>
        <v>0</v>
      </c>
    </row>
    <row r="509" spans="2:41" ht="12.75" x14ac:dyDescent="0.2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 s="1">
        <f>COUNTBLANK(Table1[[#This Row],[months_as_customer]:[fraud_reported]])</f>
        <v>0</v>
      </c>
    </row>
    <row r="510" spans="2:41" ht="12.75" x14ac:dyDescent="0.2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 s="1">
        <f>COUNTBLANK(Table1[[#This Row],[months_as_customer]:[fraud_reported]])</f>
        <v>0</v>
      </c>
    </row>
    <row r="511" spans="2:41" ht="12.75" x14ac:dyDescent="0.2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 s="1">
        <f>COUNTBLANK(Table1[[#This Row],[months_as_customer]:[fraud_reported]])</f>
        <v>0</v>
      </c>
    </row>
    <row r="512" spans="2:41" ht="12.75" x14ac:dyDescent="0.2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 s="1">
        <f>COUNTBLANK(Table1[[#This Row],[months_as_customer]:[fraud_reported]])</f>
        <v>0</v>
      </c>
    </row>
    <row r="513" spans="2:41" ht="12.75" x14ac:dyDescent="0.2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 s="1">
        <f>COUNTBLANK(Table1[[#This Row],[months_as_customer]:[fraud_reported]])</f>
        <v>0</v>
      </c>
    </row>
    <row r="514" spans="2:41" ht="12.75" x14ac:dyDescent="0.2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 s="1">
        <f>COUNTBLANK(Table1[[#This Row],[months_as_customer]:[fraud_reported]])</f>
        <v>0</v>
      </c>
    </row>
    <row r="515" spans="2:41" ht="12.75" x14ac:dyDescent="0.2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 s="1">
        <f>COUNTBLANK(Table1[[#This Row],[months_as_customer]:[fraud_reported]])</f>
        <v>0</v>
      </c>
    </row>
    <row r="516" spans="2:41" ht="12.75" x14ac:dyDescent="0.2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 s="1">
        <f>COUNTBLANK(Table1[[#This Row],[months_as_customer]:[fraud_reported]])</f>
        <v>0</v>
      </c>
    </row>
    <row r="517" spans="2:41" ht="12.75" x14ac:dyDescent="0.2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 s="1">
        <f>COUNTBLANK(Table1[[#This Row],[months_as_customer]:[fraud_reported]])</f>
        <v>0</v>
      </c>
    </row>
    <row r="518" spans="2:41" ht="12.75" x14ac:dyDescent="0.2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 s="1">
        <f>COUNTBLANK(Table1[[#This Row],[months_as_customer]:[fraud_reported]])</f>
        <v>0</v>
      </c>
    </row>
    <row r="519" spans="2:41" ht="12.75" x14ac:dyDescent="0.2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 s="1">
        <f>COUNTBLANK(Table1[[#This Row],[months_as_customer]:[fraud_reported]])</f>
        <v>0</v>
      </c>
    </row>
    <row r="520" spans="2:41" ht="12.75" x14ac:dyDescent="0.2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 s="1">
        <f>COUNTBLANK(Table1[[#This Row],[months_as_customer]:[fraud_reported]])</f>
        <v>0</v>
      </c>
    </row>
    <row r="521" spans="2:41" ht="12.75" x14ac:dyDescent="0.2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 s="1">
        <f>COUNTBLANK(Table1[[#This Row],[months_as_customer]:[fraud_reported]])</f>
        <v>0</v>
      </c>
    </row>
    <row r="522" spans="2:41" ht="12.75" x14ac:dyDescent="0.2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 s="1">
        <f>COUNTBLANK(Table1[[#This Row],[months_as_customer]:[fraud_reported]])</f>
        <v>0</v>
      </c>
    </row>
    <row r="523" spans="2:41" ht="12.75" x14ac:dyDescent="0.2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 s="1">
        <f>COUNTBLANK(Table1[[#This Row],[months_as_customer]:[fraud_reported]])</f>
        <v>0</v>
      </c>
    </row>
    <row r="524" spans="2:41" ht="12.75" x14ac:dyDescent="0.2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 s="1">
        <f>COUNTBLANK(Table1[[#This Row],[months_as_customer]:[fraud_reported]])</f>
        <v>0</v>
      </c>
    </row>
    <row r="525" spans="2:41" ht="12.75" x14ac:dyDescent="0.2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 s="1">
        <f>COUNTBLANK(Table1[[#This Row],[months_as_customer]:[fraud_reported]])</f>
        <v>0</v>
      </c>
    </row>
    <row r="526" spans="2:41" ht="12.75" x14ac:dyDescent="0.2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 s="1">
        <f>COUNTBLANK(Table1[[#This Row],[months_as_customer]:[fraud_reported]])</f>
        <v>0</v>
      </c>
    </row>
    <row r="527" spans="2:41" ht="12.75" x14ac:dyDescent="0.2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 s="1">
        <f>COUNTBLANK(Table1[[#This Row],[months_as_customer]:[fraud_reported]])</f>
        <v>0</v>
      </c>
    </row>
    <row r="528" spans="2:41" ht="12.75" x14ac:dyDescent="0.2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 s="1">
        <f>COUNTBLANK(Table1[[#This Row],[months_as_customer]:[fraud_reported]])</f>
        <v>0</v>
      </c>
    </row>
    <row r="529" spans="2:41" ht="12.75" x14ac:dyDescent="0.2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 s="1">
        <f>COUNTBLANK(Table1[[#This Row],[months_as_customer]:[fraud_reported]])</f>
        <v>0</v>
      </c>
    </row>
    <row r="530" spans="2:41" ht="12.75" x14ac:dyDescent="0.2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 s="1">
        <f>COUNTBLANK(Table1[[#This Row],[months_as_customer]:[fraud_reported]])</f>
        <v>0</v>
      </c>
    </row>
    <row r="531" spans="2:41" ht="12.75" x14ac:dyDescent="0.2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 s="1">
        <f>COUNTBLANK(Table1[[#This Row],[months_as_customer]:[fraud_reported]])</f>
        <v>0</v>
      </c>
    </row>
    <row r="532" spans="2:41" ht="12.75" x14ac:dyDescent="0.2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 s="1">
        <f>COUNTBLANK(Table1[[#This Row],[months_as_customer]:[fraud_reported]])</f>
        <v>0</v>
      </c>
    </row>
    <row r="533" spans="2:41" ht="12.75" x14ac:dyDescent="0.2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 s="1">
        <f>COUNTBLANK(Table1[[#This Row],[months_as_customer]:[fraud_reported]])</f>
        <v>0</v>
      </c>
    </row>
    <row r="534" spans="2:41" ht="12.75" x14ac:dyDescent="0.2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 s="1">
        <f>COUNTBLANK(Table1[[#This Row],[months_as_customer]:[fraud_reported]])</f>
        <v>0</v>
      </c>
    </row>
    <row r="535" spans="2:41" ht="12.75" x14ac:dyDescent="0.2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 s="1">
        <f>COUNTBLANK(Table1[[#This Row],[months_as_customer]:[fraud_reported]])</f>
        <v>0</v>
      </c>
    </row>
    <row r="536" spans="2:41" ht="12.75" x14ac:dyDescent="0.2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 s="1">
        <f>COUNTBLANK(Table1[[#This Row],[months_as_customer]:[fraud_reported]])</f>
        <v>0</v>
      </c>
    </row>
    <row r="537" spans="2:41" ht="12.75" x14ac:dyDescent="0.2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 s="1">
        <f>COUNTBLANK(Table1[[#This Row],[months_as_customer]:[fraud_reported]])</f>
        <v>0</v>
      </c>
    </row>
    <row r="538" spans="2:41" ht="12.75" x14ac:dyDescent="0.2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 s="1">
        <f>COUNTBLANK(Table1[[#This Row],[months_as_customer]:[fraud_reported]])</f>
        <v>0</v>
      </c>
    </row>
    <row r="539" spans="2:41" ht="12.75" x14ac:dyDescent="0.2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 s="1">
        <f>COUNTBLANK(Table1[[#This Row],[months_as_customer]:[fraud_reported]])</f>
        <v>0</v>
      </c>
    </row>
    <row r="540" spans="2:41" ht="12.75" x14ac:dyDescent="0.2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 s="1">
        <f>COUNTBLANK(Table1[[#This Row],[months_as_customer]:[fraud_reported]])</f>
        <v>0</v>
      </c>
    </row>
    <row r="541" spans="2:41" ht="12.75" x14ac:dyDescent="0.2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 s="1">
        <f>COUNTBLANK(Table1[[#This Row],[months_as_customer]:[fraud_reported]])</f>
        <v>0</v>
      </c>
    </row>
    <row r="542" spans="2:41" ht="12.75" x14ac:dyDescent="0.2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 s="1">
        <f>COUNTBLANK(Table1[[#This Row],[months_as_customer]:[fraud_reported]])</f>
        <v>0</v>
      </c>
    </row>
    <row r="543" spans="2:41" ht="12.75" x14ac:dyDescent="0.2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 s="1">
        <f>COUNTBLANK(Table1[[#This Row],[months_as_customer]:[fraud_reported]])</f>
        <v>0</v>
      </c>
    </row>
    <row r="544" spans="2:41" ht="12.75" x14ac:dyDescent="0.2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 s="1">
        <f>COUNTBLANK(Table1[[#This Row],[months_as_customer]:[fraud_reported]])</f>
        <v>0</v>
      </c>
    </row>
    <row r="545" spans="2:41" ht="12.75" x14ac:dyDescent="0.2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 s="1">
        <f>COUNTBLANK(Table1[[#This Row],[months_as_customer]:[fraud_reported]])</f>
        <v>0</v>
      </c>
    </row>
    <row r="546" spans="2:41" ht="12.75" x14ac:dyDescent="0.2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 s="1">
        <f>COUNTBLANK(Table1[[#This Row],[months_as_customer]:[fraud_reported]])</f>
        <v>0</v>
      </c>
    </row>
    <row r="547" spans="2:41" ht="12.75" x14ac:dyDescent="0.2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 s="1">
        <f>COUNTBLANK(Table1[[#This Row],[months_as_customer]:[fraud_reported]])</f>
        <v>0</v>
      </c>
    </row>
    <row r="548" spans="2:41" ht="12.75" x14ac:dyDescent="0.2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 s="1">
        <f>COUNTBLANK(Table1[[#This Row],[months_as_customer]:[fraud_reported]])</f>
        <v>0</v>
      </c>
    </row>
    <row r="549" spans="2:41" ht="12.75" x14ac:dyDescent="0.2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 s="1">
        <f>COUNTBLANK(Table1[[#This Row],[months_as_customer]:[fraud_reported]])</f>
        <v>0</v>
      </c>
    </row>
    <row r="550" spans="2:41" ht="12.75" x14ac:dyDescent="0.2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 s="1">
        <f>COUNTBLANK(Table1[[#This Row],[months_as_customer]:[fraud_reported]])</f>
        <v>0</v>
      </c>
    </row>
    <row r="551" spans="2:41" ht="12.75" x14ac:dyDescent="0.2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 s="1">
        <f>COUNTBLANK(Table1[[#This Row],[months_as_customer]:[fraud_reported]])</f>
        <v>0</v>
      </c>
    </row>
    <row r="552" spans="2:41" ht="12.75" x14ac:dyDescent="0.2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 s="1">
        <f>COUNTBLANK(Table1[[#This Row],[months_as_customer]:[fraud_reported]])</f>
        <v>0</v>
      </c>
    </row>
    <row r="553" spans="2:41" ht="12.75" x14ac:dyDescent="0.2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 s="1">
        <f>COUNTBLANK(Table1[[#This Row],[months_as_customer]:[fraud_reported]])</f>
        <v>0</v>
      </c>
    </row>
    <row r="554" spans="2:41" ht="12.75" x14ac:dyDescent="0.2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 s="1">
        <f>COUNTBLANK(Table1[[#This Row],[months_as_customer]:[fraud_reported]])</f>
        <v>0</v>
      </c>
    </row>
    <row r="555" spans="2:41" ht="12.75" x14ac:dyDescent="0.2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 s="1">
        <f>COUNTBLANK(Table1[[#This Row],[months_as_customer]:[fraud_reported]])</f>
        <v>0</v>
      </c>
    </row>
    <row r="556" spans="2:41" ht="12.75" x14ac:dyDescent="0.2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 s="1">
        <f>COUNTBLANK(Table1[[#This Row],[months_as_customer]:[fraud_reported]])</f>
        <v>0</v>
      </c>
    </row>
    <row r="557" spans="2:41" ht="12.75" x14ac:dyDescent="0.2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 s="1">
        <f>COUNTBLANK(Table1[[#This Row],[months_as_customer]:[fraud_reported]])</f>
        <v>0</v>
      </c>
    </row>
    <row r="558" spans="2:41" ht="12.75" x14ac:dyDescent="0.2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 s="1">
        <f>COUNTBLANK(Table1[[#This Row],[months_as_customer]:[fraud_reported]])</f>
        <v>0</v>
      </c>
    </row>
    <row r="559" spans="2:41" ht="12.75" x14ac:dyDescent="0.2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 s="1">
        <f>COUNTBLANK(Table1[[#This Row],[months_as_customer]:[fraud_reported]])</f>
        <v>0</v>
      </c>
    </row>
    <row r="560" spans="2:41" ht="12.75" x14ac:dyDescent="0.2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 s="1">
        <f>COUNTBLANK(Table1[[#This Row],[months_as_customer]:[fraud_reported]])</f>
        <v>0</v>
      </c>
    </row>
    <row r="561" spans="2:41" ht="12.75" x14ac:dyDescent="0.2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 s="1">
        <f>COUNTBLANK(Table1[[#This Row],[months_as_customer]:[fraud_reported]])</f>
        <v>0</v>
      </c>
    </row>
    <row r="562" spans="2:41" ht="12.75" x14ac:dyDescent="0.2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I562">
        <f>Table1[[#This Row],[total_claim_amount]]-SUM(Table1[[#This Row],[injury_claim]],Table1[[#This Row],[vehicle_claim]])</f>
        <v>8340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 s="1">
        <f>COUNTBLANK(Table1[[#This Row],[months_as_customer]:[fraud_reported]])</f>
        <v>0</v>
      </c>
    </row>
    <row r="563" spans="2:41" ht="12.75" x14ac:dyDescent="0.2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 s="1">
        <f>COUNTBLANK(Table1[[#This Row],[months_as_customer]:[fraud_reported]])</f>
        <v>0</v>
      </c>
    </row>
    <row r="564" spans="2:41" ht="12.75" x14ac:dyDescent="0.2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 s="1">
        <f>COUNTBLANK(Table1[[#This Row],[months_as_customer]:[fraud_reported]])</f>
        <v>0</v>
      </c>
    </row>
    <row r="565" spans="2:41" ht="12.75" x14ac:dyDescent="0.2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 s="1">
        <f>COUNTBLANK(Table1[[#This Row],[months_as_customer]:[fraud_reported]])</f>
        <v>0</v>
      </c>
    </row>
    <row r="566" spans="2:41" ht="12.75" x14ac:dyDescent="0.2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 s="1">
        <f>COUNTBLANK(Table1[[#This Row],[months_as_customer]:[fraud_reported]])</f>
        <v>0</v>
      </c>
    </row>
    <row r="567" spans="2:41" ht="12.75" x14ac:dyDescent="0.2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 s="1">
        <f>COUNTBLANK(Table1[[#This Row],[months_as_customer]:[fraud_reported]])</f>
        <v>0</v>
      </c>
    </row>
    <row r="568" spans="2:41" ht="12.75" x14ac:dyDescent="0.2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 s="1">
        <f>COUNTBLANK(Table1[[#This Row],[months_as_customer]:[fraud_reported]])</f>
        <v>0</v>
      </c>
    </row>
    <row r="569" spans="2:41" ht="12.75" x14ac:dyDescent="0.2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 s="1">
        <f>COUNTBLANK(Table1[[#This Row],[months_as_customer]:[fraud_reported]])</f>
        <v>0</v>
      </c>
    </row>
    <row r="570" spans="2:41" ht="12.75" x14ac:dyDescent="0.2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 s="1">
        <f>COUNTBLANK(Table1[[#This Row],[months_as_customer]:[fraud_reported]])</f>
        <v>0</v>
      </c>
    </row>
    <row r="571" spans="2:41" ht="12.75" x14ac:dyDescent="0.2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 s="1">
        <f>COUNTBLANK(Table1[[#This Row],[months_as_customer]:[fraud_reported]])</f>
        <v>0</v>
      </c>
    </row>
    <row r="572" spans="2:41" ht="12.75" x14ac:dyDescent="0.2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 s="1">
        <f>COUNTBLANK(Table1[[#This Row],[months_as_customer]:[fraud_reported]])</f>
        <v>0</v>
      </c>
    </row>
    <row r="573" spans="2:41" ht="12.75" x14ac:dyDescent="0.2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 s="1">
        <f>COUNTBLANK(Table1[[#This Row],[months_as_customer]:[fraud_reported]])</f>
        <v>0</v>
      </c>
    </row>
    <row r="574" spans="2:41" ht="12.75" x14ac:dyDescent="0.2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 s="1">
        <f>COUNTBLANK(Table1[[#This Row],[months_as_customer]:[fraud_reported]])</f>
        <v>0</v>
      </c>
    </row>
    <row r="575" spans="2:41" ht="12.75" x14ac:dyDescent="0.2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 s="1">
        <f>COUNTBLANK(Table1[[#This Row],[months_as_customer]:[fraud_reported]])</f>
        <v>0</v>
      </c>
    </row>
    <row r="576" spans="2:41" ht="12.75" x14ac:dyDescent="0.2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 s="1">
        <f>COUNTBLANK(Table1[[#This Row],[months_as_customer]:[fraud_reported]])</f>
        <v>0</v>
      </c>
    </row>
    <row r="577" spans="2:41" ht="12.75" x14ac:dyDescent="0.2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 s="1">
        <f>COUNTBLANK(Table1[[#This Row],[months_as_customer]:[fraud_reported]])</f>
        <v>0</v>
      </c>
    </row>
    <row r="578" spans="2:41" ht="12.75" x14ac:dyDescent="0.2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 s="1">
        <f>COUNTBLANK(Table1[[#This Row],[months_as_customer]:[fraud_reported]])</f>
        <v>0</v>
      </c>
    </row>
    <row r="579" spans="2:41" ht="12.75" x14ac:dyDescent="0.2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 s="1">
        <f>COUNTBLANK(Table1[[#This Row],[months_as_customer]:[fraud_reported]])</f>
        <v>0</v>
      </c>
    </row>
    <row r="580" spans="2:41" ht="12.75" x14ac:dyDescent="0.2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 s="1">
        <f>COUNTBLANK(Table1[[#This Row],[months_as_customer]:[fraud_reported]])</f>
        <v>0</v>
      </c>
    </row>
    <row r="581" spans="2:41" ht="12.75" x14ac:dyDescent="0.2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 s="1">
        <f>COUNTBLANK(Table1[[#This Row],[months_as_customer]:[fraud_reported]])</f>
        <v>0</v>
      </c>
    </row>
    <row r="582" spans="2:41" ht="12.75" x14ac:dyDescent="0.2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 s="1">
        <f>COUNTBLANK(Table1[[#This Row],[months_as_customer]:[fraud_reported]])</f>
        <v>0</v>
      </c>
    </row>
    <row r="583" spans="2:41" ht="12.75" x14ac:dyDescent="0.2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 s="1">
        <f>COUNTBLANK(Table1[[#This Row],[months_as_customer]:[fraud_reported]])</f>
        <v>0</v>
      </c>
    </row>
    <row r="584" spans="2:41" ht="12.75" x14ac:dyDescent="0.2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 s="1">
        <f>COUNTBLANK(Table1[[#This Row],[months_as_customer]:[fraud_reported]])</f>
        <v>0</v>
      </c>
    </row>
    <row r="585" spans="2:41" ht="12.75" x14ac:dyDescent="0.2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 s="1">
        <f>COUNTBLANK(Table1[[#This Row],[months_as_customer]:[fraud_reported]])</f>
        <v>0</v>
      </c>
    </row>
    <row r="586" spans="2:41" ht="12.75" x14ac:dyDescent="0.2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 s="1">
        <f>COUNTBLANK(Table1[[#This Row],[months_as_customer]:[fraud_reported]])</f>
        <v>0</v>
      </c>
    </row>
    <row r="587" spans="2:41" ht="12.75" x14ac:dyDescent="0.2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 s="1">
        <f>COUNTBLANK(Table1[[#This Row],[months_as_customer]:[fraud_reported]])</f>
        <v>0</v>
      </c>
    </row>
    <row r="588" spans="2:41" ht="12.75" x14ac:dyDescent="0.2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 s="1">
        <f>COUNTBLANK(Table1[[#This Row],[months_as_customer]:[fraud_reported]])</f>
        <v>0</v>
      </c>
    </row>
    <row r="589" spans="2:41" ht="12.75" x14ac:dyDescent="0.2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 s="1">
        <f>COUNTBLANK(Table1[[#This Row],[months_as_customer]:[fraud_reported]])</f>
        <v>0</v>
      </c>
    </row>
    <row r="590" spans="2:41" ht="12.75" x14ac:dyDescent="0.2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 s="1">
        <f>COUNTBLANK(Table1[[#This Row],[months_as_customer]:[fraud_reported]])</f>
        <v>0</v>
      </c>
    </row>
    <row r="591" spans="2:41" ht="12.75" x14ac:dyDescent="0.2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 s="1">
        <f>COUNTBLANK(Table1[[#This Row],[months_as_customer]:[fraud_reported]])</f>
        <v>0</v>
      </c>
    </row>
    <row r="592" spans="2:41" ht="12.75" x14ac:dyDescent="0.2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 s="1">
        <f>COUNTBLANK(Table1[[#This Row],[months_as_customer]:[fraud_reported]])</f>
        <v>0</v>
      </c>
    </row>
    <row r="593" spans="2:41" ht="12.75" x14ac:dyDescent="0.2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 s="1">
        <f>COUNTBLANK(Table1[[#This Row],[months_as_customer]:[fraud_reported]])</f>
        <v>0</v>
      </c>
    </row>
    <row r="594" spans="2:41" ht="12.75" x14ac:dyDescent="0.2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 s="1">
        <f>COUNTBLANK(Table1[[#This Row],[months_as_customer]:[fraud_reported]])</f>
        <v>0</v>
      </c>
    </row>
    <row r="595" spans="2:41" ht="12.75" x14ac:dyDescent="0.2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 s="1">
        <f>COUNTBLANK(Table1[[#This Row],[months_as_customer]:[fraud_reported]])</f>
        <v>0</v>
      </c>
    </row>
    <row r="596" spans="2:41" ht="12.75" x14ac:dyDescent="0.2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 s="1">
        <f>COUNTBLANK(Table1[[#This Row],[months_as_customer]:[fraud_reported]])</f>
        <v>0</v>
      </c>
    </row>
    <row r="597" spans="2:41" ht="12.75" x14ac:dyDescent="0.2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 s="1">
        <f>COUNTBLANK(Table1[[#This Row],[months_as_customer]:[fraud_reported]])</f>
        <v>0</v>
      </c>
    </row>
    <row r="598" spans="2:41" ht="12.75" x14ac:dyDescent="0.2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 s="1">
        <f>COUNTBLANK(Table1[[#This Row],[months_as_customer]:[fraud_reported]])</f>
        <v>0</v>
      </c>
    </row>
    <row r="599" spans="2:41" ht="12.75" x14ac:dyDescent="0.2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 s="1">
        <f>COUNTBLANK(Table1[[#This Row],[months_as_customer]:[fraud_reported]])</f>
        <v>0</v>
      </c>
    </row>
    <row r="600" spans="2:41" ht="12.75" x14ac:dyDescent="0.2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 s="1">
        <f>COUNTBLANK(Table1[[#This Row],[months_as_customer]:[fraud_reported]])</f>
        <v>0</v>
      </c>
    </row>
    <row r="601" spans="2:41" ht="12.75" x14ac:dyDescent="0.2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 s="1">
        <f>COUNTBLANK(Table1[[#This Row],[months_as_customer]:[fraud_reported]])</f>
        <v>0</v>
      </c>
    </row>
    <row r="602" spans="2:41" ht="12.75" x14ac:dyDescent="0.2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 s="1">
        <f>COUNTBLANK(Table1[[#This Row],[months_as_customer]:[fraud_reported]])</f>
        <v>0</v>
      </c>
    </row>
    <row r="603" spans="2:41" ht="12.75" x14ac:dyDescent="0.2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 s="1">
        <f>COUNTBLANK(Table1[[#This Row],[months_as_customer]:[fraud_reported]])</f>
        <v>0</v>
      </c>
    </row>
    <row r="604" spans="2:41" ht="12.75" x14ac:dyDescent="0.2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 s="1">
        <f>COUNTBLANK(Table1[[#This Row],[months_as_customer]:[fraud_reported]])</f>
        <v>0</v>
      </c>
    </row>
    <row r="605" spans="2:41" ht="12.75" x14ac:dyDescent="0.2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 s="1">
        <f>COUNTBLANK(Table1[[#This Row],[months_as_customer]:[fraud_reported]])</f>
        <v>0</v>
      </c>
    </row>
    <row r="606" spans="2:41" ht="12.75" x14ac:dyDescent="0.2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 s="1">
        <f>COUNTBLANK(Table1[[#This Row],[months_as_customer]:[fraud_reported]])</f>
        <v>0</v>
      </c>
    </row>
    <row r="607" spans="2:41" ht="12.75" x14ac:dyDescent="0.2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 s="1">
        <f>COUNTBLANK(Table1[[#This Row],[months_as_customer]:[fraud_reported]])</f>
        <v>0</v>
      </c>
    </row>
    <row r="608" spans="2:41" ht="12.75" x14ac:dyDescent="0.2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 s="1">
        <f>COUNTBLANK(Table1[[#This Row],[months_as_customer]:[fraud_reported]])</f>
        <v>0</v>
      </c>
    </row>
    <row r="609" spans="2:41" ht="12.75" x14ac:dyDescent="0.2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 s="1">
        <f>COUNTBLANK(Table1[[#This Row],[months_as_customer]:[fraud_reported]])</f>
        <v>0</v>
      </c>
    </row>
    <row r="610" spans="2:41" ht="12.75" x14ac:dyDescent="0.2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 s="1">
        <f>COUNTBLANK(Table1[[#This Row],[months_as_customer]:[fraud_reported]])</f>
        <v>0</v>
      </c>
    </row>
    <row r="611" spans="2:41" ht="12.75" x14ac:dyDescent="0.2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 s="1">
        <f>COUNTBLANK(Table1[[#This Row],[months_as_customer]:[fraud_reported]])</f>
        <v>0</v>
      </c>
    </row>
    <row r="612" spans="2:41" ht="12.75" x14ac:dyDescent="0.2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 s="1">
        <f>COUNTBLANK(Table1[[#This Row],[months_as_customer]:[fraud_reported]])</f>
        <v>0</v>
      </c>
    </row>
    <row r="613" spans="2:41" ht="12.75" x14ac:dyDescent="0.2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 s="1">
        <f>COUNTBLANK(Table1[[#This Row],[months_as_customer]:[fraud_reported]])</f>
        <v>0</v>
      </c>
    </row>
    <row r="614" spans="2:41" ht="12.75" x14ac:dyDescent="0.2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 s="1">
        <f>COUNTBLANK(Table1[[#This Row],[months_as_customer]:[fraud_reported]])</f>
        <v>0</v>
      </c>
    </row>
    <row r="615" spans="2:41" ht="12.75" x14ac:dyDescent="0.2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 s="1">
        <f>COUNTBLANK(Table1[[#This Row],[months_as_customer]:[fraud_reported]])</f>
        <v>0</v>
      </c>
    </row>
    <row r="616" spans="2:41" ht="12.75" x14ac:dyDescent="0.2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 s="1">
        <f>COUNTBLANK(Table1[[#This Row],[months_as_customer]:[fraud_reported]])</f>
        <v>0</v>
      </c>
    </row>
    <row r="617" spans="2:41" ht="12.75" x14ac:dyDescent="0.2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 s="1">
        <f>COUNTBLANK(Table1[[#This Row],[months_as_customer]:[fraud_reported]])</f>
        <v>0</v>
      </c>
    </row>
    <row r="618" spans="2:41" ht="12.75" x14ac:dyDescent="0.2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 s="1">
        <f>COUNTBLANK(Table1[[#This Row],[months_as_customer]:[fraud_reported]])</f>
        <v>0</v>
      </c>
    </row>
    <row r="619" spans="2:41" ht="12.75" x14ac:dyDescent="0.2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 s="1">
        <f>COUNTBLANK(Table1[[#This Row],[months_as_customer]:[fraud_reported]])</f>
        <v>0</v>
      </c>
    </row>
    <row r="620" spans="2:41" ht="12.75" x14ac:dyDescent="0.2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 s="1">
        <f>COUNTBLANK(Table1[[#This Row],[months_as_customer]:[fraud_reported]])</f>
        <v>0</v>
      </c>
    </row>
    <row r="621" spans="2:41" ht="12.75" x14ac:dyDescent="0.2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 s="1">
        <f>COUNTBLANK(Table1[[#This Row],[months_as_customer]:[fraud_reported]])</f>
        <v>0</v>
      </c>
    </row>
    <row r="622" spans="2:41" ht="12.75" x14ac:dyDescent="0.2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 s="1">
        <f>COUNTBLANK(Table1[[#This Row],[months_as_customer]:[fraud_reported]])</f>
        <v>0</v>
      </c>
    </row>
    <row r="623" spans="2:41" ht="12.75" x14ac:dyDescent="0.2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 s="1">
        <f>COUNTBLANK(Table1[[#This Row],[months_as_customer]:[fraud_reported]])</f>
        <v>0</v>
      </c>
    </row>
    <row r="624" spans="2:41" ht="12.75" x14ac:dyDescent="0.2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 s="1">
        <f>COUNTBLANK(Table1[[#This Row],[months_as_customer]:[fraud_reported]])</f>
        <v>0</v>
      </c>
    </row>
    <row r="625" spans="2:41" ht="12.75" x14ac:dyDescent="0.2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 s="1">
        <f>COUNTBLANK(Table1[[#This Row],[months_as_customer]:[fraud_reported]])</f>
        <v>0</v>
      </c>
    </row>
    <row r="626" spans="2:41" ht="12.75" x14ac:dyDescent="0.2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 s="1">
        <f>COUNTBLANK(Table1[[#This Row],[months_as_customer]:[fraud_reported]])</f>
        <v>0</v>
      </c>
    </row>
    <row r="627" spans="2:41" ht="12.75" x14ac:dyDescent="0.2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 s="1">
        <f>COUNTBLANK(Table1[[#This Row],[months_as_customer]:[fraud_reported]])</f>
        <v>0</v>
      </c>
    </row>
    <row r="628" spans="2:41" ht="12.75" x14ac:dyDescent="0.2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 s="1">
        <f>COUNTBLANK(Table1[[#This Row],[months_as_customer]:[fraud_reported]])</f>
        <v>0</v>
      </c>
    </row>
    <row r="629" spans="2:41" ht="12.75" x14ac:dyDescent="0.2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 s="1">
        <f>COUNTBLANK(Table1[[#This Row],[months_as_customer]:[fraud_reported]])</f>
        <v>0</v>
      </c>
    </row>
    <row r="630" spans="2:41" ht="12.75" x14ac:dyDescent="0.2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 s="1">
        <f>COUNTBLANK(Table1[[#This Row],[months_as_customer]:[fraud_reported]])</f>
        <v>0</v>
      </c>
    </row>
    <row r="631" spans="2:41" ht="12.75" x14ac:dyDescent="0.2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 s="1">
        <f>COUNTBLANK(Table1[[#This Row],[months_as_customer]:[fraud_reported]])</f>
        <v>0</v>
      </c>
    </row>
    <row r="632" spans="2:41" ht="12.75" x14ac:dyDescent="0.2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 s="1">
        <f>COUNTBLANK(Table1[[#This Row],[months_as_customer]:[fraud_reported]])</f>
        <v>0</v>
      </c>
    </row>
    <row r="633" spans="2:41" ht="12.75" x14ac:dyDescent="0.2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 s="1">
        <f>COUNTBLANK(Table1[[#This Row],[months_as_customer]:[fraud_reported]])</f>
        <v>0</v>
      </c>
    </row>
    <row r="634" spans="2:41" ht="12.75" x14ac:dyDescent="0.2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 s="1">
        <f>COUNTBLANK(Table1[[#This Row],[months_as_customer]:[fraud_reported]])</f>
        <v>0</v>
      </c>
    </row>
    <row r="635" spans="2:41" ht="12.75" x14ac:dyDescent="0.2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 s="1">
        <f>COUNTBLANK(Table1[[#This Row],[months_as_customer]:[fraud_reported]])</f>
        <v>0</v>
      </c>
    </row>
    <row r="636" spans="2:41" ht="12.75" x14ac:dyDescent="0.2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 s="1">
        <f>COUNTBLANK(Table1[[#This Row],[months_as_customer]:[fraud_reported]])</f>
        <v>0</v>
      </c>
    </row>
    <row r="637" spans="2:41" ht="12.75" x14ac:dyDescent="0.2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 s="1">
        <f>COUNTBLANK(Table1[[#This Row],[months_as_customer]:[fraud_reported]])</f>
        <v>0</v>
      </c>
    </row>
    <row r="638" spans="2:41" ht="12.75" x14ac:dyDescent="0.2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 s="1">
        <f>COUNTBLANK(Table1[[#This Row],[months_as_customer]:[fraud_reported]])</f>
        <v>0</v>
      </c>
    </row>
    <row r="639" spans="2:41" ht="12.75" x14ac:dyDescent="0.2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 s="1">
        <f>COUNTBLANK(Table1[[#This Row],[months_as_customer]:[fraud_reported]])</f>
        <v>0</v>
      </c>
    </row>
    <row r="640" spans="2:41" ht="12.75" x14ac:dyDescent="0.2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 s="1">
        <f>COUNTBLANK(Table1[[#This Row],[months_as_customer]:[fraud_reported]])</f>
        <v>0</v>
      </c>
    </row>
    <row r="641" spans="2:41" ht="12.75" x14ac:dyDescent="0.2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 s="1">
        <f>COUNTBLANK(Table1[[#This Row],[months_as_customer]:[fraud_reported]])</f>
        <v>0</v>
      </c>
    </row>
    <row r="642" spans="2:41" ht="12.75" x14ac:dyDescent="0.2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 s="1">
        <f>COUNTBLANK(Table1[[#This Row],[months_as_customer]:[fraud_reported]])</f>
        <v>0</v>
      </c>
    </row>
    <row r="643" spans="2:41" ht="12.75" x14ac:dyDescent="0.2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 s="1">
        <f>COUNTBLANK(Table1[[#This Row],[months_as_customer]:[fraud_reported]])</f>
        <v>0</v>
      </c>
    </row>
    <row r="644" spans="2:41" ht="12.75" x14ac:dyDescent="0.2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 s="1">
        <f>COUNTBLANK(Table1[[#This Row],[months_as_customer]:[fraud_reported]])</f>
        <v>0</v>
      </c>
    </row>
    <row r="645" spans="2:41" ht="12.75" x14ac:dyDescent="0.2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 s="1">
        <f>COUNTBLANK(Table1[[#This Row],[months_as_customer]:[fraud_reported]])</f>
        <v>0</v>
      </c>
    </row>
    <row r="646" spans="2:41" ht="12.75" x14ac:dyDescent="0.2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 s="1">
        <f>COUNTBLANK(Table1[[#This Row],[months_as_customer]:[fraud_reported]])</f>
        <v>0</v>
      </c>
    </row>
    <row r="647" spans="2:41" ht="12.75" x14ac:dyDescent="0.2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 s="1">
        <f>COUNTBLANK(Table1[[#This Row],[months_as_customer]:[fraud_reported]])</f>
        <v>0</v>
      </c>
    </row>
    <row r="648" spans="2:41" ht="12.75" x14ac:dyDescent="0.2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 s="1">
        <f>COUNTBLANK(Table1[[#This Row],[months_as_customer]:[fraud_reported]])</f>
        <v>0</v>
      </c>
    </row>
    <row r="649" spans="2:41" ht="12.75" x14ac:dyDescent="0.2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 s="1">
        <f>COUNTBLANK(Table1[[#This Row],[months_as_customer]:[fraud_reported]])</f>
        <v>0</v>
      </c>
    </row>
    <row r="650" spans="2:41" ht="12.75" x14ac:dyDescent="0.2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 s="1">
        <f>COUNTBLANK(Table1[[#This Row],[months_as_customer]:[fraud_reported]])</f>
        <v>0</v>
      </c>
    </row>
    <row r="651" spans="2:41" ht="12.75" x14ac:dyDescent="0.2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 s="1">
        <f>COUNTBLANK(Table1[[#This Row],[months_as_customer]:[fraud_reported]])</f>
        <v>0</v>
      </c>
    </row>
    <row r="652" spans="2:41" ht="12.75" x14ac:dyDescent="0.2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 s="1">
        <f>COUNTBLANK(Table1[[#This Row],[months_as_customer]:[fraud_reported]])</f>
        <v>0</v>
      </c>
    </row>
    <row r="653" spans="2:41" ht="12.75" x14ac:dyDescent="0.2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 s="1">
        <f>COUNTBLANK(Table1[[#This Row],[months_as_customer]:[fraud_reported]])</f>
        <v>0</v>
      </c>
    </row>
    <row r="654" spans="2:41" ht="12.75" x14ac:dyDescent="0.2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 s="1">
        <f>COUNTBLANK(Table1[[#This Row],[months_as_customer]:[fraud_reported]])</f>
        <v>0</v>
      </c>
    </row>
    <row r="655" spans="2:41" ht="12.75" x14ac:dyDescent="0.2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 s="1">
        <f>COUNTBLANK(Table1[[#This Row],[months_as_customer]:[fraud_reported]])</f>
        <v>0</v>
      </c>
    </row>
    <row r="656" spans="2:41" ht="12.75" x14ac:dyDescent="0.2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 s="1">
        <f>COUNTBLANK(Table1[[#This Row],[months_as_customer]:[fraud_reported]])</f>
        <v>0</v>
      </c>
    </row>
    <row r="657" spans="2:41" ht="12.75" x14ac:dyDescent="0.2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 s="1">
        <f>COUNTBLANK(Table1[[#This Row],[months_as_customer]:[fraud_reported]])</f>
        <v>0</v>
      </c>
    </row>
    <row r="658" spans="2:41" ht="12.75" x14ac:dyDescent="0.2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 s="1">
        <f>COUNTBLANK(Table1[[#This Row],[months_as_customer]:[fraud_reported]])</f>
        <v>0</v>
      </c>
    </row>
    <row r="659" spans="2:41" ht="12.75" x14ac:dyDescent="0.2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 s="1">
        <f>COUNTBLANK(Table1[[#This Row],[months_as_customer]:[fraud_reported]])</f>
        <v>0</v>
      </c>
    </row>
    <row r="660" spans="2:41" ht="12.75" x14ac:dyDescent="0.2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 s="1">
        <f>COUNTBLANK(Table1[[#This Row],[months_as_customer]:[fraud_reported]])</f>
        <v>0</v>
      </c>
    </row>
    <row r="661" spans="2:41" ht="12.75" x14ac:dyDescent="0.2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 s="1">
        <f>COUNTBLANK(Table1[[#This Row],[months_as_customer]:[fraud_reported]])</f>
        <v>0</v>
      </c>
    </row>
    <row r="662" spans="2:41" ht="12.75" x14ac:dyDescent="0.2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 s="1">
        <f>COUNTBLANK(Table1[[#This Row],[months_as_customer]:[fraud_reported]])</f>
        <v>0</v>
      </c>
    </row>
    <row r="663" spans="2:41" ht="12.75" x14ac:dyDescent="0.2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 s="1">
        <f>COUNTBLANK(Table1[[#This Row],[months_as_customer]:[fraud_reported]])</f>
        <v>0</v>
      </c>
    </row>
    <row r="664" spans="2:41" ht="12.75" x14ac:dyDescent="0.2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 s="1">
        <f>COUNTBLANK(Table1[[#This Row],[months_as_customer]:[fraud_reported]])</f>
        <v>0</v>
      </c>
    </row>
    <row r="665" spans="2:41" ht="12.75" x14ac:dyDescent="0.2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 s="1">
        <f>COUNTBLANK(Table1[[#This Row],[months_as_customer]:[fraud_reported]])</f>
        <v>0</v>
      </c>
    </row>
    <row r="666" spans="2:41" ht="12.75" x14ac:dyDescent="0.2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 s="1">
        <f>COUNTBLANK(Table1[[#This Row],[months_as_customer]:[fraud_reported]])</f>
        <v>0</v>
      </c>
    </row>
    <row r="667" spans="2:41" ht="12.75" x14ac:dyDescent="0.2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 s="1">
        <f>COUNTBLANK(Table1[[#This Row],[months_as_customer]:[fraud_reported]])</f>
        <v>0</v>
      </c>
    </row>
    <row r="668" spans="2:41" ht="12.75" x14ac:dyDescent="0.2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 s="1">
        <f>COUNTBLANK(Table1[[#This Row],[months_as_customer]:[fraud_reported]])</f>
        <v>0</v>
      </c>
    </row>
    <row r="669" spans="2:41" ht="12.75" x14ac:dyDescent="0.2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 s="1">
        <f>COUNTBLANK(Table1[[#This Row],[months_as_customer]:[fraud_reported]])</f>
        <v>0</v>
      </c>
    </row>
    <row r="670" spans="2:41" ht="12.75" x14ac:dyDescent="0.2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 s="1">
        <f>COUNTBLANK(Table1[[#This Row],[months_as_customer]:[fraud_reported]])</f>
        <v>0</v>
      </c>
    </row>
    <row r="671" spans="2:41" ht="12.75" x14ac:dyDescent="0.2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 s="1">
        <f>COUNTBLANK(Table1[[#This Row],[months_as_customer]:[fraud_reported]])</f>
        <v>0</v>
      </c>
    </row>
    <row r="672" spans="2:41" ht="12.75" x14ac:dyDescent="0.2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 s="1">
        <f>COUNTBLANK(Table1[[#This Row],[months_as_customer]:[fraud_reported]])</f>
        <v>0</v>
      </c>
    </row>
    <row r="673" spans="2:41" ht="12.75" x14ac:dyDescent="0.2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 s="1">
        <f>COUNTBLANK(Table1[[#This Row],[months_as_customer]:[fraud_reported]])</f>
        <v>0</v>
      </c>
    </row>
    <row r="674" spans="2:41" ht="12.75" x14ac:dyDescent="0.2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 s="1">
        <f>COUNTBLANK(Table1[[#This Row],[months_as_customer]:[fraud_reported]])</f>
        <v>0</v>
      </c>
    </row>
    <row r="675" spans="2:41" ht="12.75" x14ac:dyDescent="0.2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 s="1">
        <f>COUNTBLANK(Table1[[#This Row],[months_as_customer]:[fraud_reported]])</f>
        <v>0</v>
      </c>
    </row>
    <row r="676" spans="2:41" ht="12.75" x14ac:dyDescent="0.2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 s="1">
        <f>COUNTBLANK(Table1[[#This Row],[months_as_customer]:[fraud_reported]])</f>
        <v>0</v>
      </c>
    </row>
    <row r="677" spans="2:41" ht="12.75" x14ac:dyDescent="0.2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 s="1">
        <f>COUNTBLANK(Table1[[#This Row],[months_as_customer]:[fraud_reported]])</f>
        <v>0</v>
      </c>
    </row>
    <row r="678" spans="2:41" ht="12.75" x14ac:dyDescent="0.2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 s="1">
        <f>COUNTBLANK(Table1[[#This Row],[months_as_customer]:[fraud_reported]])</f>
        <v>0</v>
      </c>
    </row>
    <row r="679" spans="2:41" ht="12.75" x14ac:dyDescent="0.2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 s="1">
        <f>COUNTBLANK(Table1[[#This Row],[months_as_customer]:[fraud_reported]])</f>
        <v>0</v>
      </c>
    </row>
    <row r="680" spans="2:41" ht="12.75" x14ac:dyDescent="0.2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 s="1">
        <f>COUNTBLANK(Table1[[#This Row],[months_as_customer]:[fraud_reported]])</f>
        <v>0</v>
      </c>
    </row>
    <row r="681" spans="2:41" ht="12.75" x14ac:dyDescent="0.2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 s="1">
        <f>COUNTBLANK(Table1[[#This Row],[months_as_customer]:[fraud_reported]])</f>
        <v>0</v>
      </c>
    </row>
    <row r="682" spans="2:41" ht="12.75" x14ac:dyDescent="0.2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 s="1">
        <f>COUNTBLANK(Table1[[#This Row],[months_as_customer]:[fraud_reported]])</f>
        <v>0</v>
      </c>
    </row>
    <row r="683" spans="2:41" ht="12.75" x14ac:dyDescent="0.2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 s="1">
        <f>COUNTBLANK(Table1[[#This Row],[months_as_customer]:[fraud_reported]])</f>
        <v>0</v>
      </c>
    </row>
    <row r="684" spans="2:41" ht="12.75" x14ac:dyDescent="0.2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 s="1">
        <f>COUNTBLANK(Table1[[#This Row],[months_as_customer]:[fraud_reported]])</f>
        <v>0</v>
      </c>
    </row>
    <row r="685" spans="2:41" ht="12.75" x14ac:dyDescent="0.2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 s="1">
        <f>COUNTBLANK(Table1[[#This Row],[months_as_customer]:[fraud_reported]])</f>
        <v>0</v>
      </c>
    </row>
    <row r="686" spans="2:41" ht="12.75" x14ac:dyDescent="0.2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 s="1">
        <f>COUNTBLANK(Table1[[#This Row],[months_as_customer]:[fraud_reported]])</f>
        <v>0</v>
      </c>
    </row>
    <row r="687" spans="2:41" ht="12.75" x14ac:dyDescent="0.2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 s="1">
        <f>COUNTBLANK(Table1[[#This Row],[months_as_customer]:[fraud_reported]])</f>
        <v>0</v>
      </c>
    </row>
    <row r="688" spans="2:41" ht="12.75" x14ac:dyDescent="0.2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 s="1">
        <f>COUNTBLANK(Table1[[#This Row],[months_as_customer]:[fraud_reported]])</f>
        <v>0</v>
      </c>
    </row>
    <row r="689" spans="2:41" ht="12.75" x14ac:dyDescent="0.2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 s="1">
        <f>COUNTBLANK(Table1[[#This Row],[months_as_customer]:[fraud_reported]])</f>
        <v>0</v>
      </c>
    </row>
    <row r="690" spans="2:41" ht="12.75" x14ac:dyDescent="0.2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 s="1">
        <f>COUNTBLANK(Table1[[#This Row],[months_as_customer]:[fraud_reported]])</f>
        <v>0</v>
      </c>
    </row>
    <row r="691" spans="2:41" ht="12.75" x14ac:dyDescent="0.2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 s="1">
        <f>COUNTBLANK(Table1[[#This Row],[months_as_customer]:[fraud_reported]])</f>
        <v>0</v>
      </c>
    </row>
    <row r="692" spans="2:41" ht="12.75" x14ac:dyDescent="0.2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 s="1">
        <f>COUNTBLANK(Table1[[#This Row],[months_as_customer]:[fraud_reported]])</f>
        <v>0</v>
      </c>
    </row>
    <row r="693" spans="2:41" ht="12.75" x14ac:dyDescent="0.2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 s="1">
        <f>COUNTBLANK(Table1[[#This Row],[months_as_customer]:[fraud_reported]])</f>
        <v>0</v>
      </c>
    </row>
    <row r="694" spans="2:41" ht="12.75" x14ac:dyDescent="0.2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 s="1">
        <f>COUNTBLANK(Table1[[#This Row],[months_as_customer]:[fraud_reported]])</f>
        <v>0</v>
      </c>
    </row>
    <row r="695" spans="2:41" ht="12.75" x14ac:dyDescent="0.2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 s="1">
        <f>COUNTBLANK(Table1[[#This Row],[months_as_customer]:[fraud_reported]])</f>
        <v>0</v>
      </c>
    </row>
    <row r="696" spans="2:41" ht="12.75" x14ac:dyDescent="0.2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 s="1">
        <f>COUNTBLANK(Table1[[#This Row],[months_as_customer]:[fraud_reported]])</f>
        <v>0</v>
      </c>
    </row>
    <row r="697" spans="2:41" ht="12.75" x14ac:dyDescent="0.2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 s="1">
        <f>COUNTBLANK(Table1[[#This Row],[months_as_customer]:[fraud_reported]])</f>
        <v>0</v>
      </c>
    </row>
    <row r="698" spans="2:41" ht="12.75" x14ac:dyDescent="0.2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 s="1">
        <f>COUNTBLANK(Table1[[#This Row],[months_as_customer]:[fraud_reported]])</f>
        <v>0</v>
      </c>
    </row>
    <row r="699" spans="2:41" ht="12.75" x14ac:dyDescent="0.2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 s="1">
        <f>COUNTBLANK(Table1[[#This Row],[months_as_customer]:[fraud_reported]])</f>
        <v>0</v>
      </c>
    </row>
    <row r="700" spans="2:41" ht="12.75" x14ac:dyDescent="0.2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 s="1">
        <f>COUNTBLANK(Table1[[#This Row],[months_as_customer]:[fraud_reported]])</f>
        <v>0</v>
      </c>
    </row>
    <row r="701" spans="2:41" ht="12.75" x14ac:dyDescent="0.2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 s="1">
        <f>COUNTBLANK(Table1[[#This Row],[months_as_customer]:[fraud_reported]])</f>
        <v>0</v>
      </c>
    </row>
    <row r="702" spans="2:41" ht="12.75" x14ac:dyDescent="0.2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 s="1">
        <f>COUNTBLANK(Table1[[#This Row],[months_as_customer]:[fraud_reported]])</f>
        <v>0</v>
      </c>
    </row>
    <row r="703" spans="2:41" ht="12.75" x14ac:dyDescent="0.2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 s="1">
        <f>COUNTBLANK(Table1[[#This Row],[months_as_customer]:[fraud_reported]])</f>
        <v>0</v>
      </c>
    </row>
    <row r="704" spans="2:41" ht="12.75" x14ac:dyDescent="0.2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 s="1">
        <f>COUNTBLANK(Table1[[#This Row],[months_as_customer]:[fraud_reported]])</f>
        <v>0</v>
      </c>
    </row>
    <row r="705" spans="2:41" ht="12.75" x14ac:dyDescent="0.2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 s="1">
        <f>COUNTBLANK(Table1[[#This Row],[months_as_customer]:[fraud_reported]])</f>
        <v>0</v>
      </c>
    </row>
    <row r="706" spans="2:41" ht="12.75" x14ac:dyDescent="0.2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 s="1">
        <f>COUNTBLANK(Table1[[#This Row],[months_as_customer]:[fraud_reported]])</f>
        <v>0</v>
      </c>
    </row>
    <row r="707" spans="2:41" ht="12.75" x14ac:dyDescent="0.2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 s="1">
        <f>COUNTBLANK(Table1[[#This Row],[months_as_customer]:[fraud_reported]])</f>
        <v>0</v>
      </c>
    </row>
    <row r="708" spans="2:41" ht="12.75" x14ac:dyDescent="0.2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 s="1">
        <f>COUNTBLANK(Table1[[#This Row],[months_as_customer]:[fraud_reported]])</f>
        <v>0</v>
      </c>
    </row>
    <row r="709" spans="2:41" ht="12.75" x14ac:dyDescent="0.2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 s="1">
        <f>COUNTBLANK(Table1[[#This Row],[months_as_customer]:[fraud_reported]])</f>
        <v>0</v>
      </c>
    </row>
    <row r="710" spans="2:41" ht="12.75" x14ac:dyDescent="0.2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 s="1">
        <f>COUNTBLANK(Table1[[#This Row],[months_as_customer]:[fraud_reported]])</f>
        <v>0</v>
      </c>
    </row>
    <row r="711" spans="2:41" ht="12.75" x14ac:dyDescent="0.2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 s="1">
        <f>COUNTBLANK(Table1[[#This Row],[months_as_customer]:[fraud_reported]])</f>
        <v>0</v>
      </c>
    </row>
    <row r="712" spans="2:41" ht="12.75" x14ac:dyDescent="0.2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 s="1">
        <f>COUNTBLANK(Table1[[#This Row],[months_as_customer]:[fraud_reported]])</f>
        <v>0</v>
      </c>
    </row>
    <row r="713" spans="2:41" ht="12.75" x14ac:dyDescent="0.2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 s="1">
        <f>COUNTBLANK(Table1[[#This Row],[months_as_customer]:[fraud_reported]])</f>
        <v>0</v>
      </c>
    </row>
    <row r="714" spans="2:41" ht="12.75" x14ac:dyDescent="0.2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 s="1">
        <f>COUNTBLANK(Table1[[#This Row],[months_as_customer]:[fraud_reported]])</f>
        <v>0</v>
      </c>
    </row>
    <row r="715" spans="2:41" ht="12.75" x14ac:dyDescent="0.2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 s="1">
        <f>COUNTBLANK(Table1[[#This Row],[months_as_customer]:[fraud_reported]])</f>
        <v>0</v>
      </c>
    </row>
    <row r="716" spans="2:41" ht="12.75" x14ac:dyDescent="0.2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 s="1">
        <f>COUNTBLANK(Table1[[#This Row],[months_as_customer]:[fraud_reported]])</f>
        <v>0</v>
      </c>
    </row>
    <row r="717" spans="2:41" ht="12.75" x14ac:dyDescent="0.2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 s="1">
        <f>COUNTBLANK(Table1[[#This Row],[months_as_customer]:[fraud_reported]])</f>
        <v>0</v>
      </c>
    </row>
    <row r="718" spans="2:41" ht="12.75" x14ac:dyDescent="0.2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 s="1">
        <f>COUNTBLANK(Table1[[#This Row],[months_as_customer]:[fraud_reported]])</f>
        <v>0</v>
      </c>
    </row>
    <row r="719" spans="2:41" ht="12.75" x14ac:dyDescent="0.2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 s="1">
        <f>COUNTBLANK(Table1[[#This Row],[months_as_customer]:[fraud_reported]])</f>
        <v>0</v>
      </c>
    </row>
    <row r="720" spans="2:41" ht="12.75" x14ac:dyDescent="0.2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 s="1">
        <f>COUNTBLANK(Table1[[#This Row],[months_as_customer]:[fraud_reported]])</f>
        <v>0</v>
      </c>
    </row>
    <row r="721" spans="2:41" ht="12.75" x14ac:dyDescent="0.2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 s="1">
        <f>COUNTBLANK(Table1[[#This Row],[months_as_customer]:[fraud_reported]])</f>
        <v>0</v>
      </c>
    </row>
    <row r="722" spans="2:41" ht="12.75" x14ac:dyDescent="0.2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 s="1">
        <f>COUNTBLANK(Table1[[#This Row],[months_as_customer]:[fraud_reported]])</f>
        <v>0</v>
      </c>
    </row>
    <row r="723" spans="2:41" ht="12.75" x14ac:dyDescent="0.2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 s="1">
        <f>COUNTBLANK(Table1[[#This Row],[months_as_customer]:[fraud_reported]])</f>
        <v>0</v>
      </c>
    </row>
    <row r="724" spans="2:41" ht="12.75" x14ac:dyDescent="0.2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 s="1">
        <f>COUNTBLANK(Table1[[#This Row],[months_as_customer]:[fraud_reported]])</f>
        <v>0</v>
      </c>
    </row>
    <row r="725" spans="2:41" ht="12.75" x14ac:dyDescent="0.2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 s="1">
        <f>COUNTBLANK(Table1[[#This Row],[months_as_customer]:[fraud_reported]])</f>
        <v>0</v>
      </c>
    </row>
    <row r="726" spans="2:41" ht="12.75" x14ac:dyDescent="0.2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 s="1">
        <f>COUNTBLANK(Table1[[#This Row],[months_as_customer]:[fraud_reported]])</f>
        <v>0</v>
      </c>
    </row>
    <row r="727" spans="2:41" ht="12.75" x14ac:dyDescent="0.2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 s="1">
        <f>COUNTBLANK(Table1[[#This Row],[months_as_customer]:[fraud_reported]])</f>
        <v>0</v>
      </c>
    </row>
    <row r="728" spans="2:41" ht="12.75" x14ac:dyDescent="0.2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 s="1">
        <f>COUNTBLANK(Table1[[#This Row],[months_as_customer]:[fraud_reported]])</f>
        <v>0</v>
      </c>
    </row>
    <row r="729" spans="2:41" ht="12.75" x14ac:dyDescent="0.2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 s="1">
        <f>COUNTBLANK(Table1[[#This Row],[months_as_customer]:[fraud_reported]])</f>
        <v>0</v>
      </c>
    </row>
    <row r="730" spans="2:41" ht="12.75" x14ac:dyDescent="0.2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 s="1">
        <f>COUNTBLANK(Table1[[#This Row],[months_as_customer]:[fraud_reported]])</f>
        <v>0</v>
      </c>
    </row>
    <row r="731" spans="2:41" ht="12.75" x14ac:dyDescent="0.2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 s="1">
        <f>COUNTBLANK(Table1[[#This Row],[months_as_customer]:[fraud_reported]])</f>
        <v>0</v>
      </c>
    </row>
    <row r="732" spans="2:41" ht="12.75" x14ac:dyDescent="0.2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 s="1">
        <f>COUNTBLANK(Table1[[#This Row],[months_as_customer]:[fraud_reported]])</f>
        <v>0</v>
      </c>
    </row>
    <row r="733" spans="2:41" ht="12.75" x14ac:dyDescent="0.2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 s="1">
        <f>COUNTBLANK(Table1[[#This Row],[months_as_customer]:[fraud_reported]])</f>
        <v>0</v>
      </c>
    </row>
    <row r="734" spans="2:41" ht="12.75" x14ac:dyDescent="0.2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 s="1">
        <f>COUNTBLANK(Table1[[#This Row],[months_as_customer]:[fraud_reported]])</f>
        <v>0</v>
      </c>
    </row>
    <row r="735" spans="2:41" ht="12.75" x14ac:dyDescent="0.2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 s="1">
        <f>COUNTBLANK(Table1[[#This Row],[months_as_customer]:[fraud_reported]])</f>
        <v>0</v>
      </c>
    </row>
    <row r="736" spans="2:41" ht="12.75" x14ac:dyDescent="0.2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 s="1">
        <f>COUNTBLANK(Table1[[#This Row],[months_as_customer]:[fraud_reported]])</f>
        <v>0</v>
      </c>
    </row>
    <row r="737" spans="2:41" ht="12.75" x14ac:dyDescent="0.2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 s="1">
        <f>COUNTBLANK(Table1[[#This Row],[months_as_customer]:[fraud_reported]])</f>
        <v>0</v>
      </c>
    </row>
    <row r="738" spans="2:41" ht="12.75" x14ac:dyDescent="0.2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 s="1">
        <f>COUNTBLANK(Table1[[#This Row],[months_as_customer]:[fraud_reported]])</f>
        <v>0</v>
      </c>
    </row>
    <row r="739" spans="2:41" ht="12.75" x14ac:dyDescent="0.2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 s="1">
        <f>COUNTBLANK(Table1[[#This Row],[months_as_customer]:[fraud_reported]])</f>
        <v>0</v>
      </c>
    </row>
    <row r="740" spans="2:41" ht="12.75" x14ac:dyDescent="0.2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 s="1">
        <f>COUNTBLANK(Table1[[#This Row],[months_as_customer]:[fraud_reported]])</f>
        <v>0</v>
      </c>
    </row>
    <row r="741" spans="2:41" ht="12.75" x14ac:dyDescent="0.2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 s="1">
        <f>COUNTBLANK(Table1[[#This Row],[months_as_customer]:[fraud_reported]])</f>
        <v>0</v>
      </c>
    </row>
    <row r="742" spans="2:41" ht="12.75" x14ac:dyDescent="0.2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 s="1">
        <f>COUNTBLANK(Table1[[#This Row],[months_as_customer]:[fraud_reported]])</f>
        <v>0</v>
      </c>
    </row>
    <row r="743" spans="2:41" ht="12.75" x14ac:dyDescent="0.2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 s="1">
        <f>COUNTBLANK(Table1[[#This Row],[months_as_customer]:[fraud_reported]])</f>
        <v>0</v>
      </c>
    </row>
    <row r="744" spans="2:41" ht="12.75" x14ac:dyDescent="0.2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 s="1">
        <f>COUNTBLANK(Table1[[#This Row],[months_as_customer]:[fraud_reported]])</f>
        <v>0</v>
      </c>
    </row>
    <row r="745" spans="2:41" ht="12.75" x14ac:dyDescent="0.2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 s="1">
        <f>COUNTBLANK(Table1[[#This Row],[months_as_customer]:[fraud_reported]])</f>
        <v>0</v>
      </c>
    </row>
    <row r="746" spans="2:41" ht="12.75" x14ac:dyDescent="0.2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 s="1">
        <f>COUNTBLANK(Table1[[#This Row],[months_as_customer]:[fraud_reported]])</f>
        <v>0</v>
      </c>
    </row>
    <row r="747" spans="2:41" ht="12.75" x14ac:dyDescent="0.2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 s="1">
        <f>COUNTBLANK(Table1[[#This Row],[months_as_customer]:[fraud_reported]])</f>
        <v>0</v>
      </c>
    </row>
    <row r="748" spans="2:41" ht="12.75" x14ac:dyDescent="0.2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 s="1">
        <f>COUNTBLANK(Table1[[#This Row],[months_as_customer]:[fraud_reported]])</f>
        <v>0</v>
      </c>
    </row>
    <row r="749" spans="2:41" ht="12.75" x14ac:dyDescent="0.2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 s="1">
        <f>COUNTBLANK(Table1[[#This Row],[months_as_customer]:[fraud_reported]])</f>
        <v>0</v>
      </c>
    </row>
    <row r="750" spans="2:41" ht="12.75" x14ac:dyDescent="0.2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 s="1">
        <f>COUNTBLANK(Table1[[#This Row],[months_as_customer]:[fraud_reported]])</f>
        <v>0</v>
      </c>
    </row>
    <row r="751" spans="2:41" ht="12.75" x14ac:dyDescent="0.2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 s="1">
        <f>COUNTBLANK(Table1[[#This Row],[months_as_customer]:[fraud_reported]])</f>
        <v>0</v>
      </c>
    </row>
    <row r="752" spans="2:41" ht="12.75" x14ac:dyDescent="0.2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 s="1">
        <f>COUNTBLANK(Table1[[#This Row],[months_as_customer]:[fraud_reported]])</f>
        <v>0</v>
      </c>
    </row>
    <row r="753" spans="2:41" ht="12.75" x14ac:dyDescent="0.2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 s="1">
        <f>COUNTBLANK(Table1[[#This Row],[months_as_customer]:[fraud_reported]])</f>
        <v>0</v>
      </c>
    </row>
    <row r="754" spans="2:41" ht="12.75" x14ac:dyDescent="0.2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 s="1">
        <f>COUNTBLANK(Table1[[#This Row],[months_as_customer]:[fraud_reported]])</f>
        <v>0</v>
      </c>
    </row>
    <row r="755" spans="2:41" ht="12.75" x14ac:dyDescent="0.2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 s="1">
        <f>COUNTBLANK(Table1[[#This Row],[months_as_customer]:[fraud_reported]])</f>
        <v>0</v>
      </c>
    </row>
    <row r="756" spans="2:41" ht="12.75" x14ac:dyDescent="0.2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 s="1">
        <f>COUNTBLANK(Table1[[#This Row],[months_as_customer]:[fraud_reported]])</f>
        <v>0</v>
      </c>
    </row>
    <row r="757" spans="2:41" ht="12.75" x14ac:dyDescent="0.2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 s="1">
        <f>COUNTBLANK(Table1[[#This Row],[months_as_customer]:[fraud_reported]])</f>
        <v>0</v>
      </c>
    </row>
    <row r="758" spans="2:41" ht="12.75" x14ac:dyDescent="0.2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 s="1">
        <f>COUNTBLANK(Table1[[#This Row],[months_as_customer]:[fraud_reported]])</f>
        <v>0</v>
      </c>
    </row>
    <row r="759" spans="2:41" ht="12.75" x14ac:dyDescent="0.2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 s="1">
        <f>COUNTBLANK(Table1[[#This Row],[months_as_customer]:[fraud_reported]])</f>
        <v>0</v>
      </c>
    </row>
    <row r="760" spans="2:41" ht="12.75" x14ac:dyDescent="0.2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 s="1">
        <f>COUNTBLANK(Table1[[#This Row],[months_as_customer]:[fraud_reported]])</f>
        <v>0</v>
      </c>
    </row>
    <row r="761" spans="2:41" ht="12.75" x14ac:dyDescent="0.2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 s="1">
        <f>COUNTBLANK(Table1[[#This Row],[months_as_customer]:[fraud_reported]])</f>
        <v>0</v>
      </c>
    </row>
    <row r="762" spans="2:41" ht="12.75" x14ac:dyDescent="0.2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 s="1">
        <f>COUNTBLANK(Table1[[#This Row],[months_as_customer]:[fraud_reported]])</f>
        <v>0</v>
      </c>
    </row>
    <row r="763" spans="2:41" ht="12.75" x14ac:dyDescent="0.2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 s="1">
        <f>COUNTBLANK(Table1[[#This Row],[months_as_customer]:[fraud_reported]])</f>
        <v>0</v>
      </c>
    </row>
    <row r="764" spans="2:41" ht="12.75" x14ac:dyDescent="0.2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 s="1">
        <f>COUNTBLANK(Table1[[#This Row],[months_as_customer]:[fraud_reported]])</f>
        <v>0</v>
      </c>
    </row>
    <row r="765" spans="2:41" ht="12.75" x14ac:dyDescent="0.2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 s="1">
        <f>COUNTBLANK(Table1[[#This Row],[months_as_customer]:[fraud_reported]])</f>
        <v>0</v>
      </c>
    </row>
    <row r="766" spans="2:41" ht="12.75" x14ac:dyDescent="0.2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 s="1">
        <f>COUNTBLANK(Table1[[#This Row],[months_as_customer]:[fraud_reported]])</f>
        <v>0</v>
      </c>
    </row>
    <row r="767" spans="2:41" ht="12.75" x14ac:dyDescent="0.2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 s="1">
        <f>COUNTBLANK(Table1[[#This Row],[months_as_customer]:[fraud_reported]])</f>
        <v>0</v>
      </c>
    </row>
    <row r="768" spans="2:41" ht="12.75" x14ac:dyDescent="0.2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 s="1">
        <f>COUNTBLANK(Table1[[#This Row],[months_as_customer]:[fraud_reported]])</f>
        <v>0</v>
      </c>
    </row>
    <row r="769" spans="2:41" ht="12.75" x14ac:dyDescent="0.2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 s="1">
        <f>COUNTBLANK(Table1[[#This Row],[months_as_customer]:[fraud_reported]])</f>
        <v>0</v>
      </c>
    </row>
    <row r="770" spans="2:41" ht="12.75" x14ac:dyDescent="0.2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 s="1">
        <f>COUNTBLANK(Table1[[#This Row],[months_as_customer]:[fraud_reported]])</f>
        <v>0</v>
      </c>
    </row>
    <row r="771" spans="2:41" ht="12.75" x14ac:dyDescent="0.2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 s="1">
        <f>COUNTBLANK(Table1[[#This Row],[months_as_customer]:[fraud_reported]])</f>
        <v>0</v>
      </c>
    </row>
    <row r="772" spans="2:41" ht="12.75" x14ac:dyDescent="0.2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 s="1">
        <f>COUNTBLANK(Table1[[#This Row],[months_as_customer]:[fraud_reported]])</f>
        <v>0</v>
      </c>
    </row>
    <row r="773" spans="2:41" ht="12.75" x14ac:dyDescent="0.2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 s="1">
        <f>COUNTBLANK(Table1[[#This Row],[months_as_customer]:[fraud_reported]])</f>
        <v>0</v>
      </c>
    </row>
    <row r="774" spans="2:41" ht="12.75" x14ac:dyDescent="0.2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 s="1">
        <f>COUNTBLANK(Table1[[#This Row],[months_as_customer]:[fraud_reported]])</f>
        <v>0</v>
      </c>
    </row>
    <row r="775" spans="2:41" ht="12.75" x14ac:dyDescent="0.2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 s="1">
        <f>COUNTBLANK(Table1[[#This Row],[months_as_customer]:[fraud_reported]])</f>
        <v>0</v>
      </c>
    </row>
    <row r="776" spans="2:41" ht="12.75" x14ac:dyDescent="0.2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 s="1">
        <f>COUNTBLANK(Table1[[#This Row],[months_as_customer]:[fraud_reported]])</f>
        <v>0</v>
      </c>
    </row>
    <row r="777" spans="2:41" ht="12.75" x14ac:dyDescent="0.2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 s="1">
        <f>COUNTBLANK(Table1[[#This Row],[months_as_customer]:[fraud_reported]])</f>
        <v>0</v>
      </c>
    </row>
    <row r="778" spans="2:41" ht="12.75" x14ac:dyDescent="0.2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 s="1">
        <f>COUNTBLANK(Table1[[#This Row],[months_as_customer]:[fraud_reported]])</f>
        <v>0</v>
      </c>
    </row>
    <row r="779" spans="2:41" ht="12.75" x14ac:dyDescent="0.2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 s="1">
        <f>COUNTBLANK(Table1[[#This Row],[months_as_customer]:[fraud_reported]])</f>
        <v>0</v>
      </c>
    </row>
    <row r="780" spans="2:41" ht="12.75" x14ac:dyDescent="0.2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 s="1">
        <f>COUNTBLANK(Table1[[#This Row],[months_as_customer]:[fraud_reported]])</f>
        <v>0</v>
      </c>
    </row>
    <row r="781" spans="2:41" ht="12.75" x14ac:dyDescent="0.2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 s="1">
        <f>COUNTBLANK(Table1[[#This Row],[months_as_customer]:[fraud_reported]])</f>
        <v>0</v>
      </c>
    </row>
    <row r="782" spans="2:41" ht="12.75" x14ac:dyDescent="0.2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 s="1">
        <f>COUNTBLANK(Table1[[#This Row],[months_as_customer]:[fraud_reported]])</f>
        <v>0</v>
      </c>
    </row>
    <row r="783" spans="2:41" ht="12.75" x14ac:dyDescent="0.2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 s="1">
        <f>COUNTBLANK(Table1[[#This Row],[months_as_customer]:[fraud_reported]])</f>
        <v>0</v>
      </c>
    </row>
    <row r="784" spans="2:41" ht="12.75" x14ac:dyDescent="0.2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 s="1">
        <f>COUNTBLANK(Table1[[#This Row],[months_as_customer]:[fraud_reported]])</f>
        <v>0</v>
      </c>
    </row>
    <row r="785" spans="2:41" ht="12.75" x14ac:dyDescent="0.2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 s="1">
        <f>COUNTBLANK(Table1[[#This Row],[months_as_customer]:[fraud_reported]])</f>
        <v>0</v>
      </c>
    </row>
    <row r="786" spans="2:41" ht="12.75" x14ac:dyDescent="0.2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 s="1">
        <f>COUNTBLANK(Table1[[#This Row],[months_as_customer]:[fraud_reported]])</f>
        <v>0</v>
      </c>
    </row>
    <row r="787" spans="2:41" ht="12.75" x14ac:dyDescent="0.2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 s="1">
        <f>COUNTBLANK(Table1[[#This Row],[months_as_customer]:[fraud_reported]])</f>
        <v>0</v>
      </c>
    </row>
    <row r="788" spans="2:41" ht="12.75" x14ac:dyDescent="0.2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 s="1">
        <f>COUNTBLANK(Table1[[#This Row],[months_as_customer]:[fraud_reported]])</f>
        <v>0</v>
      </c>
    </row>
    <row r="789" spans="2:41" ht="12.75" x14ac:dyDescent="0.2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 s="1">
        <f>COUNTBLANK(Table1[[#This Row],[months_as_customer]:[fraud_reported]])</f>
        <v>0</v>
      </c>
    </row>
    <row r="790" spans="2:41" ht="12.75" x14ac:dyDescent="0.2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 s="1">
        <f>COUNTBLANK(Table1[[#This Row],[months_as_customer]:[fraud_reported]])</f>
        <v>0</v>
      </c>
    </row>
    <row r="791" spans="2:41" ht="12.75" x14ac:dyDescent="0.2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 s="1">
        <f>COUNTBLANK(Table1[[#This Row],[months_as_customer]:[fraud_reported]])</f>
        <v>0</v>
      </c>
    </row>
    <row r="792" spans="2:41" ht="12.75" x14ac:dyDescent="0.2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 s="1">
        <f>COUNTBLANK(Table1[[#This Row],[months_as_customer]:[fraud_reported]])</f>
        <v>0</v>
      </c>
    </row>
    <row r="793" spans="2:41" ht="12.75" x14ac:dyDescent="0.2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 s="1">
        <f>COUNTBLANK(Table1[[#This Row],[months_as_customer]:[fraud_reported]])</f>
        <v>0</v>
      </c>
    </row>
    <row r="794" spans="2:41" ht="12.75" x14ac:dyDescent="0.2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 s="1">
        <f>COUNTBLANK(Table1[[#This Row],[months_as_customer]:[fraud_reported]])</f>
        <v>0</v>
      </c>
    </row>
    <row r="795" spans="2:41" ht="12.75" x14ac:dyDescent="0.2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 s="1">
        <f>COUNTBLANK(Table1[[#This Row],[months_as_customer]:[fraud_reported]])</f>
        <v>0</v>
      </c>
    </row>
    <row r="796" spans="2:41" ht="12.75" x14ac:dyDescent="0.2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 s="1">
        <f>COUNTBLANK(Table1[[#This Row],[months_as_customer]:[fraud_reported]])</f>
        <v>0</v>
      </c>
    </row>
    <row r="797" spans="2:41" ht="12.75" x14ac:dyDescent="0.2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 s="1">
        <f>COUNTBLANK(Table1[[#This Row],[months_as_customer]:[fraud_reported]])</f>
        <v>0</v>
      </c>
    </row>
    <row r="798" spans="2:41" ht="12.75" x14ac:dyDescent="0.2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 s="1">
        <f>COUNTBLANK(Table1[[#This Row],[months_as_customer]:[fraud_reported]])</f>
        <v>0</v>
      </c>
    </row>
    <row r="799" spans="2:41" ht="12.75" x14ac:dyDescent="0.2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 s="1">
        <f>COUNTBLANK(Table1[[#This Row],[months_as_customer]:[fraud_reported]])</f>
        <v>0</v>
      </c>
    </row>
    <row r="800" spans="2:41" ht="12.75" x14ac:dyDescent="0.2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 s="1">
        <f>COUNTBLANK(Table1[[#This Row],[months_as_customer]:[fraud_reported]])</f>
        <v>0</v>
      </c>
    </row>
    <row r="801" spans="2:41" ht="12.75" x14ac:dyDescent="0.2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 s="1">
        <f>COUNTBLANK(Table1[[#This Row],[months_as_customer]:[fraud_reported]])</f>
        <v>0</v>
      </c>
    </row>
    <row r="802" spans="2:41" ht="12.75" x14ac:dyDescent="0.2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 s="1">
        <f>COUNTBLANK(Table1[[#This Row],[months_as_customer]:[fraud_reported]])</f>
        <v>0</v>
      </c>
    </row>
    <row r="803" spans="2:41" ht="12.75" x14ac:dyDescent="0.2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 s="1">
        <f>COUNTBLANK(Table1[[#This Row],[months_as_customer]:[fraud_reported]])</f>
        <v>0</v>
      </c>
    </row>
    <row r="804" spans="2:41" ht="12.75" x14ac:dyDescent="0.2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 s="1">
        <f>COUNTBLANK(Table1[[#This Row],[months_as_customer]:[fraud_reported]])</f>
        <v>0</v>
      </c>
    </row>
    <row r="805" spans="2:41" ht="12.75" x14ac:dyDescent="0.2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 s="1">
        <f>COUNTBLANK(Table1[[#This Row],[months_as_customer]:[fraud_reported]])</f>
        <v>0</v>
      </c>
    </row>
    <row r="806" spans="2:41" ht="12.75" x14ac:dyDescent="0.2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 s="1">
        <f>COUNTBLANK(Table1[[#This Row],[months_as_customer]:[fraud_reported]])</f>
        <v>0</v>
      </c>
    </row>
    <row r="807" spans="2:41" ht="12.75" x14ac:dyDescent="0.2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 s="1">
        <f>COUNTBLANK(Table1[[#This Row],[months_as_customer]:[fraud_reported]])</f>
        <v>0</v>
      </c>
    </row>
    <row r="808" spans="2:41" ht="12.75" x14ac:dyDescent="0.2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 s="1">
        <f>COUNTBLANK(Table1[[#This Row],[months_as_customer]:[fraud_reported]])</f>
        <v>0</v>
      </c>
    </row>
    <row r="809" spans="2:41" ht="12.75" x14ac:dyDescent="0.2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 s="1">
        <f>COUNTBLANK(Table1[[#This Row],[months_as_customer]:[fraud_reported]])</f>
        <v>0</v>
      </c>
    </row>
    <row r="810" spans="2:41" ht="12.75" x14ac:dyDescent="0.2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 s="1">
        <f>COUNTBLANK(Table1[[#This Row],[months_as_customer]:[fraud_reported]])</f>
        <v>0</v>
      </c>
    </row>
    <row r="811" spans="2:41" ht="12.75" x14ac:dyDescent="0.2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 s="1">
        <f>COUNTBLANK(Table1[[#This Row],[months_as_customer]:[fraud_reported]])</f>
        <v>0</v>
      </c>
    </row>
    <row r="812" spans="2:41" ht="12.75" x14ac:dyDescent="0.2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 s="1">
        <f>COUNTBLANK(Table1[[#This Row],[months_as_customer]:[fraud_reported]])</f>
        <v>0</v>
      </c>
    </row>
    <row r="813" spans="2:41" ht="12.75" x14ac:dyDescent="0.2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 s="1">
        <f>COUNTBLANK(Table1[[#This Row],[months_as_customer]:[fraud_reported]])</f>
        <v>0</v>
      </c>
    </row>
    <row r="814" spans="2:41" ht="12.75" x14ac:dyDescent="0.2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 s="1">
        <f>COUNTBLANK(Table1[[#This Row],[months_as_customer]:[fraud_reported]])</f>
        <v>0</v>
      </c>
    </row>
    <row r="815" spans="2:41" ht="12.75" x14ac:dyDescent="0.2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 s="1">
        <f>COUNTBLANK(Table1[[#This Row],[months_as_customer]:[fraud_reported]])</f>
        <v>0</v>
      </c>
    </row>
    <row r="816" spans="2:41" ht="12.75" x14ac:dyDescent="0.2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 s="1">
        <f>COUNTBLANK(Table1[[#This Row],[months_as_customer]:[fraud_reported]])</f>
        <v>0</v>
      </c>
    </row>
    <row r="817" spans="2:41" ht="12.75" x14ac:dyDescent="0.2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 s="1">
        <f>COUNTBLANK(Table1[[#This Row],[months_as_customer]:[fraud_reported]])</f>
        <v>0</v>
      </c>
    </row>
    <row r="818" spans="2:41" ht="12.75" x14ac:dyDescent="0.2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 s="1">
        <f>COUNTBLANK(Table1[[#This Row],[months_as_customer]:[fraud_reported]])</f>
        <v>0</v>
      </c>
    </row>
    <row r="819" spans="2:41" ht="12.75" x14ac:dyDescent="0.2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 s="1">
        <f>COUNTBLANK(Table1[[#This Row],[months_as_customer]:[fraud_reported]])</f>
        <v>0</v>
      </c>
    </row>
    <row r="820" spans="2:41" ht="12.75" x14ac:dyDescent="0.2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 s="1">
        <f>COUNTBLANK(Table1[[#This Row],[months_as_customer]:[fraud_reported]])</f>
        <v>0</v>
      </c>
    </row>
    <row r="821" spans="2:41" ht="12.75" x14ac:dyDescent="0.2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 s="1">
        <f>COUNTBLANK(Table1[[#This Row],[months_as_customer]:[fraud_reported]])</f>
        <v>0</v>
      </c>
    </row>
    <row r="822" spans="2:41" ht="12.75" x14ac:dyDescent="0.2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 s="1">
        <f>COUNTBLANK(Table1[[#This Row],[months_as_customer]:[fraud_reported]])</f>
        <v>0</v>
      </c>
    </row>
    <row r="823" spans="2:41" ht="12.75" x14ac:dyDescent="0.2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 s="1">
        <f>COUNTBLANK(Table1[[#This Row],[months_as_customer]:[fraud_reported]])</f>
        <v>0</v>
      </c>
    </row>
    <row r="824" spans="2:41" ht="12.75" x14ac:dyDescent="0.2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 s="1">
        <f>COUNTBLANK(Table1[[#This Row],[months_as_customer]:[fraud_reported]])</f>
        <v>0</v>
      </c>
    </row>
    <row r="825" spans="2:41" ht="12.75" x14ac:dyDescent="0.2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 s="1">
        <f>COUNTBLANK(Table1[[#This Row],[months_as_customer]:[fraud_reported]])</f>
        <v>0</v>
      </c>
    </row>
    <row r="826" spans="2:41" ht="12.75" x14ac:dyDescent="0.2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 s="1">
        <f>COUNTBLANK(Table1[[#This Row],[months_as_customer]:[fraud_reported]])</f>
        <v>0</v>
      </c>
    </row>
    <row r="827" spans="2:41" ht="12.75" x14ac:dyDescent="0.2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 s="1">
        <f>COUNTBLANK(Table1[[#This Row],[months_as_customer]:[fraud_reported]])</f>
        <v>0</v>
      </c>
    </row>
    <row r="828" spans="2:41" ht="12.75" x14ac:dyDescent="0.2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 s="1">
        <f>COUNTBLANK(Table1[[#This Row],[months_as_customer]:[fraud_reported]])</f>
        <v>0</v>
      </c>
    </row>
    <row r="829" spans="2:41" ht="12.75" x14ac:dyDescent="0.2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 s="1">
        <f>COUNTBLANK(Table1[[#This Row],[months_as_customer]:[fraud_reported]])</f>
        <v>0</v>
      </c>
    </row>
    <row r="830" spans="2:41" ht="12.75" x14ac:dyDescent="0.2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 s="1">
        <f>COUNTBLANK(Table1[[#This Row],[months_as_customer]:[fraud_reported]])</f>
        <v>0</v>
      </c>
    </row>
    <row r="831" spans="2:41" ht="12.75" x14ac:dyDescent="0.2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 s="1">
        <f>COUNTBLANK(Table1[[#This Row],[months_as_customer]:[fraud_reported]])</f>
        <v>0</v>
      </c>
    </row>
    <row r="832" spans="2:41" ht="12.75" x14ac:dyDescent="0.2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 s="1">
        <f>COUNTBLANK(Table1[[#This Row],[months_as_customer]:[fraud_reported]])</f>
        <v>0</v>
      </c>
    </row>
    <row r="833" spans="2:41" ht="12.75" x14ac:dyDescent="0.2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 s="1">
        <f>COUNTBLANK(Table1[[#This Row],[months_as_customer]:[fraud_reported]])</f>
        <v>0</v>
      </c>
    </row>
    <row r="834" spans="2:41" ht="12.75" x14ac:dyDescent="0.2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 s="1">
        <f>COUNTBLANK(Table1[[#This Row],[months_as_customer]:[fraud_reported]])</f>
        <v>0</v>
      </c>
    </row>
    <row r="835" spans="2:41" ht="12.75" x14ac:dyDescent="0.2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 s="1">
        <f>COUNTBLANK(Table1[[#This Row],[months_as_customer]:[fraud_reported]])</f>
        <v>0</v>
      </c>
    </row>
    <row r="836" spans="2:41" ht="12.75" x14ac:dyDescent="0.2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 s="1">
        <f>COUNTBLANK(Table1[[#This Row],[months_as_customer]:[fraud_reported]])</f>
        <v>0</v>
      </c>
    </row>
    <row r="837" spans="2:41" ht="12.75" x14ac:dyDescent="0.2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 s="1">
        <f>COUNTBLANK(Table1[[#This Row],[months_as_customer]:[fraud_reported]])</f>
        <v>0</v>
      </c>
    </row>
    <row r="838" spans="2:41" ht="12.75" x14ac:dyDescent="0.2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 s="1">
        <f>COUNTBLANK(Table1[[#This Row],[months_as_customer]:[fraud_reported]])</f>
        <v>0</v>
      </c>
    </row>
    <row r="839" spans="2:41" ht="12.75" x14ac:dyDescent="0.2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 s="1">
        <f>COUNTBLANK(Table1[[#This Row],[months_as_customer]:[fraud_reported]])</f>
        <v>0</v>
      </c>
    </row>
    <row r="840" spans="2:41" ht="12.75" x14ac:dyDescent="0.2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 s="1">
        <f>COUNTBLANK(Table1[[#This Row],[months_as_customer]:[fraud_reported]])</f>
        <v>0</v>
      </c>
    </row>
    <row r="841" spans="2:41" ht="12.75" x14ac:dyDescent="0.2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 s="1">
        <f>COUNTBLANK(Table1[[#This Row],[months_as_customer]:[fraud_reported]])</f>
        <v>0</v>
      </c>
    </row>
    <row r="842" spans="2:41" ht="12.75" x14ac:dyDescent="0.2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 s="1">
        <f>COUNTBLANK(Table1[[#This Row],[months_as_customer]:[fraud_reported]])</f>
        <v>0</v>
      </c>
    </row>
    <row r="843" spans="2:41" ht="12.75" x14ac:dyDescent="0.2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 s="1">
        <f>COUNTBLANK(Table1[[#This Row],[months_as_customer]:[fraud_reported]])</f>
        <v>0</v>
      </c>
    </row>
    <row r="844" spans="2:41" ht="12.75" x14ac:dyDescent="0.2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 s="1">
        <f>COUNTBLANK(Table1[[#This Row],[months_as_customer]:[fraud_reported]])</f>
        <v>0</v>
      </c>
    </row>
    <row r="845" spans="2:41" ht="12.75" x14ac:dyDescent="0.2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 s="1">
        <f>COUNTBLANK(Table1[[#This Row],[months_as_customer]:[fraud_reported]])</f>
        <v>0</v>
      </c>
    </row>
    <row r="846" spans="2:41" ht="12.75" x14ac:dyDescent="0.2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 s="1">
        <f>COUNTBLANK(Table1[[#This Row],[months_as_customer]:[fraud_reported]])</f>
        <v>0</v>
      </c>
    </row>
    <row r="847" spans="2:41" ht="12.75" x14ac:dyDescent="0.2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 s="1">
        <f>COUNTBLANK(Table1[[#This Row],[months_as_customer]:[fraud_reported]])</f>
        <v>0</v>
      </c>
    </row>
    <row r="848" spans="2:41" ht="12.75" x14ac:dyDescent="0.2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 s="1">
        <f>COUNTBLANK(Table1[[#This Row],[months_as_customer]:[fraud_reported]])</f>
        <v>0</v>
      </c>
    </row>
    <row r="849" spans="2:41" ht="12.75" x14ac:dyDescent="0.2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 s="1">
        <f>COUNTBLANK(Table1[[#This Row],[months_as_customer]:[fraud_reported]])</f>
        <v>0</v>
      </c>
    </row>
    <row r="850" spans="2:41" ht="12.75" x14ac:dyDescent="0.2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 s="1">
        <f>COUNTBLANK(Table1[[#This Row],[months_as_customer]:[fraud_reported]])</f>
        <v>0</v>
      </c>
    </row>
    <row r="851" spans="2:41" ht="12.75" x14ac:dyDescent="0.2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 s="1">
        <f>COUNTBLANK(Table1[[#This Row],[months_as_customer]:[fraud_reported]])</f>
        <v>0</v>
      </c>
    </row>
    <row r="852" spans="2:41" ht="12.75" x14ac:dyDescent="0.2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 s="1">
        <f>COUNTBLANK(Table1[[#This Row],[months_as_customer]:[fraud_reported]])</f>
        <v>0</v>
      </c>
    </row>
    <row r="853" spans="2:41" ht="12.75" x14ac:dyDescent="0.2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 s="1">
        <f>COUNTBLANK(Table1[[#This Row],[months_as_customer]:[fraud_reported]])</f>
        <v>0</v>
      </c>
    </row>
    <row r="854" spans="2:41" ht="12.75" x14ac:dyDescent="0.2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 s="1">
        <f>COUNTBLANK(Table1[[#This Row],[months_as_customer]:[fraud_reported]])</f>
        <v>0</v>
      </c>
    </row>
    <row r="855" spans="2:41" ht="12.75" x14ac:dyDescent="0.2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 s="1">
        <f>COUNTBLANK(Table1[[#This Row],[months_as_customer]:[fraud_reported]])</f>
        <v>0</v>
      </c>
    </row>
    <row r="856" spans="2:41" ht="12.75" x14ac:dyDescent="0.2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 s="1">
        <f>COUNTBLANK(Table1[[#This Row],[months_as_customer]:[fraud_reported]])</f>
        <v>0</v>
      </c>
    </row>
    <row r="857" spans="2:41" ht="12.75" x14ac:dyDescent="0.2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 s="1">
        <f>COUNTBLANK(Table1[[#This Row],[months_as_customer]:[fraud_reported]])</f>
        <v>0</v>
      </c>
    </row>
    <row r="858" spans="2:41" ht="12.75" x14ac:dyDescent="0.2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 s="1">
        <f>COUNTBLANK(Table1[[#This Row],[months_as_customer]:[fraud_reported]])</f>
        <v>0</v>
      </c>
    </row>
    <row r="859" spans="2:41" ht="12.75" x14ac:dyDescent="0.2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 s="1">
        <f>COUNTBLANK(Table1[[#This Row],[months_as_customer]:[fraud_reported]])</f>
        <v>0</v>
      </c>
    </row>
    <row r="860" spans="2:41" ht="12.75" x14ac:dyDescent="0.2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 s="1">
        <f>COUNTBLANK(Table1[[#This Row],[months_as_customer]:[fraud_reported]])</f>
        <v>0</v>
      </c>
    </row>
    <row r="861" spans="2:41" ht="12.75" x14ac:dyDescent="0.2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 s="1">
        <f>COUNTBLANK(Table1[[#This Row],[months_as_customer]:[fraud_reported]])</f>
        <v>0</v>
      </c>
    </row>
    <row r="862" spans="2:41" ht="12.75" x14ac:dyDescent="0.2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 s="1">
        <f>COUNTBLANK(Table1[[#This Row],[months_as_customer]:[fraud_reported]])</f>
        <v>0</v>
      </c>
    </row>
    <row r="863" spans="2:41" ht="12.75" x14ac:dyDescent="0.2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 s="1">
        <f>COUNTBLANK(Table1[[#This Row],[months_as_customer]:[fraud_reported]])</f>
        <v>0</v>
      </c>
    </row>
    <row r="864" spans="2:41" ht="12.75" x14ac:dyDescent="0.2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 s="1">
        <f>COUNTBLANK(Table1[[#This Row],[months_as_customer]:[fraud_reported]])</f>
        <v>0</v>
      </c>
    </row>
    <row r="865" spans="2:41" ht="12.75" x14ac:dyDescent="0.2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 s="1">
        <f>COUNTBLANK(Table1[[#This Row],[months_as_customer]:[fraud_reported]])</f>
        <v>0</v>
      </c>
    </row>
    <row r="866" spans="2:41" ht="12.75" x14ac:dyDescent="0.2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 s="1">
        <f>COUNTBLANK(Table1[[#This Row],[months_as_customer]:[fraud_reported]])</f>
        <v>0</v>
      </c>
    </row>
    <row r="867" spans="2:41" ht="12.75" x14ac:dyDescent="0.2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 s="1">
        <f>COUNTBLANK(Table1[[#This Row],[months_as_customer]:[fraud_reported]])</f>
        <v>0</v>
      </c>
    </row>
    <row r="868" spans="2:41" ht="12.75" x14ac:dyDescent="0.2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 s="1">
        <f>COUNTBLANK(Table1[[#This Row],[months_as_customer]:[fraud_reported]])</f>
        <v>0</v>
      </c>
    </row>
    <row r="869" spans="2:41" ht="12.75" x14ac:dyDescent="0.2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 s="1">
        <f>COUNTBLANK(Table1[[#This Row],[months_as_customer]:[fraud_reported]])</f>
        <v>0</v>
      </c>
    </row>
    <row r="870" spans="2:41" ht="12.75" x14ac:dyDescent="0.2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 s="1">
        <f>COUNTBLANK(Table1[[#This Row],[months_as_customer]:[fraud_reported]])</f>
        <v>0</v>
      </c>
    </row>
    <row r="871" spans="2:41" ht="12.75" x14ac:dyDescent="0.2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 s="1">
        <f>COUNTBLANK(Table1[[#This Row],[months_as_customer]:[fraud_reported]])</f>
        <v>0</v>
      </c>
    </row>
    <row r="872" spans="2:41" ht="12.75" x14ac:dyDescent="0.2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 s="1">
        <f>COUNTBLANK(Table1[[#This Row],[months_as_customer]:[fraud_reported]])</f>
        <v>0</v>
      </c>
    </row>
    <row r="873" spans="2:41" ht="12.75" x14ac:dyDescent="0.2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 s="1">
        <f>COUNTBLANK(Table1[[#This Row],[months_as_customer]:[fraud_reported]])</f>
        <v>0</v>
      </c>
    </row>
    <row r="874" spans="2:41" ht="12.75" x14ac:dyDescent="0.2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 s="1">
        <f>COUNTBLANK(Table1[[#This Row],[months_as_customer]:[fraud_reported]])</f>
        <v>0</v>
      </c>
    </row>
    <row r="875" spans="2:41" ht="12.75" x14ac:dyDescent="0.2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 s="1">
        <f>COUNTBLANK(Table1[[#This Row],[months_as_customer]:[fraud_reported]])</f>
        <v>0</v>
      </c>
    </row>
    <row r="876" spans="2:41" ht="12.75" x14ac:dyDescent="0.2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 s="1">
        <f>COUNTBLANK(Table1[[#This Row],[months_as_customer]:[fraud_reported]])</f>
        <v>0</v>
      </c>
    </row>
    <row r="877" spans="2:41" ht="12.75" x14ac:dyDescent="0.2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 s="1">
        <f>COUNTBLANK(Table1[[#This Row],[months_as_customer]:[fraud_reported]])</f>
        <v>0</v>
      </c>
    </row>
    <row r="878" spans="2:41" ht="12.75" x14ac:dyDescent="0.2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 s="1">
        <f>COUNTBLANK(Table1[[#This Row],[months_as_customer]:[fraud_reported]])</f>
        <v>0</v>
      </c>
    </row>
    <row r="879" spans="2:41" ht="12.75" x14ac:dyDescent="0.2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 s="1">
        <f>COUNTBLANK(Table1[[#This Row],[months_as_customer]:[fraud_reported]])</f>
        <v>0</v>
      </c>
    </row>
    <row r="880" spans="2:41" ht="12.75" x14ac:dyDescent="0.2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 s="1">
        <f>COUNTBLANK(Table1[[#This Row],[months_as_customer]:[fraud_reported]])</f>
        <v>0</v>
      </c>
    </row>
    <row r="881" spans="2:41" ht="12.75" x14ac:dyDescent="0.2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 s="1">
        <f>COUNTBLANK(Table1[[#This Row],[months_as_customer]:[fraud_reported]])</f>
        <v>0</v>
      </c>
    </row>
    <row r="882" spans="2:41" ht="12.75" x14ac:dyDescent="0.2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 s="1">
        <f>COUNTBLANK(Table1[[#This Row],[months_as_customer]:[fraud_reported]])</f>
        <v>0</v>
      </c>
    </row>
    <row r="883" spans="2:41" ht="12.75" x14ac:dyDescent="0.2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 s="1">
        <f>COUNTBLANK(Table1[[#This Row],[months_as_customer]:[fraud_reported]])</f>
        <v>0</v>
      </c>
    </row>
    <row r="884" spans="2:41" ht="12.75" x14ac:dyDescent="0.2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 s="1">
        <f>COUNTBLANK(Table1[[#This Row],[months_as_customer]:[fraud_reported]])</f>
        <v>0</v>
      </c>
    </row>
    <row r="885" spans="2:41" ht="12.75" x14ac:dyDescent="0.2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 s="1">
        <f>COUNTBLANK(Table1[[#This Row],[months_as_customer]:[fraud_reported]])</f>
        <v>0</v>
      </c>
    </row>
    <row r="886" spans="2:41" ht="12.75" x14ac:dyDescent="0.2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 s="1">
        <f>COUNTBLANK(Table1[[#This Row],[months_as_customer]:[fraud_reported]])</f>
        <v>0</v>
      </c>
    </row>
    <row r="887" spans="2:41" ht="12.75" x14ac:dyDescent="0.2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 s="1">
        <f>COUNTBLANK(Table1[[#This Row],[months_as_customer]:[fraud_reported]])</f>
        <v>0</v>
      </c>
    </row>
    <row r="888" spans="2:41" ht="12.75" x14ac:dyDescent="0.2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 s="1">
        <f>COUNTBLANK(Table1[[#This Row],[months_as_customer]:[fraud_reported]])</f>
        <v>0</v>
      </c>
    </row>
    <row r="889" spans="2:41" ht="12.75" x14ac:dyDescent="0.2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 s="1">
        <f>COUNTBLANK(Table1[[#This Row],[months_as_customer]:[fraud_reported]])</f>
        <v>0</v>
      </c>
    </row>
    <row r="890" spans="2:41" ht="12.75" x14ac:dyDescent="0.2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 s="1">
        <f>COUNTBLANK(Table1[[#This Row],[months_as_customer]:[fraud_reported]])</f>
        <v>0</v>
      </c>
    </row>
    <row r="891" spans="2:41" ht="12.75" x14ac:dyDescent="0.2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 s="1">
        <f>COUNTBLANK(Table1[[#This Row],[months_as_customer]:[fraud_reported]])</f>
        <v>0</v>
      </c>
    </row>
    <row r="892" spans="2:41" ht="12.75" x14ac:dyDescent="0.2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 s="1">
        <f>COUNTBLANK(Table1[[#This Row],[months_as_customer]:[fraud_reported]])</f>
        <v>0</v>
      </c>
    </row>
    <row r="893" spans="2:41" ht="12.75" x14ac:dyDescent="0.2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 s="1">
        <f>COUNTBLANK(Table1[[#This Row],[months_as_customer]:[fraud_reported]])</f>
        <v>0</v>
      </c>
    </row>
    <row r="894" spans="2:41" ht="12.75" x14ac:dyDescent="0.2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 s="1">
        <f>COUNTBLANK(Table1[[#This Row],[months_as_customer]:[fraud_reported]])</f>
        <v>0</v>
      </c>
    </row>
    <row r="895" spans="2:41" ht="12.75" x14ac:dyDescent="0.2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 s="1">
        <f>COUNTBLANK(Table1[[#This Row],[months_as_customer]:[fraud_reported]])</f>
        <v>0</v>
      </c>
    </row>
    <row r="896" spans="2:41" ht="12.75" x14ac:dyDescent="0.2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 s="1">
        <f>COUNTBLANK(Table1[[#This Row],[months_as_customer]:[fraud_reported]])</f>
        <v>0</v>
      </c>
    </row>
    <row r="897" spans="2:41" ht="12.75" x14ac:dyDescent="0.2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 s="1">
        <f>COUNTBLANK(Table1[[#This Row],[months_as_customer]:[fraud_reported]])</f>
        <v>0</v>
      </c>
    </row>
    <row r="898" spans="2:41" ht="12.75" x14ac:dyDescent="0.2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 s="1">
        <f>COUNTBLANK(Table1[[#This Row],[months_as_customer]:[fraud_reported]])</f>
        <v>0</v>
      </c>
    </row>
    <row r="899" spans="2:41" ht="12.75" x14ac:dyDescent="0.2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 s="1">
        <f>COUNTBLANK(Table1[[#This Row],[months_as_customer]:[fraud_reported]])</f>
        <v>0</v>
      </c>
    </row>
    <row r="900" spans="2:41" ht="12.75" x14ac:dyDescent="0.2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 s="1">
        <f>COUNTBLANK(Table1[[#This Row],[months_as_customer]:[fraud_reported]])</f>
        <v>0</v>
      </c>
    </row>
    <row r="901" spans="2:41" ht="12.75" x14ac:dyDescent="0.2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 s="1">
        <f>COUNTBLANK(Table1[[#This Row],[months_as_customer]:[fraud_reported]])</f>
        <v>0</v>
      </c>
    </row>
    <row r="902" spans="2:41" ht="12.75" x14ac:dyDescent="0.2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 s="1">
        <f>COUNTBLANK(Table1[[#This Row],[months_as_customer]:[fraud_reported]])</f>
        <v>0</v>
      </c>
    </row>
    <row r="903" spans="2:41" ht="12.75" x14ac:dyDescent="0.2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 s="1">
        <f>COUNTBLANK(Table1[[#This Row],[months_as_customer]:[fraud_reported]])</f>
        <v>0</v>
      </c>
    </row>
    <row r="904" spans="2:41" ht="12.75" x14ac:dyDescent="0.2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 s="1">
        <f>COUNTBLANK(Table1[[#This Row],[months_as_customer]:[fraud_reported]])</f>
        <v>0</v>
      </c>
    </row>
    <row r="905" spans="2:41" ht="12.75" x14ac:dyDescent="0.2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 s="1">
        <f>COUNTBLANK(Table1[[#This Row],[months_as_customer]:[fraud_reported]])</f>
        <v>0</v>
      </c>
    </row>
    <row r="906" spans="2:41" ht="12.75" x14ac:dyDescent="0.2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 s="1">
        <f>COUNTBLANK(Table1[[#This Row],[months_as_customer]:[fraud_reported]])</f>
        <v>0</v>
      </c>
    </row>
    <row r="907" spans="2:41" ht="12.75" x14ac:dyDescent="0.2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 s="1">
        <f>COUNTBLANK(Table1[[#This Row],[months_as_customer]:[fraud_reported]])</f>
        <v>0</v>
      </c>
    </row>
    <row r="908" spans="2:41" ht="12.75" x14ac:dyDescent="0.2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 s="1">
        <f>COUNTBLANK(Table1[[#This Row],[months_as_customer]:[fraud_reported]])</f>
        <v>0</v>
      </c>
    </row>
    <row r="909" spans="2:41" ht="12.75" x14ac:dyDescent="0.2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 s="1">
        <f>COUNTBLANK(Table1[[#This Row],[months_as_customer]:[fraud_reported]])</f>
        <v>0</v>
      </c>
    </row>
    <row r="910" spans="2:41" ht="12.75" x14ac:dyDescent="0.2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 s="1">
        <f>COUNTBLANK(Table1[[#This Row],[months_as_customer]:[fraud_reported]])</f>
        <v>0</v>
      </c>
    </row>
    <row r="911" spans="2:41" ht="12.75" x14ac:dyDescent="0.2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 s="1">
        <f>COUNTBLANK(Table1[[#This Row],[months_as_customer]:[fraud_reported]])</f>
        <v>0</v>
      </c>
    </row>
    <row r="912" spans="2:41" ht="12.75" x14ac:dyDescent="0.2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 s="1">
        <f>COUNTBLANK(Table1[[#This Row],[months_as_customer]:[fraud_reported]])</f>
        <v>0</v>
      </c>
    </row>
    <row r="913" spans="2:41" ht="12.75" x14ac:dyDescent="0.2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 s="1">
        <f>COUNTBLANK(Table1[[#This Row],[months_as_customer]:[fraud_reported]])</f>
        <v>0</v>
      </c>
    </row>
    <row r="914" spans="2:41" ht="12.75" x14ac:dyDescent="0.2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 s="1">
        <f>COUNTBLANK(Table1[[#This Row],[months_as_customer]:[fraud_reported]])</f>
        <v>0</v>
      </c>
    </row>
    <row r="915" spans="2:41" ht="12.75" x14ac:dyDescent="0.2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 s="1">
        <f>COUNTBLANK(Table1[[#This Row],[months_as_customer]:[fraud_reported]])</f>
        <v>0</v>
      </c>
    </row>
    <row r="916" spans="2:41" ht="12.75" x14ac:dyDescent="0.2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 s="1">
        <f>COUNTBLANK(Table1[[#This Row],[months_as_customer]:[fraud_reported]])</f>
        <v>0</v>
      </c>
    </row>
    <row r="917" spans="2:41" ht="12.75" x14ac:dyDescent="0.2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 s="1">
        <f>COUNTBLANK(Table1[[#This Row],[months_as_customer]:[fraud_reported]])</f>
        <v>0</v>
      </c>
    </row>
    <row r="918" spans="2:41" ht="12.75" x14ac:dyDescent="0.2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 s="1">
        <f>COUNTBLANK(Table1[[#This Row],[months_as_customer]:[fraud_reported]])</f>
        <v>0</v>
      </c>
    </row>
    <row r="919" spans="2:41" ht="12.75" x14ac:dyDescent="0.2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 s="1">
        <f>COUNTBLANK(Table1[[#This Row],[months_as_customer]:[fraud_reported]])</f>
        <v>0</v>
      </c>
    </row>
    <row r="920" spans="2:41" ht="12.75" x14ac:dyDescent="0.2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 s="1">
        <f>COUNTBLANK(Table1[[#This Row],[months_as_customer]:[fraud_reported]])</f>
        <v>0</v>
      </c>
    </row>
    <row r="921" spans="2:41" ht="12.75" x14ac:dyDescent="0.2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 s="1">
        <f>COUNTBLANK(Table1[[#This Row],[months_as_customer]:[fraud_reported]])</f>
        <v>0</v>
      </c>
    </row>
    <row r="922" spans="2:41" ht="12.75" x14ac:dyDescent="0.2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 s="1">
        <f>COUNTBLANK(Table1[[#This Row],[months_as_customer]:[fraud_reported]])</f>
        <v>0</v>
      </c>
    </row>
    <row r="923" spans="2:41" ht="12.75" x14ac:dyDescent="0.2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 s="1">
        <f>COUNTBLANK(Table1[[#This Row],[months_as_customer]:[fraud_reported]])</f>
        <v>0</v>
      </c>
    </row>
    <row r="924" spans="2:41" ht="12.75" x14ac:dyDescent="0.2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 s="1">
        <f>COUNTBLANK(Table1[[#This Row],[months_as_customer]:[fraud_reported]])</f>
        <v>0</v>
      </c>
    </row>
    <row r="925" spans="2:41" ht="12.75" x14ac:dyDescent="0.2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 s="1">
        <f>COUNTBLANK(Table1[[#This Row],[months_as_customer]:[fraud_reported]])</f>
        <v>0</v>
      </c>
    </row>
    <row r="926" spans="2:41" ht="12.75" x14ac:dyDescent="0.2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 s="1">
        <f>COUNTBLANK(Table1[[#This Row],[months_as_customer]:[fraud_reported]])</f>
        <v>0</v>
      </c>
    </row>
    <row r="927" spans="2:41" ht="12.75" x14ac:dyDescent="0.2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 s="1">
        <f>COUNTBLANK(Table1[[#This Row],[months_as_customer]:[fraud_reported]])</f>
        <v>0</v>
      </c>
    </row>
    <row r="928" spans="2:41" ht="12.75" x14ac:dyDescent="0.2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 s="1">
        <f>COUNTBLANK(Table1[[#This Row],[months_as_customer]:[fraud_reported]])</f>
        <v>0</v>
      </c>
    </row>
    <row r="929" spans="2:41" ht="12.75" x14ac:dyDescent="0.2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 s="1">
        <f>COUNTBLANK(Table1[[#This Row],[months_as_customer]:[fraud_reported]])</f>
        <v>0</v>
      </c>
    </row>
    <row r="930" spans="2:41" ht="12.75" x14ac:dyDescent="0.2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 s="1">
        <f>COUNTBLANK(Table1[[#This Row],[months_as_customer]:[fraud_reported]])</f>
        <v>0</v>
      </c>
    </row>
    <row r="931" spans="2:41" ht="12.75" x14ac:dyDescent="0.2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 s="1">
        <f>COUNTBLANK(Table1[[#This Row],[months_as_customer]:[fraud_reported]])</f>
        <v>0</v>
      </c>
    </row>
    <row r="932" spans="2:41" ht="12.75" x14ac:dyDescent="0.2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 s="1">
        <f>COUNTBLANK(Table1[[#This Row],[months_as_customer]:[fraud_reported]])</f>
        <v>0</v>
      </c>
    </row>
    <row r="933" spans="2:41" ht="12.75" x14ac:dyDescent="0.2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 s="1">
        <f>COUNTBLANK(Table1[[#This Row],[months_as_customer]:[fraud_reported]])</f>
        <v>0</v>
      </c>
    </row>
    <row r="934" spans="2:41" ht="12.75" x14ac:dyDescent="0.2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 s="1">
        <f>COUNTBLANK(Table1[[#This Row],[months_as_customer]:[fraud_reported]])</f>
        <v>0</v>
      </c>
    </row>
    <row r="935" spans="2:41" ht="12.75" x14ac:dyDescent="0.2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 s="1">
        <f>COUNTBLANK(Table1[[#This Row],[months_as_customer]:[fraud_reported]])</f>
        <v>0</v>
      </c>
    </row>
    <row r="936" spans="2:41" ht="12.75" x14ac:dyDescent="0.2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 s="1">
        <f>COUNTBLANK(Table1[[#This Row],[months_as_customer]:[fraud_reported]])</f>
        <v>0</v>
      </c>
    </row>
    <row r="937" spans="2:41" ht="12.75" x14ac:dyDescent="0.2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 s="1">
        <f>COUNTBLANK(Table1[[#This Row],[months_as_customer]:[fraud_reported]])</f>
        <v>0</v>
      </c>
    </row>
    <row r="938" spans="2:41" ht="12.75" x14ac:dyDescent="0.2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 s="1">
        <f>COUNTBLANK(Table1[[#This Row],[months_as_customer]:[fraud_reported]])</f>
        <v>0</v>
      </c>
    </row>
    <row r="939" spans="2:41" ht="12.75" x14ac:dyDescent="0.2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 s="1">
        <f>COUNTBLANK(Table1[[#This Row],[months_as_customer]:[fraud_reported]])</f>
        <v>0</v>
      </c>
    </row>
    <row r="940" spans="2:41" ht="12.75" x14ac:dyDescent="0.2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 s="1">
        <f>COUNTBLANK(Table1[[#This Row],[months_as_customer]:[fraud_reported]])</f>
        <v>0</v>
      </c>
    </row>
    <row r="941" spans="2:41" ht="12.75" x14ac:dyDescent="0.2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 s="1">
        <f>COUNTBLANK(Table1[[#This Row],[months_as_customer]:[fraud_reported]])</f>
        <v>0</v>
      </c>
    </row>
    <row r="942" spans="2:41" ht="12.75" x14ac:dyDescent="0.2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 s="1">
        <f>COUNTBLANK(Table1[[#This Row],[months_as_customer]:[fraud_reported]])</f>
        <v>0</v>
      </c>
    </row>
    <row r="943" spans="2:41" ht="12.75" x14ac:dyDescent="0.2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 s="1">
        <f>COUNTBLANK(Table1[[#This Row],[months_as_customer]:[fraud_reported]])</f>
        <v>0</v>
      </c>
    </row>
    <row r="944" spans="2:41" ht="12.75" x14ac:dyDescent="0.2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 s="1">
        <f>COUNTBLANK(Table1[[#This Row],[months_as_customer]:[fraud_reported]])</f>
        <v>0</v>
      </c>
    </row>
    <row r="945" spans="2:41" ht="12.75" x14ac:dyDescent="0.2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 s="1">
        <f>COUNTBLANK(Table1[[#This Row],[months_as_customer]:[fraud_reported]])</f>
        <v>0</v>
      </c>
    </row>
    <row r="946" spans="2:41" ht="12.75" x14ac:dyDescent="0.2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 s="1">
        <f>COUNTBLANK(Table1[[#This Row],[months_as_customer]:[fraud_reported]])</f>
        <v>0</v>
      </c>
    </row>
    <row r="947" spans="2:41" ht="12.75" x14ac:dyDescent="0.2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 s="1">
        <f>COUNTBLANK(Table1[[#This Row],[months_as_customer]:[fraud_reported]])</f>
        <v>0</v>
      </c>
    </row>
    <row r="948" spans="2:41" ht="12.75" x14ac:dyDescent="0.2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 s="1">
        <f>COUNTBLANK(Table1[[#This Row],[months_as_customer]:[fraud_reported]])</f>
        <v>0</v>
      </c>
    </row>
    <row r="949" spans="2:41" ht="12.75" x14ac:dyDescent="0.2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 s="1">
        <f>COUNTBLANK(Table1[[#This Row],[months_as_customer]:[fraud_reported]])</f>
        <v>0</v>
      </c>
    </row>
    <row r="950" spans="2:41" ht="12.75" x14ac:dyDescent="0.2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 s="1">
        <f>COUNTBLANK(Table1[[#This Row],[months_as_customer]:[fraud_reported]])</f>
        <v>0</v>
      </c>
    </row>
    <row r="951" spans="2:41" ht="12.75" x14ac:dyDescent="0.2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 s="1">
        <f>COUNTBLANK(Table1[[#This Row],[months_as_customer]:[fraud_reported]])</f>
        <v>0</v>
      </c>
    </row>
    <row r="952" spans="2:41" ht="12.75" x14ac:dyDescent="0.2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 s="1">
        <f>COUNTBLANK(Table1[[#This Row],[months_as_customer]:[fraud_reported]])</f>
        <v>0</v>
      </c>
    </row>
    <row r="953" spans="2:41" ht="12.75" x14ac:dyDescent="0.2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 s="1">
        <f>COUNTBLANK(Table1[[#This Row],[months_as_customer]:[fraud_reported]])</f>
        <v>0</v>
      </c>
    </row>
    <row r="954" spans="2:41" ht="12.75" x14ac:dyDescent="0.2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 s="1">
        <f>COUNTBLANK(Table1[[#This Row],[months_as_customer]:[fraud_reported]])</f>
        <v>0</v>
      </c>
    </row>
    <row r="955" spans="2:41" ht="12.75" x14ac:dyDescent="0.2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 s="1">
        <f>COUNTBLANK(Table1[[#This Row],[months_as_customer]:[fraud_reported]])</f>
        <v>0</v>
      </c>
    </row>
    <row r="956" spans="2:41" ht="12.75" x14ac:dyDescent="0.2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 s="1">
        <f>COUNTBLANK(Table1[[#This Row],[months_as_customer]:[fraud_reported]])</f>
        <v>0</v>
      </c>
    </row>
    <row r="957" spans="2:41" ht="12.75" x14ac:dyDescent="0.2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 s="1">
        <f>COUNTBLANK(Table1[[#This Row],[months_as_customer]:[fraud_reported]])</f>
        <v>0</v>
      </c>
    </row>
    <row r="958" spans="2:41" ht="12.75" x14ac:dyDescent="0.2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 s="1">
        <f>COUNTBLANK(Table1[[#This Row],[months_as_customer]:[fraud_reported]])</f>
        <v>0</v>
      </c>
    </row>
    <row r="959" spans="2:41" ht="12.75" x14ac:dyDescent="0.2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 s="1">
        <f>COUNTBLANK(Table1[[#This Row],[months_as_customer]:[fraud_reported]])</f>
        <v>0</v>
      </c>
    </row>
    <row r="960" spans="2:41" ht="12.75" x14ac:dyDescent="0.2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I960" s="3">
        <v>920.98333333333323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 s="1">
        <f>COUNTBLANK(Table1[[#This Row],[months_as_customer]:[fraud_reported]])</f>
        <v>0</v>
      </c>
    </row>
    <row r="961" spans="2:41" ht="12.75" x14ac:dyDescent="0.2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 s="1">
        <f>COUNTBLANK(Table1[[#This Row],[months_as_customer]:[fraud_reported]])</f>
        <v>0</v>
      </c>
    </row>
    <row r="962" spans="2:41" ht="12.75" x14ac:dyDescent="0.2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 s="1">
        <f>COUNTBLANK(Table1[[#This Row],[months_as_customer]:[fraud_reported]])</f>
        <v>0</v>
      </c>
    </row>
    <row r="963" spans="2:41" ht="12.75" x14ac:dyDescent="0.2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 s="1">
        <f>COUNTBLANK(Table1[[#This Row],[months_as_customer]:[fraud_reported]])</f>
        <v>0</v>
      </c>
    </row>
    <row r="964" spans="2:41" ht="12.75" x14ac:dyDescent="0.2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 s="1">
        <f>COUNTBLANK(Table1[[#This Row],[months_as_customer]:[fraud_reported]])</f>
        <v>0</v>
      </c>
    </row>
    <row r="965" spans="2:41" ht="12.75" x14ac:dyDescent="0.2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 s="1">
        <f>COUNTBLANK(Table1[[#This Row],[months_as_customer]:[fraud_reported]])</f>
        <v>0</v>
      </c>
    </row>
    <row r="966" spans="2:41" ht="12.75" x14ac:dyDescent="0.2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 s="1">
        <f>COUNTBLANK(Table1[[#This Row],[months_as_customer]:[fraud_reported]])</f>
        <v>0</v>
      </c>
    </row>
    <row r="967" spans="2:41" ht="12.75" x14ac:dyDescent="0.2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 s="1">
        <f>COUNTBLANK(Table1[[#This Row],[months_as_customer]:[fraud_reported]])</f>
        <v>0</v>
      </c>
    </row>
    <row r="968" spans="2:41" ht="12.75" x14ac:dyDescent="0.2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 s="1">
        <f>COUNTBLANK(Table1[[#This Row],[months_as_customer]:[fraud_reported]])</f>
        <v>0</v>
      </c>
    </row>
    <row r="969" spans="2:41" ht="12.75" x14ac:dyDescent="0.2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 s="1">
        <f>COUNTBLANK(Table1[[#This Row],[months_as_customer]:[fraud_reported]])</f>
        <v>0</v>
      </c>
    </row>
    <row r="970" spans="2:41" ht="12.75" x14ac:dyDescent="0.2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 s="1">
        <f>COUNTBLANK(Table1[[#This Row],[months_as_customer]:[fraud_reported]])</f>
        <v>0</v>
      </c>
    </row>
    <row r="971" spans="2:41" ht="12.75" x14ac:dyDescent="0.2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 s="1">
        <f>COUNTBLANK(Table1[[#This Row],[months_as_customer]:[fraud_reported]])</f>
        <v>0</v>
      </c>
    </row>
    <row r="972" spans="2:41" ht="12.75" x14ac:dyDescent="0.2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 s="1">
        <f>COUNTBLANK(Table1[[#This Row],[months_as_customer]:[fraud_reported]])</f>
        <v>0</v>
      </c>
    </row>
    <row r="973" spans="2:41" ht="12.75" x14ac:dyDescent="0.2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 s="1">
        <f>COUNTBLANK(Table1[[#This Row],[months_as_customer]:[fraud_reported]])</f>
        <v>0</v>
      </c>
    </row>
    <row r="974" spans="2:41" ht="12.75" x14ac:dyDescent="0.2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H974">
        <v>1000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 s="1">
        <f>COUNTBLANK(Table1[[#This Row],[months_as_customer]:[fraud_reported]])</f>
        <v>0</v>
      </c>
    </row>
    <row r="975" spans="2:41" ht="12.75" x14ac:dyDescent="0.2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 s="1">
        <f>COUNTBLANK(Table1[[#This Row],[months_as_customer]:[fraud_reported]])</f>
        <v>0</v>
      </c>
    </row>
    <row r="976" spans="2:41" ht="12.75" x14ac:dyDescent="0.2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 s="1">
        <f>COUNTBLANK(Table1[[#This Row],[months_as_customer]:[fraud_reported]])</f>
        <v>0</v>
      </c>
    </row>
    <row r="977" spans="2:41" ht="12.75" x14ac:dyDescent="0.2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 s="1">
        <f>COUNTBLANK(Table1[[#This Row],[months_as_customer]:[fraud_reported]])</f>
        <v>0</v>
      </c>
    </row>
    <row r="978" spans="2:41" ht="12.75" x14ac:dyDescent="0.2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 s="1">
        <f>COUNTBLANK(Table1[[#This Row],[months_as_customer]:[fraud_reported]])</f>
        <v>0</v>
      </c>
    </row>
    <row r="979" spans="2:41" ht="12.75" x14ac:dyDescent="0.2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 s="1">
        <f>COUNTBLANK(Table1[[#This Row],[months_as_customer]:[fraud_reported]])</f>
        <v>0</v>
      </c>
    </row>
    <row r="980" spans="2:41" ht="12.75" x14ac:dyDescent="0.2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 s="1">
        <f>COUNTBLANK(Table1[[#This Row],[months_as_customer]:[fraud_reported]])</f>
        <v>0</v>
      </c>
    </row>
    <row r="981" spans="2:41" ht="12.75" x14ac:dyDescent="0.2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 s="1">
        <f>COUNTBLANK(Table1[[#This Row],[months_as_customer]:[fraud_reported]])</f>
        <v>0</v>
      </c>
    </row>
    <row r="982" spans="2:41" ht="12.75" x14ac:dyDescent="0.2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 s="1">
        <f>COUNTBLANK(Table1[[#This Row],[months_as_customer]:[fraud_reported]])</f>
        <v>0</v>
      </c>
    </row>
    <row r="983" spans="2:41" ht="12.75" x14ac:dyDescent="0.2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 s="1">
        <f>COUNTBLANK(Table1[[#This Row],[months_as_customer]:[fraud_reported]])</f>
        <v>0</v>
      </c>
    </row>
    <row r="984" spans="2:41" ht="12.75" x14ac:dyDescent="0.2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 s="1">
        <f>COUNTBLANK(Table1[[#This Row],[months_as_customer]:[fraud_reported]])</f>
        <v>0</v>
      </c>
    </row>
    <row r="985" spans="2:41" ht="12.75" x14ac:dyDescent="0.2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 s="1">
        <f>COUNTBLANK(Table1[[#This Row],[months_as_customer]:[fraud_reported]])</f>
        <v>0</v>
      </c>
    </row>
    <row r="986" spans="2:41" ht="12.75" x14ac:dyDescent="0.2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 s="1">
        <f>COUNTBLANK(Table1[[#This Row],[months_as_customer]:[fraud_reported]])</f>
        <v>0</v>
      </c>
    </row>
    <row r="987" spans="2:41" ht="12.75" x14ac:dyDescent="0.2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 s="1">
        <f>COUNTBLANK(Table1[[#This Row],[months_as_customer]:[fraud_reported]])</f>
        <v>0</v>
      </c>
    </row>
    <row r="988" spans="2:41" ht="12.75" x14ac:dyDescent="0.2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 s="1">
        <f>COUNTBLANK(Table1[[#This Row],[months_as_customer]:[fraud_reported]])</f>
        <v>0</v>
      </c>
    </row>
    <row r="989" spans="2:41" ht="12.75" x14ac:dyDescent="0.2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 s="1">
        <f>COUNTBLANK(Table1[[#This Row],[months_as_customer]:[fraud_reported]])</f>
        <v>0</v>
      </c>
    </row>
    <row r="990" spans="2:41" ht="12.75" x14ac:dyDescent="0.2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 s="1">
        <f>COUNTBLANK(Table1[[#This Row],[months_as_customer]:[fraud_reported]])</f>
        <v>0</v>
      </c>
    </row>
    <row r="991" spans="2:41" ht="12.75" x14ac:dyDescent="0.2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 s="1">
        <f>COUNTBLANK(Table1[[#This Row],[months_as_customer]:[fraud_reported]])</f>
        <v>0</v>
      </c>
    </row>
    <row r="992" spans="2:41" ht="12.75" x14ac:dyDescent="0.2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 s="1">
        <f>COUNTBLANK(Table1[[#This Row],[months_as_customer]:[fraud_reported]])</f>
        <v>0</v>
      </c>
    </row>
    <row r="993" spans="2:41" ht="12.75" x14ac:dyDescent="0.2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 s="1">
        <f>COUNTBLANK(Table1[[#This Row],[months_as_customer]:[fraud_reported]])</f>
        <v>0</v>
      </c>
    </row>
    <row r="994" spans="2:41" ht="12.75" x14ac:dyDescent="0.2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 s="1">
        <f>COUNTBLANK(Table1[[#This Row],[months_as_customer]:[fraud_reported]])</f>
        <v>0</v>
      </c>
    </row>
    <row r="995" spans="2:41" ht="12.75" x14ac:dyDescent="0.2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 s="1">
        <f>COUNTBLANK(Table1[[#This Row],[months_as_customer]:[fraud_reported]])</f>
        <v>0</v>
      </c>
    </row>
    <row r="996" spans="2:41" ht="12.75" x14ac:dyDescent="0.2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 s="1">
        <f>COUNTBLANK(Table1[[#This Row],[months_as_customer]:[fraud_reported]])</f>
        <v>0</v>
      </c>
    </row>
    <row r="997" spans="2:41" ht="12.75" x14ac:dyDescent="0.2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 s="1">
        <f>COUNTBLANK(Table1[[#This Row],[months_as_customer]:[fraud_reported]])</f>
        <v>0</v>
      </c>
    </row>
    <row r="998" spans="2:41" ht="12.75" x14ac:dyDescent="0.2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 s="1">
        <f>COUNTBLANK(Table1[[#This Row],[months_as_customer]:[fraud_reported]])</f>
        <v>0</v>
      </c>
    </row>
    <row r="999" spans="2:41" ht="12.75" x14ac:dyDescent="0.2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 s="1">
        <f>COUNTBLANK(Table1[[#This Row],[months_as_customer]:[fraud_reported]])</f>
        <v>0</v>
      </c>
    </row>
    <row r="1000" spans="2:41" ht="12.75" x14ac:dyDescent="0.2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 s="1">
        <f>COUNTBLANK(Table1[[#This Row],[months_as_customer]:[fraud_reported]])</f>
        <v>0</v>
      </c>
    </row>
    <row r="1001" spans="2:41" ht="12.75" x14ac:dyDescent="0.2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 s="1">
        <f>COUNTBLANK(Table1[[#This Row],[months_as_customer]:[fraud_reported]])</f>
        <v>0</v>
      </c>
    </row>
    <row r="1002" spans="2:41" ht="12.75" x14ac:dyDescent="0.2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 s="1">
        <f>COUNTBLANK(Table1[[#This Row],[months_as_customer]:[fraud_reported]])</f>
        <v>0</v>
      </c>
    </row>
    <row r="1003" spans="2:41" ht="12.75" x14ac:dyDescent="0.2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 s="1">
        <f>COUNTBLANK(Table1[[#This Row],[months_as_customer]:[fraud_reported]])</f>
        <v>0</v>
      </c>
    </row>
    <row r="1004" spans="2:41" ht="12.75" x14ac:dyDescent="0.2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 s="1">
        <f>COUNTBLANK(Table1[[#This Row],[months_as_customer]:[fraud_reported]])</f>
        <v>0</v>
      </c>
    </row>
    <row r="1005" spans="2:41" ht="12.75" x14ac:dyDescent="0.2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 s="1">
        <f>COUNTBLANK(Table1[[#This Row],[months_as_customer]:[fraud_reported]])</f>
        <v>0</v>
      </c>
    </row>
    <row r="1006" spans="2:41" ht="12.75" x14ac:dyDescent="0.2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 s="1">
        <f>COUNTBLANK(Table1[[#This Row],[months_as_customer]:[fraud_reported]])</f>
        <v>0</v>
      </c>
    </row>
    <row r="1007" spans="2:41" ht="12.75" x14ac:dyDescent="0.2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 s="1">
        <f>COUNTBLANK(Table1[[#This Row],[months_as_customer]:[fraud_reported]])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1854-8BCD-42D2-A74E-A1047C4A3CEC}">
  <dimension ref="A1:BF110"/>
  <sheetViews>
    <sheetView topLeftCell="AT4" workbookViewId="0">
      <selection activeCell="BB29" sqref="BB29"/>
    </sheetView>
  </sheetViews>
  <sheetFormatPr defaultRowHeight="12.75" x14ac:dyDescent="0.2"/>
  <cols>
    <col min="1" max="1" width="13.85546875" bestFit="1" customWidth="1"/>
    <col min="2" max="2" width="20.140625" bestFit="1" customWidth="1"/>
    <col min="4" max="4" width="15.42578125" bestFit="1" customWidth="1"/>
    <col min="5" max="5" width="15" bestFit="1" customWidth="1"/>
    <col min="8" max="8" width="23.28515625" bestFit="1" customWidth="1"/>
    <col min="9" max="9" width="28.5703125" bestFit="1" customWidth="1"/>
    <col min="11" max="11" width="23" bestFit="1" customWidth="1"/>
    <col min="12" max="12" width="17" bestFit="1" customWidth="1"/>
    <col min="13" max="13" width="8" bestFit="1" customWidth="1"/>
    <col min="14" max="14" width="12" bestFit="1" customWidth="1"/>
    <col min="15" max="15" width="4" bestFit="1" customWidth="1"/>
    <col min="16" max="16" width="7.85546875" bestFit="1" customWidth="1"/>
    <col min="17" max="17" width="4" bestFit="1" customWidth="1"/>
    <col min="18" max="18" width="4.7109375" bestFit="1" customWidth="1"/>
    <col min="19" max="20" width="11.7109375" bestFit="1" customWidth="1"/>
    <col min="22" max="22" width="20.85546875" bestFit="1" customWidth="1"/>
    <col min="23" max="23" width="23" bestFit="1" customWidth="1"/>
    <col min="24" max="24" width="8" bestFit="1" customWidth="1"/>
    <col min="25" max="25" width="34.140625" bestFit="1" customWidth="1"/>
    <col min="26" max="26" width="17" bestFit="1" customWidth="1"/>
    <col min="27" max="27" width="12.85546875" bestFit="1" customWidth="1"/>
    <col min="28" max="28" width="11" bestFit="1" customWidth="1"/>
    <col min="29" max="29" width="16.5703125" bestFit="1" customWidth="1"/>
    <col min="30" max="30" width="14.7109375" bestFit="1" customWidth="1"/>
    <col min="31" max="31" width="17.42578125" bestFit="1" customWidth="1"/>
    <col min="32" max="32" width="17.85546875" bestFit="1" customWidth="1"/>
    <col min="33" max="33" width="12.7109375" bestFit="1" customWidth="1"/>
    <col min="34" max="34" width="14.85546875" bestFit="1" customWidth="1"/>
    <col min="35" max="35" width="13.28515625" bestFit="1" customWidth="1"/>
    <col min="36" max="36" width="14.42578125" bestFit="1" customWidth="1"/>
    <col min="37" max="37" width="5.5703125" bestFit="1" customWidth="1"/>
    <col min="38" max="38" width="12.140625" bestFit="1" customWidth="1"/>
    <col min="39" max="39" width="16.42578125" bestFit="1" customWidth="1"/>
    <col min="40" max="40" width="11.7109375" bestFit="1" customWidth="1"/>
    <col min="42" max="42" width="23.42578125" bestFit="1" customWidth="1"/>
    <col min="43" max="43" width="21.42578125" bestFit="1" customWidth="1"/>
    <col min="44" max="44" width="11.140625" bestFit="1" customWidth="1"/>
    <col min="45" max="45" width="23.140625" bestFit="1" customWidth="1"/>
    <col min="46" max="46" width="13.140625" bestFit="1" customWidth="1"/>
    <col min="47" max="47" width="11.7109375" bestFit="1" customWidth="1"/>
    <col min="48" max="48" width="17.42578125" bestFit="1" customWidth="1"/>
    <col min="49" max="49" width="23" bestFit="1" customWidth="1"/>
    <col min="50" max="50" width="17" bestFit="1" customWidth="1"/>
    <col min="51" max="51" width="11.7109375" bestFit="1" customWidth="1"/>
    <col min="52" max="52" width="2" bestFit="1" customWidth="1"/>
    <col min="53" max="53" width="23" bestFit="1" customWidth="1"/>
    <col min="54" max="54" width="17" bestFit="1" customWidth="1"/>
    <col min="55" max="55" width="11.7109375" bestFit="1" customWidth="1"/>
    <col min="56" max="56" width="10.140625" bestFit="1" customWidth="1"/>
    <col min="57" max="57" width="20.85546875" bestFit="1" customWidth="1"/>
    <col min="58" max="58" width="23" bestFit="1" customWidth="1"/>
    <col min="59" max="60" width="4" bestFit="1" customWidth="1"/>
    <col min="61" max="61" width="11.7109375" bestFit="1" customWidth="1"/>
    <col min="62" max="62" width="5.42578125" bestFit="1" customWidth="1"/>
    <col min="63" max="63" width="3" bestFit="1" customWidth="1"/>
    <col min="64" max="64" width="3.7109375" bestFit="1" customWidth="1"/>
    <col min="65" max="65" width="8.5703125" bestFit="1" customWidth="1"/>
    <col min="66" max="66" width="5.7109375" bestFit="1" customWidth="1"/>
    <col min="67" max="67" width="2.85546875" bestFit="1" customWidth="1"/>
    <col min="68" max="68" width="3.7109375" bestFit="1" customWidth="1"/>
    <col min="69" max="69" width="8.85546875" bestFit="1" customWidth="1"/>
    <col min="70" max="70" width="5.5703125" bestFit="1" customWidth="1"/>
    <col min="71" max="71" width="2.85546875" bestFit="1" customWidth="1"/>
    <col min="72" max="72" width="3.7109375" bestFit="1" customWidth="1"/>
    <col min="73" max="73" width="8.7109375" bestFit="1" customWidth="1"/>
    <col min="74" max="74" width="5.5703125" bestFit="1" customWidth="1"/>
    <col min="75" max="75" width="3" bestFit="1" customWidth="1"/>
    <col min="76" max="76" width="3.7109375" bestFit="1" customWidth="1"/>
    <col min="77" max="77" width="8.7109375" bestFit="1" customWidth="1"/>
    <col min="78" max="78" width="5.5703125" bestFit="1" customWidth="1"/>
    <col min="79" max="79" width="3" bestFit="1" customWidth="1"/>
    <col min="80" max="80" width="3.7109375" bestFit="1" customWidth="1"/>
    <col min="81" max="81" width="8.7109375" bestFit="1" customWidth="1"/>
    <col min="82" max="82" width="6.140625" bestFit="1" customWidth="1"/>
    <col min="83" max="83" width="3" bestFit="1" customWidth="1"/>
    <col min="84" max="84" width="3.7109375" bestFit="1" customWidth="1"/>
    <col min="85" max="85" width="9.28515625" bestFit="1" customWidth="1"/>
    <col min="86" max="86" width="9.140625" bestFit="1" customWidth="1"/>
    <col min="87" max="87" width="3.7109375" bestFit="1" customWidth="1"/>
    <col min="88" max="88" width="12.28515625" bestFit="1" customWidth="1"/>
    <col min="89" max="89" width="11.7109375" bestFit="1" customWidth="1"/>
    <col min="90" max="1051" width="7" bestFit="1" customWidth="1"/>
    <col min="1052" max="1052" width="11.7109375" bestFit="1" customWidth="1"/>
  </cols>
  <sheetData>
    <row r="1" spans="1:58" x14ac:dyDescent="0.2">
      <c r="V1" s="7" t="s">
        <v>12</v>
      </c>
      <c r="W1" t="s">
        <v>85</v>
      </c>
      <c r="BE1" s="7" t="s">
        <v>38</v>
      </c>
      <c r="BF1" t="s">
        <v>1199</v>
      </c>
    </row>
    <row r="2" spans="1:58" x14ac:dyDescent="0.2">
      <c r="V2" s="7" t="s">
        <v>11</v>
      </c>
      <c r="W2" t="s">
        <v>72</v>
      </c>
      <c r="AP2" s="7" t="s">
        <v>10</v>
      </c>
      <c r="AQ2" t="s">
        <v>1199</v>
      </c>
      <c r="AW2" s="7" t="s">
        <v>38</v>
      </c>
      <c r="AX2" t="s">
        <v>1199</v>
      </c>
      <c r="BA2" s="7" t="s">
        <v>38</v>
      </c>
      <c r="BB2" t="s">
        <v>1199</v>
      </c>
      <c r="BE2" s="7" t="s">
        <v>10</v>
      </c>
      <c r="BF2" t="s">
        <v>1199</v>
      </c>
    </row>
    <row r="3" spans="1:58" x14ac:dyDescent="0.2">
      <c r="A3" s="7" t="s">
        <v>1190</v>
      </c>
      <c r="B3" t="s">
        <v>1192</v>
      </c>
      <c r="D3" s="7" t="s">
        <v>1190</v>
      </c>
      <c r="E3" t="s">
        <v>1194</v>
      </c>
      <c r="H3" s="7" t="s">
        <v>1190</v>
      </c>
      <c r="I3" t="s">
        <v>1196</v>
      </c>
      <c r="K3" s="7" t="s">
        <v>1197</v>
      </c>
      <c r="L3" s="7" t="s">
        <v>1198</v>
      </c>
      <c r="AP3" s="7" t="s">
        <v>11</v>
      </c>
      <c r="AQ3" t="s">
        <v>1199</v>
      </c>
      <c r="AW3" s="7" t="s">
        <v>10</v>
      </c>
      <c r="AX3" t="s">
        <v>1199</v>
      </c>
      <c r="BA3" s="7" t="s">
        <v>10</v>
      </c>
      <c r="BB3" t="s">
        <v>1199</v>
      </c>
      <c r="BE3" s="7" t="s">
        <v>11</v>
      </c>
      <c r="BF3" t="s">
        <v>1199</v>
      </c>
    </row>
    <row r="4" spans="1:58" x14ac:dyDescent="0.2">
      <c r="A4" s="8" t="s">
        <v>84</v>
      </c>
      <c r="B4" s="9">
        <v>338</v>
      </c>
      <c r="D4" s="8" t="s">
        <v>71</v>
      </c>
      <c r="E4" s="3">
        <v>38.350093109869647</v>
      </c>
      <c r="H4" s="8" t="s">
        <v>71</v>
      </c>
      <c r="I4" s="4">
        <v>1139.6648044692738</v>
      </c>
      <c r="K4" s="7" t="s">
        <v>1190</v>
      </c>
      <c r="L4" t="s">
        <v>93</v>
      </c>
      <c r="M4" t="s">
        <v>142</v>
      </c>
      <c r="N4" t="s">
        <v>132</v>
      </c>
      <c r="O4" t="s">
        <v>162</v>
      </c>
      <c r="P4" t="s">
        <v>125</v>
      </c>
      <c r="Q4" t="s">
        <v>43</v>
      </c>
      <c r="R4" t="s">
        <v>72</v>
      </c>
      <c r="S4" t="s">
        <v>1191</v>
      </c>
      <c r="V4" s="7" t="s">
        <v>1190</v>
      </c>
      <c r="W4" t="s">
        <v>1197</v>
      </c>
      <c r="Y4" s="7" t="s">
        <v>1201</v>
      </c>
      <c r="Z4" s="7" t="s">
        <v>1198</v>
      </c>
      <c r="AP4" s="7" t="s">
        <v>2</v>
      </c>
      <c r="AQ4" t="s">
        <v>1199</v>
      </c>
      <c r="AW4" s="7" t="s">
        <v>11</v>
      </c>
      <c r="AX4" t="s">
        <v>1199</v>
      </c>
      <c r="BA4" s="7" t="s">
        <v>11</v>
      </c>
      <c r="BB4" t="s">
        <v>1199</v>
      </c>
      <c r="BE4" s="7" t="s">
        <v>28</v>
      </c>
      <c r="BF4" t="s">
        <v>1199</v>
      </c>
    </row>
    <row r="5" spans="1:58" x14ac:dyDescent="0.2">
      <c r="A5" s="8" t="s">
        <v>58</v>
      </c>
      <c r="B5" s="9">
        <v>310</v>
      </c>
      <c r="D5" s="12" t="s">
        <v>93</v>
      </c>
      <c r="E5" s="3">
        <v>39.423529411764704</v>
      </c>
      <c r="H5" s="8" t="s">
        <v>42</v>
      </c>
      <c r="I5" s="4">
        <v>1125.5411255411254</v>
      </c>
      <c r="K5" s="8" t="s">
        <v>186</v>
      </c>
      <c r="L5" s="4">
        <v>14</v>
      </c>
      <c r="M5" s="4">
        <v>10</v>
      </c>
      <c r="N5" s="4">
        <v>11</v>
      </c>
      <c r="O5" s="4">
        <v>8</v>
      </c>
      <c r="P5" s="4">
        <v>9</v>
      </c>
      <c r="Q5" s="4">
        <v>10</v>
      </c>
      <c r="R5" s="4">
        <v>3</v>
      </c>
      <c r="S5" s="4">
        <v>65</v>
      </c>
      <c r="V5" s="8" t="s">
        <v>180</v>
      </c>
      <c r="W5" s="4">
        <v>1</v>
      </c>
      <c r="Y5" s="7" t="s">
        <v>1190</v>
      </c>
      <c r="Z5" t="s">
        <v>186</v>
      </c>
      <c r="AA5" t="s">
        <v>85</v>
      </c>
      <c r="AB5" t="s">
        <v>44</v>
      </c>
      <c r="AC5" t="s">
        <v>126</v>
      </c>
      <c r="AD5" t="s">
        <v>190</v>
      </c>
      <c r="AE5" t="s">
        <v>160</v>
      </c>
      <c r="AF5" t="s">
        <v>59</v>
      </c>
      <c r="AG5" t="s">
        <v>112</v>
      </c>
      <c r="AH5" t="s">
        <v>118</v>
      </c>
      <c r="AI5" t="s">
        <v>102</v>
      </c>
      <c r="AJ5" t="s">
        <v>136</v>
      </c>
      <c r="AK5" t="s">
        <v>73</v>
      </c>
      <c r="AL5" t="s">
        <v>98</v>
      </c>
      <c r="AM5" t="s">
        <v>146</v>
      </c>
      <c r="AN5" t="s">
        <v>1191</v>
      </c>
      <c r="AW5" s="7" t="s">
        <v>28</v>
      </c>
      <c r="AX5" s="8">
        <v>2</v>
      </c>
      <c r="BA5" s="7" t="s">
        <v>28</v>
      </c>
      <c r="BB5" s="8">
        <v>0</v>
      </c>
      <c r="BE5" s="7" t="s">
        <v>2</v>
      </c>
      <c r="BF5" t="s">
        <v>1199</v>
      </c>
    </row>
    <row r="6" spans="1:58" x14ac:dyDescent="0.2">
      <c r="A6" s="8" t="s">
        <v>40</v>
      </c>
      <c r="B6" s="9">
        <v>351</v>
      </c>
      <c r="D6" s="12" t="s">
        <v>142</v>
      </c>
      <c r="E6" s="3">
        <v>37.59375</v>
      </c>
      <c r="H6" s="12" t="s">
        <v>93</v>
      </c>
      <c r="I6" s="4">
        <v>1150</v>
      </c>
      <c r="K6" s="8" t="s">
        <v>85</v>
      </c>
      <c r="L6" s="4">
        <v>11</v>
      </c>
      <c r="M6" s="4">
        <v>7</v>
      </c>
      <c r="N6" s="4">
        <v>11</v>
      </c>
      <c r="O6" s="4">
        <v>10</v>
      </c>
      <c r="P6" s="4">
        <v>9</v>
      </c>
      <c r="Q6" s="4">
        <v>9</v>
      </c>
      <c r="R6" s="4">
        <v>12</v>
      </c>
      <c r="S6" s="4">
        <v>69</v>
      </c>
      <c r="V6" s="8" t="s">
        <v>99</v>
      </c>
      <c r="W6" s="4">
        <v>2</v>
      </c>
      <c r="Y6" s="8" t="s">
        <v>71</v>
      </c>
      <c r="Z6" s="4">
        <v>1178.2834210526314</v>
      </c>
      <c r="AA6" s="4">
        <v>1271.3374285714285</v>
      </c>
      <c r="AB6" s="4">
        <v>1265.7909523809524</v>
      </c>
      <c r="AC6" s="4">
        <v>1213.0708333333332</v>
      </c>
      <c r="AD6" s="4">
        <v>1255.9151612903227</v>
      </c>
      <c r="AE6" s="4">
        <v>1271.4042857142856</v>
      </c>
      <c r="AF6" s="4">
        <v>1225.2281818181816</v>
      </c>
      <c r="AG6" s="4">
        <v>1297.2127027027025</v>
      </c>
      <c r="AH6" s="4">
        <v>1270.839210526316</v>
      </c>
      <c r="AI6" s="4">
        <v>1247.8757446808506</v>
      </c>
      <c r="AJ6" s="4">
        <v>1268.3744117647057</v>
      </c>
      <c r="AK6" s="4">
        <v>1234.6430952380954</v>
      </c>
      <c r="AL6" s="4">
        <v>1283.0024444444441</v>
      </c>
      <c r="AM6" s="4">
        <v>1198.8528947368422</v>
      </c>
      <c r="AN6" s="4">
        <v>1248.1462803738316</v>
      </c>
      <c r="AP6" s="7" t="s">
        <v>1202</v>
      </c>
      <c r="AQ6" s="7" t="s">
        <v>1198</v>
      </c>
      <c r="AW6" s="7" t="s">
        <v>2</v>
      </c>
      <c r="AX6" t="s">
        <v>1199</v>
      </c>
      <c r="BA6" s="7" t="s">
        <v>2</v>
      </c>
      <c r="BB6" t="s">
        <v>1199</v>
      </c>
      <c r="BE6" s="7" t="s">
        <v>29</v>
      </c>
      <c r="BF6" t="s">
        <v>1199</v>
      </c>
    </row>
    <row r="7" spans="1:58" x14ac:dyDescent="0.2">
      <c r="A7" s="8" t="s">
        <v>1191</v>
      </c>
      <c r="B7" s="9">
        <v>999</v>
      </c>
      <c r="D7" s="12" t="s">
        <v>132</v>
      </c>
      <c r="E7" s="3">
        <v>37.378048780487802</v>
      </c>
      <c r="H7" s="13" t="s">
        <v>186</v>
      </c>
      <c r="I7" s="4">
        <v>1200</v>
      </c>
      <c r="K7" s="8" t="s">
        <v>44</v>
      </c>
      <c r="L7" s="4">
        <v>10</v>
      </c>
      <c r="M7" s="4">
        <v>4</v>
      </c>
      <c r="N7" s="4">
        <v>11</v>
      </c>
      <c r="O7" s="4">
        <v>15</v>
      </c>
      <c r="P7" s="4">
        <v>6</v>
      </c>
      <c r="Q7" s="4">
        <v>15</v>
      </c>
      <c r="R7" s="4">
        <v>13</v>
      </c>
      <c r="S7" s="4">
        <v>74</v>
      </c>
      <c r="V7" s="8" t="s">
        <v>127</v>
      </c>
      <c r="W7" s="4">
        <v>1</v>
      </c>
      <c r="Y7" s="12" t="s">
        <v>93</v>
      </c>
      <c r="Z7" s="4">
        <v>1132.4522222222222</v>
      </c>
      <c r="AA7" s="4">
        <v>1233.578</v>
      </c>
      <c r="AB7" s="4">
        <v>1325.6925000000001</v>
      </c>
      <c r="AC7" s="4">
        <v>1002.5233333333334</v>
      </c>
      <c r="AD7" s="4">
        <v>1608.34</v>
      </c>
      <c r="AE7" s="4">
        <v>1282.1366666666665</v>
      </c>
      <c r="AF7" s="4">
        <v>1105.8511111111109</v>
      </c>
      <c r="AG7" s="4">
        <v>1209.6949999999999</v>
      </c>
      <c r="AH7" s="4">
        <v>1358.739</v>
      </c>
      <c r="AI7" s="4">
        <v>1280.4788888888886</v>
      </c>
      <c r="AJ7" s="4">
        <v>1352.37</v>
      </c>
      <c r="AK7" s="4">
        <v>1126.3542857142859</v>
      </c>
      <c r="AL7" s="4">
        <v>1332.3055555555557</v>
      </c>
      <c r="AM7" s="4">
        <v>1375.1175000000001</v>
      </c>
      <c r="AN7" s="4">
        <v>1248.4251764705882</v>
      </c>
      <c r="AP7" s="7" t="s">
        <v>1190</v>
      </c>
      <c r="AQ7" t="s">
        <v>76</v>
      </c>
      <c r="AR7" t="s">
        <v>139</v>
      </c>
      <c r="AS7" t="s">
        <v>47</v>
      </c>
      <c r="AT7" t="s">
        <v>62</v>
      </c>
      <c r="AU7" t="s">
        <v>1191</v>
      </c>
      <c r="AW7" s="7" t="s">
        <v>29</v>
      </c>
      <c r="AX7" t="s">
        <v>1199</v>
      </c>
      <c r="BA7" s="7" t="s">
        <v>29</v>
      </c>
      <c r="BB7" t="s">
        <v>1199</v>
      </c>
      <c r="BE7" s="7" t="s">
        <v>24</v>
      </c>
      <c r="BF7" t="s">
        <v>1199</v>
      </c>
    </row>
    <row r="8" spans="1:58" x14ac:dyDescent="0.2">
      <c r="D8" s="12" t="s">
        <v>162</v>
      </c>
      <c r="E8" s="3">
        <v>37.430232558139537</v>
      </c>
      <c r="H8" s="13" t="s">
        <v>85</v>
      </c>
      <c r="I8" s="4">
        <v>1166.6666666666667</v>
      </c>
      <c r="K8" s="8" t="s">
        <v>126</v>
      </c>
      <c r="L8" s="4">
        <v>5</v>
      </c>
      <c r="M8" s="4">
        <v>8</v>
      </c>
      <c r="N8" s="4">
        <v>18</v>
      </c>
      <c r="O8" s="4">
        <v>13</v>
      </c>
      <c r="P8" s="4">
        <v>11</v>
      </c>
      <c r="Q8" s="4">
        <v>12</v>
      </c>
      <c r="R8" s="4">
        <v>9</v>
      </c>
      <c r="S8" s="4">
        <v>76</v>
      </c>
      <c r="V8" s="8" t="s">
        <v>265</v>
      </c>
      <c r="W8" s="4">
        <v>1</v>
      </c>
      <c r="Y8" s="12" t="s">
        <v>142</v>
      </c>
      <c r="Z8" s="4">
        <v>1132.558</v>
      </c>
      <c r="AA8" s="4">
        <v>1363.645</v>
      </c>
      <c r="AB8" s="4">
        <v>1462.76</v>
      </c>
      <c r="AC8" s="4">
        <v>1238.55</v>
      </c>
      <c r="AD8" s="4">
        <v>1273.9349999999999</v>
      </c>
      <c r="AE8" s="4">
        <v>1153.895</v>
      </c>
      <c r="AF8" s="4">
        <v>1305.8799999999999</v>
      </c>
      <c r="AG8" s="4">
        <v>1266.5516666666665</v>
      </c>
      <c r="AH8" s="4">
        <v>1211.0666666666666</v>
      </c>
      <c r="AI8" s="4">
        <v>1152.3022222222221</v>
      </c>
      <c r="AJ8" s="4">
        <v>1348.3566666666666</v>
      </c>
      <c r="AK8" s="4">
        <v>1166.9583333333333</v>
      </c>
      <c r="AL8" s="4">
        <v>1163.1633333333336</v>
      </c>
      <c r="AM8" s="4">
        <v>1389.338</v>
      </c>
      <c r="AN8" s="4">
        <v>1232.2192187499993</v>
      </c>
      <c r="AP8" s="8" t="s">
        <v>63</v>
      </c>
      <c r="AQ8" s="4"/>
      <c r="AR8" s="4">
        <v>23309.523809523809</v>
      </c>
      <c r="AS8" s="4"/>
      <c r="AT8" s="4">
        <v>22967.021276595744</v>
      </c>
      <c r="AU8" s="4">
        <v>23128.651685393259</v>
      </c>
      <c r="AW8" s="7" t="s">
        <v>19</v>
      </c>
      <c r="AX8" t="s">
        <v>1199</v>
      </c>
      <c r="BA8" s="7" t="s">
        <v>19</v>
      </c>
      <c r="BB8" t="s">
        <v>1199</v>
      </c>
      <c r="BE8" s="7" t="s">
        <v>19</v>
      </c>
      <c r="BF8" t="s">
        <v>1199</v>
      </c>
    </row>
    <row r="9" spans="1:58" x14ac:dyDescent="0.2">
      <c r="D9" s="12" t="s">
        <v>125</v>
      </c>
      <c r="E9" s="3">
        <v>38.435897435897438</v>
      </c>
      <c r="H9" s="13" t="s">
        <v>44</v>
      </c>
      <c r="I9" s="4">
        <v>1250</v>
      </c>
      <c r="K9" s="8" t="s">
        <v>190</v>
      </c>
      <c r="L9" s="4">
        <v>1</v>
      </c>
      <c r="M9" s="4">
        <v>8</v>
      </c>
      <c r="N9" s="4">
        <v>9</v>
      </c>
      <c r="O9" s="4">
        <v>12</v>
      </c>
      <c r="P9" s="4">
        <v>9</v>
      </c>
      <c r="Q9" s="4">
        <v>7</v>
      </c>
      <c r="R9" s="4">
        <v>7</v>
      </c>
      <c r="S9" s="4">
        <v>53</v>
      </c>
      <c r="V9" s="8" t="s">
        <v>150</v>
      </c>
      <c r="W9" s="4">
        <v>1</v>
      </c>
      <c r="Y9" s="12" t="s">
        <v>132</v>
      </c>
      <c r="Z9" s="4">
        <v>1136.9028571428571</v>
      </c>
      <c r="AA9" s="4">
        <v>1421.3475000000001</v>
      </c>
      <c r="AB9" s="4">
        <v>1321.4125000000001</v>
      </c>
      <c r="AC9" s="14">
        <v>1288.6100000000001</v>
      </c>
      <c r="AD9" s="4">
        <v>1054.4250000000002</v>
      </c>
      <c r="AE9" s="4">
        <v>1446.4580000000001</v>
      </c>
      <c r="AF9" s="4">
        <v>1233.7045454545455</v>
      </c>
      <c r="AG9" s="4">
        <v>1242.96</v>
      </c>
      <c r="AH9" s="4">
        <v>1317.3724999999999</v>
      </c>
      <c r="AI9" s="15">
        <v>1208.4649999999999</v>
      </c>
      <c r="AJ9" s="4">
        <v>1241.0739999999998</v>
      </c>
      <c r="AK9" s="4">
        <v>1307.6757142857143</v>
      </c>
      <c r="AL9" s="4">
        <v>1309.7200000000003</v>
      </c>
      <c r="AM9" s="4">
        <v>1145.384</v>
      </c>
      <c r="AN9" s="4">
        <v>1259.3513580246915</v>
      </c>
      <c r="AP9" s="12" t="s">
        <v>64</v>
      </c>
      <c r="AQ9" s="4"/>
      <c r="AR9" s="4">
        <v>28397.619047619046</v>
      </c>
      <c r="AS9" s="4"/>
      <c r="AT9" s="4">
        <v>22954.347826086956</v>
      </c>
      <c r="AU9" s="4">
        <v>25552.272727272728</v>
      </c>
      <c r="AW9" s="7" t="s">
        <v>18</v>
      </c>
      <c r="AX9" t="s">
        <v>1199</v>
      </c>
      <c r="BA9" s="7" t="s">
        <v>18</v>
      </c>
      <c r="BB9" t="s">
        <v>1199</v>
      </c>
      <c r="BE9" s="7" t="s">
        <v>20</v>
      </c>
      <c r="BF9" t="s">
        <v>1199</v>
      </c>
    </row>
    <row r="10" spans="1:58" x14ac:dyDescent="0.2">
      <c r="D10" s="12" t="s">
        <v>43</v>
      </c>
      <c r="E10" s="3">
        <v>40.375</v>
      </c>
      <c r="H10" s="13" t="s">
        <v>126</v>
      </c>
      <c r="I10" s="4">
        <v>500</v>
      </c>
      <c r="K10" s="8" t="s">
        <v>160</v>
      </c>
      <c r="L10" s="4">
        <v>8</v>
      </c>
      <c r="M10" s="4">
        <v>8</v>
      </c>
      <c r="N10" s="4">
        <v>11</v>
      </c>
      <c r="O10" s="4">
        <v>8</v>
      </c>
      <c r="P10" s="4">
        <v>8</v>
      </c>
      <c r="Q10" s="4">
        <v>2</v>
      </c>
      <c r="R10" s="4">
        <v>9</v>
      </c>
      <c r="S10" s="4">
        <v>54</v>
      </c>
      <c r="V10" s="8" t="s">
        <v>171</v>
      </c>
      <c r="W10" s="4">
        <v>1</v>
      </c>
      <c r="Y10" s="12" t="s">
        <v>162</v>
      </c>
      <c r="Z10" s="4">
        <v>1268.7649999999999</v>
      </c>
      <c r="AA10" s="4">
        <v>1113.9566666666667</v>
      </c>
      <c r="AB10" s="4">
        <v>1248.82</v>
      </c>
      <c r="AC10" s="4">
        <v>1111.2414285714285</v>
      </c>
      <c r="AD10" s="4">
        <v>1182.2899999999997</v>
      </c>
      <c r="AE10" s="4">
        <v>920.98333333333323</v>
      </c>
      <c r="AF10" s="4">
        <v>1424.73</v>
      </c>
      <c r="AG10" s="4">
        <v>1287.1149999999998</v>
      </c>
      <c r="AH10" s="4">
        <v>1194.01125</v>
      </c>
      <c r="AI10" s="4">
        <v>1254.5687499999999</v>
      </c>
      <c r="AJ10" s="4">
        <v>1269.9044444444444</v>
      </c>
      <c r="AK10" s="4">
        <v>1324.9412499999999</v>
      </c>
      <c r="AL10" s="4">
        <v>1312.8942857142854</v>
      </c>
      <c r="AM10" s="4">
        <v>1073.3485714285714</v>
      </c>
      <c r="AN10" s="4">
        <v>1214.9712941176474</v>
      </c>
      <c r="AP10" s="12" t="s">
        <v>213</v>
      </c>
      <c r="AQ10" s="4"/>
      <c r="AR10" s="4">
        <v>18221.428571428572</v>
      </c>
      <c r="AS10" s="4"/>
      <c r="AT10" s="4">
        <v>22979.166666666668</v>
      </c>
      <c r="AU10" s="4">
        <v>20758.888888888891</v>
      </c>
      <c r="AW10" s="7" t="s">
        <v>27</v>
      </c>
      <c r="AX10" t="s">
        <v>1199</v>
      </c>
      <c r="BA10" s="7" t="s">
        <v>27</v>
      </c>
      <c r="BB10" t="s">
        <v>1199</v>
      </c>
      <c r="BE10" s="7" t="s">
        <v>18</v>
      </c>
      <c r="BF10" t="s">
        <v>1199</v>
      </c>
    </row>
    <row r="11" spans="1:58" x14ac:dyDescent="0.2">
      <c r="D11" s="12" t="s">
        <v>72</v>
      </c>
      <c r="E11" s="3">
        <v>37.828571428571429</v>
      </c>
      <c r="H11" s="13" t="s">
        <v>160</v>
      </c>
      <c r="I11" s="4">
        <v>1800</v>
      </c>
      <c r="K11" s="8" t="s">
        <v>59</v>
      </c>
      <c r="L11" s="4">
        <v>17</v>
      </c>
      <c r="M11" s="4">
        <v>8</v>
      </c>
      <c r="N11" s="4">
        <v>17</v>
      </c>
      <c r="O11" s="4">
        <v>7</v>
      </c>
      <c r="P11" s="4">
        <v>17</v>
      </c>
      <c r="Q11" s="4">
        <v>11</v>
      </c>
      <c r="R11" s="4">
        <v>16</v>
      </c>
      <c r="S11" s="4">
        <v>93</v>
      </c>
      <c r="V11" s="8" t="s">
        <v>147</v>
      </c>
      <c r="W11" s="4">
        <v>1</v>
      </c>
      <c r="Y11" s="12" t="s">
        <v>125</v>
      </c>
      <c r="Z11" s="4">
        <v>1180.6339999999998</v>
      </c>
      <c r="AA11" s="4">
        <v>1292.4299999999998</v>
      </c>
      <c r="AB11" s="4">
        <v>1312.17</v>
      </c>
      <c r="AC11" s="4">
        <v>1262.4214285714286</v>
      </c>
      <c r="AD11" s="4">
        <v>1335.2683333333334</v>
      </c>
      <c r="AE11" s="4">
        <v>1304.796</v>
      </c>
      <c r="AF11" s="4">
        <v>1258.8533333333335</v>
      </c>
      <c r="AG11" s="4">
        <v>1251.47</v>
      </c>
      <c r="AH11" s="4">
        <v>1242.8899999999999</v>
      </c>
      <c r="AI11" s="4">
        <v>1356.3049999999998</v>
      </c>
      <c r="AJ11" s="4">
        <v>1265.71</v>
      </c>
      <c r="AK11" s="4">
        <v>1128.1199999999999</v>
      </c>
      <c r="AL11" s="4">
        <v>1176.7649999999999</v>
      </c>
      <c r="AM11" s="4">
        <v>1211.0514285714287</v>
      </c>
      <c r="AN11" s="4">
        <v>1250.6979487179485</v>
      </c>
      <c r="AP11" s="8" t="s">
        <v>87</v>
      </c>
      <c r="AQ11" s="4">
        <v>27054.782608695652</v>
      </c>
      <c r="AR11" s="4"/>
      <c r="AS11" s="4">
        <v>26884.172661870503</v>
      </c>
      <c r="AT11" s="4"/>
      <c r="AU11" s="4">
        <v>26961.417322834644</v>
      </c>
      <c r="AW11" s="7" t="s">
        <v>30</v>
      </c>
      <c r="AX11" t="s">
        <v>80</v>
      </c>
      <c r="BA11" s="7" t="s">
        <v>30</v>
      </c>
      <c r="BB11" t="s">
        <v>54</v>
      </c>
      <c r="BE11" s="7" t="s">
        <v>27</v>
      </c>
      <c r="BF11" t="s">
        <v>1199</v>
      </c>
    </row>
    <row r="12" spans="1:58" x14ac:dyDescent="0.2">
      <c r="D12" s="8" t="s">
        <v>1191</v>
      </c>
      <c r="E12" s="3">
        <v>38.350093109869647</v>
      </c>
      <c r="H12" s="13" t="s">
        <v>59</v>
      </c>
      <c r="I12" s="4">
        <v>1250</v>
      </c>
      <c r="K12" s="8" t="s">
        <v>112</v>
      </c>
      <c r="L12" s="4">
        <v>7</v>
      </c>
      <c r="M12" s="4">
        <v>12</v>
      </c>
      <c r="N12" s="4">
        <v>6</v>
      </c>
      <c r="O12" s="4">
        <v>12</v>
      </c>
      <c r="P12" s="4">
        <v>10</v>
      </c>
      <c r="Q12" s="4">
        <v>12</v>
      </c>
      <c r="R12" s="4">
        <v>12</v>
      </c>
      <c r="S12" s="4">
        <v>71</v>
      </c>
      <c r="V12" s="8" t="s">
        <v>133</v>
      </c>
      <c r="W12" s="4">
        <v>1</v>
      </c>
      <c r="Y12" s="12" t="s">
        <v>43</v>
      </c>
      <c r="Z12" s="4">
        <v>1282.1399999999999</v>
      </c>
      <c r="AA12" s="4">
        <v>1297.3839999999998</v>
      </c>
      <c r="AB12" s="4">
        <v>1216.2549999999999</v>
      </c>
      <c r="AC12" s="4">
        <v>1282.99</v>
      </c>
      <c r="AD12" s="4">
        <v>1510.4833333333333</v>
      </c>
      <c r="AE12" s="4">
        <v>1367.68</v>
      </c>
      <c r="AF12" s="4">
        <v>1264.845</v>
      </c>
      <c r="AG12" s="4">
        <v>1446.2385714285715</v>
      </c>
      <c r="AH12" s="4">
        <v>1372.5574999999999</v>
      </c>
      <c r="AI12" s="4">
        <v>1288.2925</v>
      </c>
      <c r="AJ12" s="4">
        <v>1240.0240000000001</v>
      </c>
      <c r="AK12" s="4">
        <v>1584.676666666667</v>
      </c>
      <c r="AL12" s="4">
        <v>1335.6039999999998</v>
      </c>
      <c r="AM12" s="4">
        <v>1251.3000000000002</v>
      </c>
      <c r="AN12" s="4">
        <v>1317.2015277777778</v>
      </c>
      <c r="AP12" s="12" t="s">
        <v>49</v>
      </c>
      <c r="AQ12" s="4">
        <v>27235</v>
      </c>
      <c r="AR12" s="4"/>
      <c r="AS12" s="4">
        <v>25175</v>
      </c>
      <c r="AT12" s="4"/>
      <c r="AU12" s="4">
        <v>26155.952380952382</v>
      </c>
      <c r="BE12" s="7" t="s">
        <v>30</v>
      </c>
      <c r="BF12" t="s">
        <v>1199</v>
      </c>
    </row>
    <row r="13" spans="1:58" x14ac:dyDescent="0.2">
      <c r="H13" s="13" t="s">
        <v>112</v>
      </c>
      <c r="I13" s="4">
        <v>833.33333333333337</v>
      </c>
      <c r="K13" s="8" t="s">
        <v>118</v>
      </c>
      <c r="L13" s="4">
        <v>15</v>
      </c>
      <c r="M13" s="4">
        <v>6</v>
      </c>
      <c r="N13" s="4">
        <v>9</v>
      </c>
      <c r="O13" s="4">
        <v>11</v>
      </c>
      <c r="P13" s="4">
        <v>10</v>
      </c>
      <c r="Q13" s="4">
        <v>13</v>
      </c>
      <c r="R13" s="4">
        <v>7</v>
      </c>
      <c r="S13" s="4">
        <v>71</v>
      </c>
      <c r="V13" s="8" t="s">
        <v>45</v>
      </c>
      <c r="W13" s="4">
        <v>2</v>
      </c>
      <c r="Y13" s="12" t="s">
        <v>72</v>
      </c>
      <c r="Z13" s="4">
        <v>1008.38</v>
      </c>
      <c r="AA13" s="4">
        <v>1285.42875</v>
      </c>
      <c r="AB13" s="4">
        <v>1136.5639999999999</v>
      </c>
      <c r="AC13" s="4">
        <v>1237.8666666666668</v>
      </c>
      <c r="AD13" s="4">
        <v>1241.3716666666667</v>
      </c>
      <c r="AE13" s="4">
        <v>1321.49</v>
      </c>
      <c r="AF13" s="4">
        <v>1199.3242857142857</v>
      </c>
      <c r="AG13" s="4">
        <v>1290.2757142857142</v>
      </c>
      <c r="AH13" s="4">
        <v>1136.26</v>
      </c>
      <c r="AI13" s="4">
        <v>1230.6320000000001</v>
      </c>
      <c r="AJ13" s="4">
        <v>1120.645</v>
      </c>
      <c r="AK13" s="4">
        <v>1141.1625000000001</v>
      </c>
      <c r="AL13" s="4">
        <v>1280.5119999999999</v>
      </c>
      <c r="AM13" s="4">
        <v>1064.3883333333333</v>
      </c>
      <c r="AN13" s="4">
        <v>1215.8159999999998</v>
      </c>
      <c r="AP13" s="12" t="s">
        <v>64</v>
      </c>
      <c r="AQ13" s="4">
        <v>26086.486486486487</v>
      </c>
      <c r="AR13" s="4"/>
      <c r="AS13" s="4">
        <v>29575</v>
      </c>
      <c r="AT13" s="4"/>
      <c r="AU13" s="4">
        <v>27981.481481481482</v>
      </c>
      <c r="AW13" s="7" t="s">
        <v>1197</v>
      </c>
      <c r="AX13" s="7" t="s">
        <v>1198</v>
      </c>
      <c r="BA13" s="7" t="s">
        <v>1197</v>
      </c>
      <c r="BB13" s="7" t="s">
        <v>1198</v>
      </c>
    </row>
    <row r="14" spans="1:58" x14ac:dyDescent="0.2">
      <c r="H14" s="13" t="s">
        <v>118</v>
      </c>
      <c r="I14" s="4">
        <v>1400</v>
      </c>
      <c r="K14" s="8" t="s">
        <v>102</v>
      </c>
      <c r="L14" s="4">
        <v>13</v>
      </c>
      <c r="M14" s="4">
        <v>19</v>
      </c>
      <c r="N14" s="4">
        <v>10</v>
      </c>
      <c r="O14" s="4">
        <v>12</v>
      </c>
      <c r="P14" s="4">
        <v>9</v>
      </c>
      <c r="Q14" s="4">
        <v>13</v>
      </c>
      <c r="R14" s="4">
        <v>9</v>
      </c>
      <c r="S14" s="4">
        <v>85</v>
      </c>
      <c r="V14" s="8" t="s">
        <v>1200</v>
      </c>
      <c r="W14" s="4">
        <v>1</v>
      </c>
      <c r="Y14" s="8" t="s">
        <v>42</v>
      </c>
      <c r="Z14" s="4">
        <v>1305.2814814814817</v>
      </c>
      <c r="AA14" s="4">
        <v>1198.6894117647059</v>
      </c>
      <c r="AB14" s="4">
        <v>1266.4121874999998</v>
      </c>
      <c r="AC14" s="4">
        <v>1219.9576923076925</v>
      </c>
      <c r="AD14" s="4">
        <v>1310.87</v>
      </c>
      <c r="AE14" s="4">
        <v>1324.4264000000001</v>
      </c>
      <c r="AF14" s="4">
        <v>1219.8202040816332</v>
      </c>
      <c r="AG14" s="4">
        <v>1317.3102941176469</v>
      </c>
      <c r="AH14" s="4">
        <v>1239.5466666666669</v>
      </c>
      <c r="AI14" s="4">
        <v>1282.3629729729732</v>
      </c>
      <c r="AJ14" s="4">
        <v>1279.0696551724138</v>
      </c>
      <c r="AK14" s="4">
        <v>1233.4566666666665</v>
      </c>
      <c r="AL14" s="4">
        <v>1228.9909090909091</v>
      </c>
      <c r="AM14" s="4">
        <v>1379.045588235294</v>
      </c>
      <c r="AN14" s="4">
        <v>1267.2558134490237</v>
      </c>
      <c r="AP14" s="12" t="s">
        <v>108</v>
      </c>
      <c r="AQ14" s="4">
        <v>27807.894736842107</v>
      </c>
      <c r="AR14" s="4"/>
      <c r="AS14" s="4">
        <v>26037.254901960783</v>
      </c>
      <c r="AT14" s="4"/>
      <c r="AU14" s="4">
        <v>26793.258426966291</v>
      </c>
      <c r="AW14" s="7" t="s">
        <v>1190</v>
      </c>
      <c r="AX14" t="s">
        <v>49</v>
      </c>
      <c r="AY14" t="s">
        <v>1191</v>
      </c>
      <c r="BA14" s="7" t="s">
        <v>1190</v>
      </c>
      <c r="BB14" t="s">
        <v>108</v>
      </c>
      <c r="BC14" t="s">
        <v>1191</v>
      </c>
      <c r="BE14" s="7" t="s">
        <v>1190</v>
      </c>
      <c r="BF14" t="s">
        <v>1197</v>
      </c>
    </row>
    <row r="15" spans="1:58" x14ac:dyDescent="0.2">
      <c r="H15" s="13" t="s">
        <v>102</v>
      </c>
      <c r="I15" s="4">
        <v>875</v>
      </c>
      <c r="K15" s="8" t="s">
        <v>136</v>
      </c>
      <c r="L15" s="4">
        <v>8</v>
      </c>
      <c r="M15" s="4">
        <v>7</v>
      </c>
      <c r="N15" s="4">
        <v>10</v>
      </c>
      <c r="O15" s="4">
        <v>11</v>
      </c>
      <c r="P15" s="4">
        <v>12</v>
      </c>
      <c r="Q15" s="4">
        <v>11</v>
      </c>
      <c r="R15" s="4">
        <v>4</v>
      </c>
      <c r="S15" s="4">
        <v>63</v>
      </c>
      <c r="V15" s="8" t="s">
        <v>1191</v>
      </c>
      <c r="W15" s="4">
        <v>12</v>
      </c>
      <c r="Y15" s="12" t="s">
        <v>93</v>
      </c>
      <c r="Z15" s="4">
        <v>1244.374</v>
      </c>
      <c r="AA15" s="4">
        <v>963.23166666666657</v>
      </c>
      <c r="AB15" s="4">
        <v>1172.7649999999999</v>
      </c>
      <c r="AC15" s="4">
        <v>1522.675</v>
      </c>
      <c r="AD15" s="4"/>
      <c r="AE15" s="4">
        <v>1448.6559999999999</v>
      </c>
      <c r="AF15" s="4">
        <v>1250.0325</v>
      </c>
      <c r="AG15" s="4">
        <v>1401.0233333333333</v>
      </c>
      <c r="AH15" s="4">
        <v>1344.81</v>
      </c>
      <c r="AI15" s="4">
        <v>1042.6499999999999</v>
      </c>
      <c r="AJ15" s="4">
        <v>1238.855</v>
      </c>
      <c r="AK15" s="4">
        <v>1286.6537499999999</v>
      </c>
      <c r="AL15" s="4">
        <v>1307.3600000000001</v>
      </c>
      <c r="AM15" s="4">
        <v>1737.66</v>
      </c>
      <c r="AN15" s="4">
        <v>1264.5204999999994</v>
      </c>
      <c r="AP15" s="8" t="s">
        <v>77</v>
      </c>
      <c r="AQ15" s="4">
        <v>25411.920529801326</v>
      </c>
      <c r="AR15" s="4"/>
      <c r="AS15" s="4">
        <v>21927.338129496402</v>
      </c>
      <c r="AT15" s="4"/>
      <c r="AU15" s="4">
        <v>23741.724137931036</v>
      </c>
      <c r="AW15" s="8" t="s">
        <v>137</v>
      </c>
      <c r="AX15" s="9">
        <v>7</v>
      </c>
      <c r="AY15" s="9">
        <v>7</v>
      </c>
      <c r="BA15" s="8" t="s">
        <v>137</v>
      </c>
      <c r="BB15" s="9">
        <v>6</v>
      </c>
      <c r="BC15" s="9">
        <v>6</v>
      </c>
      <c r="BE15" s="8" t="s">
        <v>88</v>
      </c>
      <c r="BF15" s="9">
        <v>151</v>
      </c>
    </row>
    <row r="16" spans="1:58" x14ac:dyDescent="0.2">
      <c r="H16" s="13" t="s">
        <v>136</v>
      </c>
      <c r="I16" s="4">
        <v>625</v>
      </c>
      <c r="K16" s="8" t="s">
        <v>73</v>
      </c>
      <c r="L16" s="4">
        <v>15</v>
      </c>
      <c r="M16" s="4">
        <v>9</v>
      </c>
      <c r="N16" s="4">
        <v>13</v>
      </c>
      <c r="O16" s="4">
        <v>12</v>
      </c>
      <c r="P16" s="4">
        <v>11</v>
      </c>
      <c r="Q16" s="4">
        <v>10</v>
      </c>
      <c r="R16" s="4">
        <v>5</v>
      </c>
      <c r="S16" s="4">
        <v>75</v>
      </c>
      <c r="Y16" s="12" t="s">
        <v>142</v>
      </c>
      <c r="Z16" s="4">
        <v>1375.8780000000002</v>
      </c>
      <c r="AA16" s="4">
        <v>1309.0899999999999</v>
      </c>
      <c r="AB16" s="4">
        <v>1060.7566666666667</v>
      </c>
      <c r="AC16" s="4">
        <v>1089.5466666666666</v>
      </c>
      <c r="AD16" s="4">
        <v>1477.2150000000001</v>
      </c>
      <c r="AE16" s="4">
        <v>1203.0999999999999</v>
      </c>
      <c r="AF16" s="4">
        <v>1319.3266666666668</v>
      </c>
      <c r="AG16" s="4">
        <v>1260.5116666666668</v>
      </c>
      <c r="AH16" s="4">
        <v>1377.1966666666667</v>
      </c>
      <c r="AI16" s="4">
        <v>1253.6330000000003</v>
      </c>
      <c r="AJ16" s="4">
        <v>1049.5075000000002</v>
      </c>
      <c r="AK16" s="4">
        <v>1331.3766666666668</v>
      </c>
      <c r="AL16" s="4">
        <v>1377.04</v>
      </c>
      <c r="AM16" s="4">
        <v>1402.0840000000001</v>
      </c>
      <c r="AN16" s="4">
        <v>1277.3830508474578</v>
      </c>
      <c r="AP16" s="12" t="s">
        <v>49</v>
      </c>
      <c r="AQ16" s="4">
        <v>25192.156862745098</v>
      </c>
      <c r="AR16" s="4"/>
      <c r="AS16" s="4">
        <v>22945.454545454544</v>
      </c>
      <c r="AT16" s="4"/>
      <c r="AU16" s="4">
        <v>24151.57894736842</v>
      </c>
      <c r="AW16" s="8" t="s">
        <v>100</v>
      </c>
      <c r="AX16" s="22">
        <v>12</v>
      </c>
      <c r="AY16" s="9">
        <v>12</v>
      </c>
      <c r="BA16" s="8" t="s">
        <v>100</v>
      </c>
      <c r="BB16" s="9">
        <v>7</v>
      </c>
      <c r="BC16" s="9">
        <v>7</v>
      </c>
      <c r="BE16" s="12" t="s">
        <v>122</v>
      </c>
      <c r="BF16" s="9">
        <v>25</v>
      </c>
    </row>
    <row r="17" spans="8:58" x14ac:dyDescent="0.2">
      <c r="H17" s="13" t="s">
        <v>73</v>
      </c>
      <c r="I17" s="4">
        <v>1062.5</v>
      </c>
      <c r="K17" s="8" t="s">
        <v>98</v>
      </c>
      <c r="L17" s="4">
        <v>16</v>
      </c>
      <c r="M17" s="4">
        <v>7</v>
      </c>
      <c r="N17" s="4">
        <v>12</v>
      </c>
      <c r="O17" s="4">
        <v>14</v>
      </c>
      <c r="P17" s="4">
        <v>7</v>
      </c>
      <c r="Q17" s="4">
        <v>14</v>
      </c>
      <c r="R17" s="4">
        <v>8</v>
      </c>
      <c r="S17" s="4">
        <v>78</v>
      </c>
      <c r="Y17" s="12" t="s">
        <v>132</v>
      </c>
      <c r="Z17" s="4">
        <v>1234.6925000000001</v>
      </c>
      <c r="AA17" s="4">
        <v>1237.6100000000001</v>
      </c>
      <c r="AB17" s="4">
        <v>1420.4099999999999</v>
      </c>
      <c r="AC17" s="4">
        <v>1247.9158333333335</v>
      </c>
      <c r="AD17" s="4">
        <v>1392.8033333333333</v>
      </c>
      <c r="AE17" s="4">
        <v>1332.9899999999998</v>
      </c>
      <c r="AF17" s="4">
        <v>1193.9316666666666</v>
      </c>
      <c r="AG17" s="4">
        <v>1557.134</v>
      </c>
      <c r="AH17" s="4">
        <v>1241.3</v>
      </c>
      <c r="AI17" s="14">
        <v>1401.3300000000002</v>
      </c>
      <c r="AJ17" s="4">
        <v>1435.56</v>
      </c>
      <c r="AK17" s="4">
        <v>1317.37</v>
      </c>
      <c r="AL17" s="4">
        <v>1241.6633333333332</v>
      </c>
      <c r="AM17" s="4">
        <v>1351.2957142857142</v>
      </c>
      <c r="AN17" s="4">
        <v>1317.4428571428573</v>
      </c>
      <c r="AP17" s="12" t="s">
        <v>64</v>
      </c>
      <c r="AQ17" s="4">
        <v>27348.979591836734</v>
      </c>
      <c r="AR17" s="4"/>
      <c r="AS17" s="14">
        <v>19952</v>
      </c>
      <c r="AT17" s="4"/>
      <c r="AU17" s="4">
        <v>23613.131313131315</v>
      </c>
      <c r="AW17" s="8" t="s">
        <v>121</v>
      </c>
      <c r="AX17" s="9">
        <v>9</v>
      </c>
      <c r="AY17" s="9">
        <v>9</v>
      </c>
      <c r="BA17" s="8" t="s">
        <v>121</v>
      </c>
      <c r="BB17" s="9">
        <v>9</v>
      </c>
      <c r="BC17" s="9">
        <v>9</v>
      </c>
      <c r="BE17" s="12" t="s">
        <v>78</v>
      </c>
      <c r="BF17" s="9">
        <v>39</v>
      </c>
    </row>
    <row r="18" spans="8:58" x14ac:dyDescent="0.2">
      <c r="H18" s="13" t="s">
        <v>98</v>
      </c>
      <c r="I18" s="4">
        <v>1285.7142857142858</v>
      </c>
      <c r="K18" s="8" t="s">
        <v>146</v>
      </c>
      <c r="L18" s="4">
        <v>5</v>
      </c>
      <c r="M18" s="4">
        <v>10</v>
      </c>
      <c r="N18" s="4">
        <v>12</v>
      </c>
      <c r="O18" s="4">
        <v>16</v>
      </c>
      <c r="P18" s="4">
        <v>14</v>
      </c>
      <c r="Q18" s="4">
        <v>5</v>
      </c>
      <c r="R18" s="4">
        <v>10</v>
      </c>
      <c r="S18" s="4">
        <v>72</v>
      </c>
      <c r="Y18" s="12" t="s">
        <v>162</v>
      </c>
      <c r="Z18" s="4">
        <v>1476.5724999999998</v>
      </c>
      <c r="AA18" s="4">
        <v>1128.2849999999999</v>
      </c>
      <c r="AB18" s="4">
        <v>1226.1837500000001</v>
      </c>
      <c r="AC18" s="4">
        <v>1134.3666666666666</v>
      </c>
      <c r="AD18" s="4">
        <v>1153.5685714285714</v>
      </c>
      <c r="AE18" s="4">
        <v>1175.9375</v>
      </c>
      <c r="AF18" s="4">
        <v>1525.5540000000001</v>
      </c>
      <c r="AG18" s="4">
        <v>1261.84375</v>
      </c>
      <c r="AH18" s="4">
        <v>1201.0833333333333</v>
      </c>
      <c r="AI18" s="4">
        <v>1366.2775000000001</v>
      </c>
      <c r="AJ18" s="4">
        <v>1740.885</v>
      </c>
      <c r="AK18" s="4">
        <v>1110.32</v>
      </c>
      <c r="AL18" s="4">
        <v>1294.51</v>
      </c>
      <c r="AM18" s="4">
        <v>1443.7966666666666</v>
      </c>
      <c r="AN18" s="4">
        <v>1287.7799999999997</v>
      </c>
      <c r="AP18" s="12" t="s">
        <v>108</v>
      </c>
      <c r="AQ18" s="4">
        <v>23770.588235294119</v>
      </c>
      <c r="AR18" s="4"/>
      <c r="AS18" s="4">
        <v>23126.666666666668</v>
      </c>
      <c r="AT18" s="4"/>
      <c r="AU18" s="4">
        <v>23468.75</v>
      </c>
      <c r="AW18" s="8" t="s">
        <v>50</v>
      </c>
      <c r="AX18" s="9">
        <v>4</v>
      </c>
      <c r="AY18" s="9">
        <v>4</v>
      </c>
      <c r="BA18" s="8" t="s">
        <v>50</v>
      </c>
      <c r="BB18" s="22">
        <v>10</v>
      </c>
      <c r="BC18" s="9">
        <v>10</v>
      </c>
      <c r="BE18" s="12" t="s">
        <v>40</v>
      </c>
      <c r="BF18" s="9">
        <v>4</v>
      </c>
    </row>
    <row r="19" spans="8:58" x14ac:dyDescent="0.2">
      <c r="H19" s="13" t="s">
        <v>146</v>
      </c>
      <c r="I19" s="4">
        <v>500</v>
      </c>
      <c r="K19" s="8" t="s">
        <v>1191</v>
      </c>
      <c r="L19" s="4">
        <v>145</v>
      </c>
      <c r="M19" s="4">
        <v>123</v>
      </c>
      <c r="N19" s="4">
        <v>160</v>
      </c>
      <c r="O19" s="4">
        <v>161</v>
      </c>
      <c r="P19" s="4">
        <v>142</v>
      </c>
      <c r="Q19" s="4">
        <v>144</v>
      </c>
      <c r="R19" s="4">
        <v>124</v>
      </c>
      <c r="S19" s="4">
        <v>999</v>
      </c>
      <c r="Y19" s="12" t="s">
        <v>125</v>
      </c>
      <c r="Z19" s="4">
        <v>1101.7874999999999</v>
      </c>
      <c r="AA19" s="4">
        <v>1188.8600000000001</v>
      </c>
      <c r="AB19" s="4">
        <v>1225.2566666666664</v>
      </c>
      <c r="AC19" s="4">
        <v>1157.5725</v>
      </c>
      <c r="AD19" s="4">
        <v>1278.1766666666665</v>
      </c>
      <c r="AE19" s="4">
        <v>1390.4433333333334</v>
      </c>
      <c r="AF19" s="4">
        <v>1139.3845454545453</v>
      </c>
      <c r="AG19" s="4">
        <v>1111.72</v>
      </c>
      <c r="AH19" s="4">
        <v>1090.742</v>
      </c>
      <c r="AI19" s="4">
        <v>1263.8340000000001</v>
      </c>
      <c r="AJ19" s="4">
        <v>1298.1916666666668</v>
      </c>
      <c r="AK19" s="4">
        <v>1173.385</v>
      </c>
      <c r="AL19" s="4">
        <v>1186.6633333333332</v>
      </c>
      <c r="AM19" s="4">
        <v>1258.1214285714286</v>
      </c>
      <c r="AN19" s="4">
        <v>1200.8373437500002</v>
      </c>
      <c r="AP19" s="8" t="s">
        <v>48</v>
      </c>
      <c r="AQ19" s="4">
        <v>27925</v>
      </c>
      <c r="AR19" s="4"/>
      <c r="AS19" s="4">
        <v>24445.967741935485</v>
      </c>
      <c r="AT19" s="4"/>
      <c r="AU19" s="4">
        <v>26361.956521739132</v>
      </c>
      <c r="AW19" s="8" t="s">
        <v>1195</v>
      </c>
      <c r="AX19" s="9">
        <v>1</v>
      </c>
      <c r="AY19" s="9">
        <v>1</v>
      </c>
      <c r="BA19" s="8" t="s">
        <v>1195</v>
      </c>
      <c r="BB19" s="9">
        <v>1</v>
      </c>
      <c r="BC19" s="9">
        <v>1</v>
      </c>
      <c r="BE19" s="12" t="s">
        <v>176</v>
      </c>
      <c r="BF19" s="9">
        <v>1</v>
      </c>
    </row>
    <row r="20" spans="8:58" x14ac:dyDescent="0.2">
      <c r="H20" s="12" t="s">
        <v>142</v>
      </c>
      <c r="I20" s="4">
        <v>1152.542372881356</v>
      </c>
      <c r="Y20" s="12" t="s">
        <v>43</v>
      </c>
      <c r="Z20" s="4">
        <v>1401.3133333333335</v>
      </c>
      <c r="AA20" s="4">
        <v>1267.125</v>
      </c>
      <c r="AB20" s="4">
        <v>1190.954</v>
      </c>
      <c r="AC20" s="4">
        <v>1098.4816666666668</v>
      </c>
      <c r="AD20" s="4">
        <v>1379.895</v>
      </c>
      <c r="AE20" s="4">
        <v>1219.04</v>
      </c>
      <c r="AF20" s="4">
        <v>1102.5285714285715</v>
      </c>
      <c r="AG20" s="4">
        <v>1389.73</v>
      </c>
      <c r="AH20" s="4">
        <v>1248.76</v>
      </c>
      <c r="AI20" s="4">
        <v>1425.64</v>
      </c>
      <c r="AJ20" s="4">
        <v>1099.6100000000001</v>
      </c>
      <c r="AK20" s="4">
        <v>1105.1342857142856</v>
      </c>
      <c r="AL20" s="4">
        <v>1122.9166666666667</v>
      </c>
      <c r="AM20" s="4">
        <v>1245.6099999999999</v>
      </c>
      <c r="AN20" s="4">
        <v>1212.1606944444445</v>
      </c>
      <c r="AP20" s="12" t="s">
        <v>49</v>
      </c>
      <c r="AQ20" s="4">
        <v>26528.846153846152</v>
      </c>
      <c r="AR20" s="4"/>
      <c r="AS20" s="4">
        <v>18945.454545454544</v>
      </c>
      <c r="AT20" s="4"/>
      <c r="AU20" s="4">
        <v>23053.125</v>
      </c>
      <c r="AW20" s="8" t="s">
        <v>1191</v>
      </c>
      <c r="AX20" s="9">
        <v>33</v>
      </c>
      <c r="AY20" s="9">
        <v>33</v>
      </c>
      <c r="BA20" s="8" t="s">
        <v>1191</v>
      </c>
      <c r="BB20" s="9">
        <v>33</v>
      </c>
      <c r="BC20" s="9">
        <v>33</v>
      </c>
      <c r="BE20" s="12" t="s">
        <v>51</v>
      </c>
      <c r="BF20" s="9">
        <v>38</v>
      </c>
    </row>
    <row r="21" spans="8:58" x14ac:dyDescent="0.2">
      <c r="H21" s="13" t="s">
        <v>186</v>
      </c>
      <c r="I21" s="4">
        <v>1100</v>
      </c>
      <c r="Y21" s="12" t="s">
        <v>72</v>
      </c>
      <c r="Z21" s="4">
        <v>1342.595</v>
      </c>
      <c r="AA21" s="4">
        <v>1357.5625</v>
      </c>
      <c r="AB21" s="4">
        <v>1412.0187499999997</v>
      </c>
      <c r="AC21" s="4">
        <v>1376.9983333333332</v>
      </c>
      <c r="AD21" s="4">
        <v>1322.78</v>
      </c>
      <c r="AE21" s="4">
        <v>1481.46</v>
      </c>
      <c r="AF21" s="4">
        <v>1196.7400000000002</v>
      </c>
      <c r="AG21" s="4">
        <v>1193.98</v>
      </c>
      <c r="AH21" s="4">
        <v>1182.3666666666666</v>
      </c>
      <c r="AI21" s="4">
        <v>1205.3425</v>
      </c>
      <c r="AJ21" s="4">
        <v>1446.595</v>
      </c>
      <c r="AK21" s="4">
        <v>1641.73</v>
      </c>
      <c r="AL21" s="4">
        <v>1191.78</v>
      </c>
      <c r="AM21" s="4">
        <v>1408.4424999999999</v>
      </c>
      <c r="AN21" s="4">
        <v>1311.3396296296301</v>
      </c>
      <c r="AP21" s="12" t="s">
        <v>64</v>
      </c>
      <c r="AQ21" s="4">
        <v>30368.18181818182</v>
      </c>
      <c r="AR21" s="4"/>
      <c r="AS21" s="4">
        <v>27402.439024390245</v>
      </c>
      <c r="AT21" s="4"/>
      <c r="AU21" s="4">
        <v>28937.647058823528</v>
      </c>
      <c r="BE21" s="12" t="s">
        <v>65</v>
      </c>
      <c r="BF21" s="9">
        <v>15</v>
      </c>
    </row>
    <row r="22" spans="8:58" x14ac:dyDescent="0.2">
      <c r="H22" s="13" t="s">
        <v>85</v>
      </c>
      <c r="I22" s="4">
        <v>700</v>
      </c>
      <c r="Y22" s="8" t="s">
        <v>1191</v>
      </c>
      <c r="Z22" s="4">
        <v>1231.036461538461</v>
      </c>
      <c r="AA22" s="4">
        <v>1235.5398550724633</v>
      </c>
      <c r="AB22" s="4">
        <v>1266.0595945945947</v>
      </c>
      <c r="AC22" s="4">
        <v>1216.6520000000003</v>
      </c>
      <c r="AD22" s="4">
        <v>1278.7266037735849</v>
      </c>
      <c r="AE22" s="4">
        <v>1296.414716981132</v>
      </c>
      <c r="AF22" s="4">
        <v>1222.3788172043014</v>
      </c>
      <c r="AG22" s="4">
        <v>1306.8369014084508</v>
      </c>
      <c r="AH22" s="4">
        <v>1256.2947887323946</v>
      </c>
      <c r="AI22" s="4">
        <v>1263.0665476190472</v>
      </c>
      <c r="AJ22" s="4">
        <v>1273.297619047619</v>
      </c>
      <c r="AK22" s="4">
        <v>1234.1210666666664</v>
      </c>
      <c r="AL22" s="4">
        <v>1260.1514102564101</v>
      </c>
      <c r="AM22" s="4">
        <v>1283.9438888888894</v>
      </c>
      <c r="AN22" s="4">
        <v>1256.9911546184737</v>
      </c>
      <c r="AP22" s="12" t="s">
        <v>108</v>
      </c>
      <c r="AQ22" s="4">
        <v>27301.785714285714</v>
      </c>
      <c r="AR22" s="4"/>
      <c r="AS22" s="4">
        <v>27543.589743589742</v>
      </c>
      <c r="AT22" s="4"/>
      <c r="AU22" s="4">
        <v>27401.052631578947</v>
      </c>
      <c r="BE22" s="12" t="s">
        <v>114</v>
      </c>
      <c r="BF22" s="9">
        <v>29</v>
      </c>
    </row>
    <row r="23" spans="8:58" x14ac:dyDescent="0.2">
      <c r="H23" s="13" t="s">
        <v>44</v>
      </c>
      <c r="I23" s="4">
        <v>666.66666666666663</v>
      </c>
      <c r="AP23" s="8" t="s">
        <v>1191</v>
      </c>
      <c r="AQ23" s="4">
        <v>26777.751196172248</v>
      </c>
      <c r="AR23" s="4">
        <v>23309.523809523809</v>
      </c>
      <c r="AS23" s="4">
        <v>24418.1592039801</v>
      </c>
      <c r="AT23" s="4">
        <v>22967.021276595744</v>
      </c>
      <c r="AU23" s="4">
        <v>25176.452905811624</v>
      </c>
      <c r="BE23" s="8" t="s">
        <v>52</v>
      </c>
      <c r="BF23" s="9">
        <v>149</v>
      </c>
    </row>
    <row r="24" spans="8:58" x14ac:dyDescent="0.2">
      <c r="H24" s="13" t="s">
        <v>126</v>
      </c>
      <c r="I24" s="4">
        <v>833.33333333333337</v>
      </c>
      <c r="BE24" s="12" t="s">
        <v>122</v>
      </c>
      <c r="BF24" s="9">
        <v>10</v>
      </c>
    </row>
    <row r="25" spans="8:58" x14ac:dyDescent="0.2">
      <c r="H25" s="13" t="s">
        <v>190</v>
      </c>
      <c r="I25" s="4">
        <v>1500</v>
      </c>
      <c r="BE25" s="12" t="s">
        <v>78</v>
      </c>
      <c r="BF25" s="22">
        <v>47</v>
      </c>
    </row>
    <row r="26" spans="8:58" x14ac:dyDescent="0.2">
      <c r="H26" s="13" t="s">
        <v>160</v>
      </c>
      <c r="I26" s="4">
        <v>1625</v>
      </c>
      <c r="BE26" s="12" t="s">
        <v>40</v>
      </c>
      <c r="BF26" s="9">
        <v>3</v>
      </c>
    </row>
    <row r="27" spans="8:58" x14ac:dyDescent="0.2">
      <c r="H27" s="13" t="s">
        <v>59</v>
      </c>
      <c r="I27" s="4">
        <v>833.33333333333337</v>
      </c>
      <c r="BE27" s="12" t="s">
        <v>176</v>
      </c>
      <c r="BF27" s="9">
        <v>4</v>
      </c>
    </row>
    <row r="28" spans="8:58" x14ac:dyDescent="0.2">
      <c r="H28" s="13" t="s">
        <v>112</v>
      </c>
      <c r="I28" s="4">
        <v>1583.3333333333333</v>
      </c>
      <c r="BE28" s="12" t="s">
        <v>51</v>
      </c>
      <c r="BF28" s="9">
        <v>39</v>
      </c>
    </row>
    <row r="29" spans="8:58" x14ac:dyDescent="0.2">
      <c r="H29" s="13" t="s">
        <v>118</v>
      </c>
      <c r="I29" s="4">
        <v>1166.6666666666667</v>
      </c>
      <c r="BE29" s="12" t="s">
        <v>65</v>
      </c>
      <c r="BF29" s="9">
        <v>12</v>
      </c>
    </row>
    <row r="30" spans="8:58" x14ac:dyDescent="0.2">
      <c r="H30" s="13" t="s">
        <v>102</v>
      </c>
      <c r="I30" s="4">
        <v>750</v>
      </c>
      <c r="BE30" s="12" t="s">
        <v>114</v>
      </c>
      <c r="BF30" s="9">
        <v>33</v>
      </c>
    </row>
    <row r="31" spans="8:58" x14ac:dyDescent="0.2">
      <c r="H31" s="13" t="s">
        <v>136</v>
      </c>
      <c r="I31" s="4">
        <v>1500</v>
      </c>
      <c r="BE31" s="12" t="s">
        <v>1195</v>
      </c>
      <c r="BF31" s="9">
        <v>1</v>
      </c>
    </row>
    <row r="32" spans="8:58" x14ac:dyDescent="0.2">
      <c r="H32" s="13" t="s">
        <v>73</v>
      </c>
      <c r="I32" s="4">
        <v>1666.6666666666667</v>
      </c>
      <c r="BE32" s="8" t="s">
        <v>123</v>
      </c>
      <c r="BF32" s="9">
        <v>141</v>
      </c>
    </row>
    <row r="33" spans="8:58" x14ac:dyDescent="0.2">
      <c r="H33" s="13" t="s">
        <v>98</v>
      </c>
      <c r="I33" s="4">
        <v>1000</v>
      </c>
      <c r="BE33" s="12" t="s">
        <v>122</v>
      </c>
      <c r="BF33" s="9">
        <v>14</v>
      </c>
    </row>
    <row r="34" spans="8:58" x14ac:dyDescent="0.2">
      <c r="H34" s="13" t="s">
        <v>146</v>
      </c>
      <c r="I34" s="4">
        <v>1400</v>
      </c>
      <c r="BE34" s="12" t="s">
        <v>78</v>
      </c>
      <c r="BF34" s="9">
        <v>34</v>
      </c>
    </row>
    <row r="35" spans="8:58" x14ac:dyDescent="0.2">
      <c r="H35" s="12" t="s">
        <v>132</v>
      </c>
      <c r="I35" s="4">
        <v>1083.3333333333333</v>
      </c>
      <c r="BE35" s="12" t="s">
        <v>40</v>
      </c>
      <c r="BF35" s="9">
        <v>3</v>
      </c>
    </row>
    <row r="36" spans="8:58" x14ac:dyDescent="0.2">
      <c r="H36" s="13" t="s">
        <v>186</v>
      </c>
      <c r="I36" s="4">
        <v>750</v>
      </c>
      <c r="BE36" s="12" t="s">
        <v>176</v>
      </c>
      <c r="BF36" s="9">
        <v>6</v>
      </c>
    </row>
    <row r="37" spans="8:58" x14ac:dyDescent="0.2">
      <c r="H37" s="13" t="s">
        <v>85</v>
      </c>
      <c r="I37" s="4">
        <v>1142.8571428571429</v>
      </c>
      <c r="BE37" s="12" t="s">
        <v>51</v>
      </c>
      <c r="BF37" s="9">
        <v>33</v>
      </c>
    </row>
    <row r="38" spans="8:58" x14ac:dyDescent="0.2">
      <c r="H38" s="13" t="s">
        <v>44</v>
      </c>
      <c r="I38" s="4">
        <v>1666.6666666666667</v>
      </c>
      <c r="BE38" s="12" t="s">
        <v>65</v>
      </c>
      <c r="BF38" s="9">
        <v>22</v>
      </c>
    </row>
    <row r="39" spans="8:58" x14ac:dyDescent="0.2">
      <c r="H39" s="13" t="s">
        <v>126</v>
      </c>
      <c r="I39" s="4">
        <v>1208.3333333333333</v>
      </c>
      <c r="BE39" s="12" t="s">
        <v>114</v>
      </c>
      <c r="BF39" s="9">
        <v>29</v>
      </c>
    </row>
    <row r="40" spans="8:58" x14ac:dyDescent="0.2">
      <c r="H40" s="13" t="s">
        <v>190</v>
      </c>
      <c r="I40" s="4">
        <v>833.33333333333337</v>
      </c>
      <c r="BE40" s="8" t="s">
        <v>128</v>
      </c>
      <c r="BF40" s="9">
        <v>145</v>
      </c>
    </row>
    <row r="41" spans="8:58" x14ac:dyDescent="0.2">
      <c r="H41" s="13" t="s">
        <v>160</v>
      </c>
      <c r="I41" s="4">
        <v>750</v>
      </c>
      <c r="BE41" s="12" t="s">
        <v>122</v>
      </c>
      <c r="BF41" s="9">
        <v>14</v>
      </c>
    </row>
    <row r="42" spans="8:58" x14ac:dyDescent="0.2">
      <c r="H42" s="13" t="s">
        <v>59</v>
      </c>
      <c r="I42" s="4">
        <v>1000</v>
      </c>
      <c r="BE42" s="12" t="s">
        <v>78</v>
      </c>
      <c r="BF42" s="9">
        <v>34</v>
      </c>
    </row>
    <row r="43" spans="8:58" x14ac:dyDescent="0.2">
      <c r="H43" s="13" t="s">
        <v>112</v>
      </c>
      <c r="I43" s="4">
        <v>1200</v>
      </c>
      <c r="BE43" s="12" t="s">
        <v>40</v>
      </c>
      <c r="BF43" s="9">
        <v>2</v>
      </c>
    </row>
    <row r="44" spans="8:58" x14ac:dyDescent="0.2">
      <c r="H44" s="13" t="s">
        <v>118</v>
      </c>
      <c r="I44" s="4">
        <v>1100</v>
      </c>
      <c r="BE44" s="12" t="s">
        <v>176</v>
      </c>
      <c r="BF44" s="9">
        <v>5</v>
      </c>
    </row>
    <row r="45" spans="8:58" x14ac:dyDescent="0.2">
      <c r="H45" s="13" t="s">
        <v>102</v>
      </c>
      <c r="I45" s="4">
        <v>1500</v>
      </c>
      <c r="BE45" s="12" t="s">
        <v>51</v>
      </c>
      <c r="BF45" s="9">
        <v>38</v>
      </c>
    </row>
    <row r="46" spans="8:58" x14ac:dyDescent="0.2">
      <c r="H46" s="13" t="s">
        <v>136</v>
      </c>
      <c r="I46" s="4">
        <v>1200</v>
      </c>
      <c r="BE46" s="12" t="s">
        <v>65</v>
      </c>
      <c r="BF46" s="9">
        <v>14</v>
      </c>
    </row>
    <row r="47" spans="8:58" x14ac:dyDescent="0.2">
      <c r="H47" s="13" t="s">
        <v>73</v>
      </c>
      <c r="I47" s="4">
        <v>833.33333333333337</v>
      </c>
      <c r="BE47" s="12" t="s">
        <v>114</v>
      </c>
      <c r="BF47" s="9">
        <v>38</v>
      </c>
    </row>
    <row r="48" spans="8:58" x14ac:dyDescent="0.2">
      <c r="H48" s="13" t="s">
        <v>98</v>
      </c>
      <c r="I48" s="4">
        <v>500</v>
      </c>
      <c r="BE48" s="8" t="s">
        <v>157</v>
      </c>
      <c r="BF48" s="9">
        <v>122</v>
      </c>
    </row>
    <row r="49" spans="8:58" x14ac:dyDescent="0.2">
      <c r="H49" s="13" t="s">
        <v>146</v>
      </c>
      <c r="I49" s="4">
        <v>1142.8571428571429</v>
      </c>
      <c r="BE49" s="12" t="s">
        <v>122</v>
      </c>
      <c r="BF49" s="9">
        <v>12</v>
      </c>
    </row>
    <row r="50" spans="8:58" x14ac:dyDescent="0.2">
      <c r="H50" s="12" t="s">
        <v>162</v>
      </c>
      <c r="I50" s="4">
        <v>1120</v>
      </c>
      <c r="BE50" s="12" t="s">
        <v>78</v>
      </c>
      <c r="BF50" s="9">
        <v>31</v>
      </c>
    </row>
    <row r="51" spans="8:58" x14ac:dyDescent="0.2">
      <c r="H51" s="13" t="s">
        <v>186</v>
      </c>
      <c r="I51" s="4">
        <v>1375</v>
      </c>
      <c r="BE51" s="12" t="s">
        <v>40</v>
      </c>
      <c r="BF51" s="9">
        <v>3</v>
      </c>
    </row>
    <row r="52" spans="8:58" x14ac:dyDescent="0.2">
      <c r="H52" s="13" t="s">
        <v>85</v>
      </c>
      <c r="I52" s="4">
        <v>1250</v>
      </c>
      <c r="BE52" s="12" t="s">
        <v>176</v>
      </c>
      <c r="BF52" s="9">
        <v>5</v>
      </c>
    </row>
    <row r="53" spans="8:58" x14ac:dyDescent="0.2">
      <c r="H53" s="13" t="s">
        <v>44</v>
      </c>
      <c r="I53" s="4">
        <v>1187.5</v>
      </c>
      <c r="BE53" s="12" t="s">
        <v>51</v>
      </c>
      <c r="BF53" s="9">
        <v>29</v>
      </c>
    </row>
    <row r="54" spans="8:58" x14ac:dyDescent="0.2">
      <c r="H54" s="13" t="s">
        <v>126</v>
      </c>
      <c r="I54" s="4">
        <v>1333.3333333333333</v>
      </c>
      <c r="BE54" s="12" t="s">
        <v>65</v>
      </c>
      <c r="BF54" s="9">
        <v>14</v>
      </c>
    </row>
    <row r="55" spans="8:58" x14ac:dyDescent="0.2">
      <c r="H55" s="13" t="s">
        <v>190</v>
      </c>
      <c r="I55" s="4">
        <v>1071.4285714285713</v>
      </c>
      <c r="BE55" s="12" t="s">
        <v>114</v>
      </c>
      <c r="BF55" s="9">
        <v>28</v>
      </c>
    </row>
    <row r="56" spans="8:58" x14ac:dyDescent="0.2">
      <c r="H56" s="13" t="s">
        <v>160</v>
      </c>
      <c r="I56" s="4">
        <v>875</v>
      </c>
      <c r="BE56" s="8" t="s">
        <v>66</v>
      </c>
      <c r="BF56" s="9">
        <v>134</v>
      </c>
    </row>
    <row r="57" spans="8:58" x14ac:dyDescent="0.2">
      <c r="H57" s="13" t="s">
        <v>59</v>
      </c>
      <c r="I57" s="4">
        <v>1400</v>
      </c>
      <c r="BE57" s="12" t="s">
        <v>122</v>
      </c>
      <c r="BF57" s="9">
        <v>20</v>
      </c>
    </row>
    <row r="58" spans="8:58" x14ac:dyDescent="0.2">
      <c r="H58" s="13" t="s">
        <v>112</v>
      </c>
      <c r="I58" s="4">
        <v>1000</v>
      </c>
      <c r="BE58" s="12" t="s">
        <v>78</v>
      </c>
      <c r="BF58" s="9">
        <v>34</v>
      </c>
    </row>
    <row r="59" spans="8:58" x14ac:dyDescent="0.2">
      <c r="H59" s="13" t="s">
        <v>118</v>
      </c>
      <c r="I59" s="4">
        <v>1333.3333333333333</v>
      </c>
      <c r="BE59" s="12" t="s">
        <v>40</v>
      </c>
      <c r="BF59" s="9">
        <v>2</v>
      </c>
    </row>
    <row r="60" spans="8:58" x14ac:dyDescent="0.2">
      <c r="H60" s="13" t="s">
        <v>102</v>
      </c>
      <c r="I60" s="4">
        <v>750</v>
      </c>
      <c r="BE60" s="12" t="s">
        <v>176</v>
      </c>
      <c r="BF60" s="9">
        <v>4</v>
      </c>
    </row>
    <row r="61" spans="8:58" x14ac:dyDescent="0.2">
      <c r="H61" s="13" t="s">
        <v>136</v>
      </c>
      <c r="I61" s="4">
        <v>2000</v>
      </c>
      <c r="BE61" s="12" t="s">
        <v>51</v>
      </c>
      <c r="BF61" s="9">
        <v>33</v>
      </c>
    </row>
    <row r="62" spans="8:58" x14ac:dyDescent="0.2">
      <c r="H62" s="13" t="s">
        <v>73</v>
      </c>
      <c r="I62" s="4">
        <v>1375</v>
      </c>
      <c r="BE62" s="12" t="s">
        <v>65</v>
      </c>
      <c r="BF62" s="9">
        <v>16</v>
      </c>
    </row>
    <row r="63" spans="8:58" x14ac:dyDescent="0.2">
      <c r="H63" s="13" t="s">
        <v>98</v>
      </c>
      <c r="I63" s="4">
        <v>785.71428571428567</v>
      </c>
      <c r="BE63" s="12" t="s">
        <v>114</v>
      </c>
      <c r="BF63" s="9">
        <v>25</v>
      </c>
    </row>
    <row r="64" spans="8:58" x14ac:dyDescent="0.2">
      <c r="H64" s="13" t="s">
        <v>146</v>
      </c>
      <c r="I64" s="4">
        <v>888.88888888888891</v>
      </c>
      <c r="BE64" s="8" t="s">
        <v>103</v>
      </c>
      <c r="BF64" s="9">
        <v>157</v>
      </c>
    </row>
    <row r="65" spans="8:58" x14ac:dyDescent="0.2">
      <c r="H65" s="12" t="s">
        <v>125</v>
      </c>
      <c r="I65" s="4">
        <v>1078.125</v>
      </c>
      <c r="BE65" s="12" t="s">
        <v>122</v>
      </c>
      <c r="BF65" s="9">
        <v>15</v>
      </c>
    </row>
    <row r="66" spans="8:58" x14ac:dyDescent="0.2">
      <c r="H66" s="13" t="s">
        <v>186</v>
      </c>
      <c r="I66" s="4">
        <v>750</v>
      </c>
      <c r="BE66" s="12" t="s">
        <v>78</v>
      </c>
      <c r="BF66" s="22">
        <v>43</v>
      </c>
    </row>
    <row r="67" spans="8:58" x14ac:dyDescent="0.2">
      <c r="H67" s="13" t="s">
        <v>85</v>
      </c>
      <c r="I67" s="4">
        <v>1625</v>
      </c>
      <c r="BE67" s="12" t="s">
        <v>40</v>
      </c>
      <c r="BF67" s="9">
        <v>5</v>
      </c>
    </row>
    <row r="68" spans="8:58" x14ac:dyDescent="0.2">
      <c r="H68" s="13" t="s">
        <v>44</v>
      </c>
      <c r="I68" s="4">
        <v>833.33333333333337</v>
      </c>
      <c r="BE68" s="12" t="s">
        <v>176</v>
      </c>
      <c r="BF68" s="9">
        <v>5</v>
      </c>
    </row>
    <row r="69" spans="8:58" x14ac:dyDescent="0.2">
      <c r="H69" s="13" t="s">
        <v>126</v>
      </c>
      <c r="I69" s="4">
        <v>1250</v>
      </c>
      <c r="BE69" s="12" t="s">
        <v>51</v>
      </c>
      <c r="BF69" s="9">
        <v>37</v>
      </c>
    </row>
    <row r="70" spans="8:58" x14ac:dyDescent="0.2">
      <c r="H70" s="13" t="s">
        <v>190</v>
      </c>
      <c r="I70" s="4">
        <v>1166.6666666666667</v>
      </c>
      <c r="BE70" s="12" t="s">
        <v>65</v>
      </c>
      <c r="BF70" s="9">
        <v>17</v>
      </c>
    </row>
    <row r="71" spans="8:58" x14ac:dyDescent="0.2">
      <c r="H71" s="13" t="s">
        <v>160</v>
      </c>
      <c r="I71" s="4">
        <v>833.33333333333337</v>
      </c>
      <c r="BE71" s="12" t="s">
        <v>114</v>
      </c>
      <c r="BF71" s="9">
        <v>34</v>
      </c>
    </row>
    <row r="72" spans="8:58" x14ac:dyDescent="0.2">
      <c r="H72" s="13" t="s">
        <v>59</v>
      </c>
      <c r="I72" s="4">
        <v>1000</v>
      </c>
      <c r="BE72" s="12" t="s">
        <v>1195</v>
      </c>
      <c r="BF72" s="9">
        <v>1</v>
      </c>
    </row>
    <row r="73" spans="8:58" x14ac:dyDescent="0.2">
      <c r="H73" s="13" t="s">
        <v>112</v>
      </c>
      <c r="I73" s="4">
        <v>750</v>
      </c>
      <c r="BE73" s="8" t="s">
        <v>1191</v>
      </c>
      <c r="BF73" s="9">
        <v>999</v>
      </c>
    </row>
    <row r="74" spans="8:58" x14ac:dyDescent="0.2">
      <c r="H74" s="13" t="s">
        <v>118</v>
      </c>
      <c r="I74" s="4">
        <v>700</v>
      </c>
    </row>
    <row r="75" spans="8:58" x14ac:dyDescent="0.2">
      <c r="H75" s="13" t="s">
        <v>102</v>
      </c>
      <c r="I75" s="4">
        <v>1000</v>
      </c>
    </row>
    <row r="76" spans="8:58" x14ac:dyDescent="0.2">
      <c r="H76" s="13" t="s">
        <v>136</v>
      </c>
      <c r="I76" s="4">
        <v>1166.6666666666667</v>
      </c>
    </row>
    <row r="77" spans="8:58" x14ac:dyDescent="0.2">
      <c r="H77" s="13" t="s">
        <v>73</v>
      </c>
      <c r="I77" s="4">
        <v>1375</v>
      </c>
    </row>
    <row r="78" spans="8:58" x14ac:dyDescent="0.2">
      <c r="H78" s="13" t="s">
        <v>98</v>
      </c>
      <c r="I78" s="4">
        <v>666.66666666666663</v>
      </c>
    </row>
    <row r="79" spans="8:58" x14ac:dyDescent="0.2">
      <c r="H79" s="13" t="s">
        <v>146</v>
      </c>
      <c r="I79" s="4">
        <v>1500</v>
      </c>
    </row>
    <row r="80" spans="8:58" x14ac:dyDescent="0.2">
      <c r="H80" s="12" t="s">
        <v>43</v>
      </c>
      <c r="I80" s="4">
        <v>1250</v>
      </c>
    </row>
    <row r="81" spans="8:9" x14ac:dyDescent="0.2">
      <c r="H81" s="13" t="s">
        <v>186</v>
      </c>
      <c r="I81" s="4">
        <v>1000</v>
      </c>
    </row>
    <row r="82" spans="8:9" x14ac:dyDescent="0.2">
      <c r="H82" s="13" t="s">
        <v>85</v>
      </c>
      <c r="I82" s="4">
        <v>1375</v>
      </c>
    </row>
    <row r="83" spans="8:9" x14ac:dyDescent="0.2">
      <c r="H83" s="13" t="s">
        <v>44</v>
      </c>
      <c r="I83" s="4">
        <v>1600</v>
      </c>
    </row>
    <row r="84" spans="8:9" x14ac:dyDescent="0.2">
      <c r="H84" s="13" t="s">
        <v>126</v>
      </c>
      <c r="I84" s="4">
        <v>1083.3333333333333</v>
      </c>
    </row>
    <row r="85" spans="8:9" x14ac:dyDescent="0.2">
      <c r="H85" s="13" t="s">
        <v>190</v>
      </c>
      <c r="I85" s="4">
        <v>1375</v>
      </c>
    </row>
    <row r="86" spans="8:9" x14ac:dyDescent="0.2">
      <c r="H86" s="13" t="s">
        <v>160</v>
      </c>
      <c r="I86" s="4">
        <v>2000</v>
      </c>
    </row>
    <row r="87" spans="8:9" x14ac:dyDescent="0.2">
      <c r="H87" s="13" t="s">
        <v>59</v>
      </c>
      <c r="I87" s="4">
        <v>1142.8571428571429</v>
      </c>
    </row>
    <row r="88" spans="8:9" x14ac:dyDescent="0.2">
      <c r="H88" s="13" t="s">
        <v>112</v>
      </c>
      <c r="I88" s="4">
        <v>1400</v>
      </c>
    </row>
    <row r="89" spans="8:9" x14ac:dyDescent="0.2">
      <c r="H89" s="13" t="s">
        <v>118</v>
      </c>
      <c r="I89" s="4">
        <v>1222.2222222222222</v>
      </c>
    </row>
    <row r="90" spans="8:9" x14ac:dyDescent="0.2">
      <c r="H90" s="13" t="s">
        <v>102</v>
      </c>
      <c r="I90" s="4">
        <v>1000</v>
      </c>
    </row>
    <row r="91" spans="8:9" x14ac:dyDescent="0.2">
      <c r="H91" s="13" t="s">
        <v>136</v>
      </c>
      <c r="I91" s="4">
        <v>1416.6666666666667</v>
      </c>
    </row>
    <row r="92" spans="8:9" x14ac:dyDescent="0.2">
      <c r="H92" s="13" t="s">
        <v>73</v>
      </c>
      <c r="I92" s="4">
        <v>1285.7142857142858</v>
      </c>
    </row>
    <row r="93" spans="8:9" x14ac:dyDescent="0.2">
      <c r="H93" s="13" t="s">
        <v>98</v>
      </c>
      <c r="I93" s="4">
        <v>1111.1111111111111</v>
      </c>
    </row>
    <row r="94" spans="8:9" x14ac:dyDescent="0.2">
      <c r="H94" s="13" t="s">
        <v>146</v>
      </c>
      <c r="I94" s="4">
        <v>1000</v>
      </c>
    </row>
    <row r="95" spans="8:9" x14ac:dyDescent="0.2">
      <c r="H95" s="12" t="s">
        <v>72</v>
      </c>
      <c r="I95" s="4">
        <v>1027.7777777777778</v>
      </c>
    </row>
    <row r="96" spans="8:9" x14ac:dyDescent="0.2">
      <c r="H96" s="13" t="s">
        <v>186</v>
      </c>
      <c r="I96" s="4">
        <v>750</v>
      </c>
    </row>
    <row r="97" spans="8:9" x14ac:dyDescent="0.2">
      <c r="H97" s="13" t="s">
        <v>85</v>
      </c>
      <c r="I97" s="4">
        <v>750</v>
      </c>
    </row>
    <row r="98" spans="8:9" x14ac:dyDescent="0.2">
      <c r="H98" s="13" t="s">
        <v>44</v>
      </c>
      <c r="I98" s="4">
        <v>937.5</v>
      </c>
    </row>
    <row r="99" spans="8:9" x14ac:dyDescent="0.2">
      <c r="H99" s="13" t="s">
        <v>126</v>
      </c>
      <c r="I99" s="4">
        <v>1333.3333333333333</v>
      </c>
    </row>
    <row r="100" spans="8:9" x14ac:dyDescent="0.2">
      <c r="H100" s="13" t="s">
        <v>190</v>
      </c>
      <c r="I100" s="4">
        <v>2000</v>
      </c>
    </row>
    <row r="101" spans="8:9" x14ac:dyDescent="0.2">
      <c r="H101" s="13" t="s">
        <v>160</v>
      </c>
      <c r="I101" s="4">
        <v>1000</v>
      </c>
    </row>
    <row r="102" spans="8:9" x14ac:dyDescent="0.2">
      <c r="H102" s="13" t="s">
        <v>59</v>
      </c>
      <c r="I102" s="4">
        <v>777.77777777777783</v>
      </c>
    </row>
    <row r="103" spans="8:9" x14ac:dyDescent="0.2">
      <c r="H103" s="13" t="s">
        <v>112</v>
      </c>
      <c r="I103" s="4">
        <v>1500</v>
      </c>
    </row>
    <row r="104" spans="8:9" x14ac:dyDescent="0.2">
      <c r="H104" s="13" t="s">
        <v>118</v>
      </c>
      <c r="I104" s="4">
        <v>1000</v>
      </c>
    </row>
    <row r="105" spans="8:9" x14ac:dyDescent="0.2">
      <c r="H105" s="13" t="s">
        <v>102</v>
      </c>
      <c r="I105" s="4">
        <v>625</v>
      </c>
    </row>
    <row r="106" spans="8:9" x14ac:dyDescent="0.2">
      <c r="H106" s="13" t="s">
        <v>136</v>
      </c>
      <c r="I106" s="4">
        <v>1000</v>
      </c>
    </row>
    <row r="107" spans="8:9" x14ac:dyDescent="0.2">
      <c r="H107" s="13" t="s">
        <v>73</v>
      </c>
      <c r="I107" s="4">
        <v>1000</v>
      </c>
    </row>
    <row r="108" spans="8:9" x14ac:dyDescent="0.2">
      <c r="H108" s="13" t="s">
        <v>98</v>
      </c>
      <c r="I108" s="4">
        <v>1666.6666666666667</v>
      </c>
    </row>
    <row r="109" spans="8:9" x14ac:dyDescent="0.2">
      <c r="H109" s="13" t="s">
        <v>146</v>
      </c>
      <c r="I109" s="4">
        <v>875</v>
      </c>
    </row>
    <row r="110" spans="8:9" x14ac:dyDescent="0.2">
      <c r="H110" s="8" t="s">
        <v>1191</v>
      </c>
      <c r="I110" s="4">
        <v>1133.1331331331332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19DA-A988-483E-BE6B-506E3D1E4B40}">
  <dimension ref="A1:B52"/>
  <sheetViews>
    <sheetView topLeftCell="A10" workbookViewId="0">
      <selection activeCell="B51" sqref="B51"/>
    </sheetView>
  </sheetViews>
  <sheetFormatPr defaultRowHeight="12.75" x14ac:dyDescent="0.2"/>
  <cols>
    <col min="1" max="1" width="20.85546875" bestFit="1" customWidth="1"/>
    <col min="2" max="2" width="20.85546875" style="16" bestFit="1" customWidth="1"/>
  </cols>
  <sheetData>
    <row r="1" spans="1:2" x14ac:dyDescent="0.2">
      <c r="A1" t="s">
        <v>1181</v>
      </c>
      <c r="B1" s="16">
        <v>1000</v>
      </c>
    </row>
    <row r="2" spans="1:2" x14ac:dyDescent="0.2">
      <c r="A2" t="s">
        <v>1182</v>
      </c>
      <c r="B2" s="16">
        <v>21</v>
      </c>
    </row>
    <row r="3" spans="1:2" x14ac:dyDescent="0.2">
      <c r="A3" t="s">
        <v>1183</v>
      </c>
      <c r="B3" s="17">
        <f>B2/B1</f>
        <v>2.1000000000000001E-2</v>
      </c>
    </row>
    <row r="5" spans="1:2" x14ac:dyDescent="0.2">
      <c r="A5" t="s">
        <v>2</v>
      </c>
      <c r="B5" s="16" t="s">
        <v>1184</v>
      </c>
    </row>
    <row r="6" spans="1:2" x14ac:dyDescent="0.2">
      <c r="A6" s="1">
        <v>699044</v>
      </c>
      <c r="B6" s="16">
        <v>1</v>
      </c>
    </row>
    <row r="8" spans="1:2" x14ac:dyDescent="0.2">
      <c r="A8" t="s">
        <v>2</v>
      </c>
      <c r="B8" s="18" t="s">
        <v>1</v>
      </c>
    </row>
    <row r="9" spans="1:2" x14ac:dyDescent="0.2">
      <c r="A9">
        <v>448961</v>
      </c>
      <c r="B9" s="16">
        <v>38</v>
      </c>
    </row>
    <row r="10" spans="1:2" x14ac:dyDescent="0.2">
      <c r="A10">
        <v>645258</v>
      </c>
      <c r="B10" s="16">
        <v>38</v>
      </c>
    </row>
    <row r="12" spans="1:2" x14ac:dyDescent="0.2">
      <c r="A12" t="s">
        <v>2</v>
      </c>
      <c r="B12" s="16" t="s">
        <v>6</v>
      </c>
    </row>
    <row r="13" spans="1:2" x14ac:dyDescent="0.2">
      <c r="A13">
        <v>132902</v>
      </c>
      <c r="B13" s="16">
        <v>1000</v>
      </c>
    </row>
    <row r="14" spans="1:2" x14ac:dyDescent="0.2">
      <c r="A14">
        <v>133889</v>
      </c>
      <c r="B14" s="16">
        <v>1000</v>
      </c>
    </row>
    <row r="16" spans="1:2" x14ac:dyDescent="0.2">
      <c r="A16" t="s">
        <v>2</v>
      </c>
      <c r="B16" s="16" t="s">
        <v>11</v>
      </c>
    </row>
    <row r="17" spans="1:2" x14ac:dyDescent="0.2">
      <c r="A17">
        <v>413978</v>
      </c>
      <c r="B17" s="16" t="s">
        <v>142</v>
      </c>
    </row>
    <row r="19" spans="1:2" x14ac:dyDescent="0.2">
      <c r="A19" t="s">
        <v>2</v>
      </c>
      <c r="B19" s="16" t="s">
        <v>13</v>
      </c>
    </row>
    <row r="20" spans="1:2" x14ac:dyDescent="0.2">
      <c r="A20">
        <v>227811</v>
      </c>
      <c r="B20" s="16" t="s">
        <v>1200</v>
      </c>
    </row>
    <row r="21" spans="1:2" x14ac:dyDescent="0.2">
      <c r="A21">
        <v>367455</v>
      </c>
      <c r="B21" s="16" t="s">
        <v>1200</v>
      </c>
    </row>
    <row r="23" spans="1:2" x14ac:dyDescent="0.2">
      <c r="A23" t="s">
        <v>2</v>
      </c>
      <c r="B23" s="16" t="s">
        <v>7</v>
      </c>
    </row>
    <row r="24" spans="1:2" x14ac:dyDescent="0.2">
      <c r="A24">
        <v>214618</v>
      </c>
      <c r="B24" s="19">
        <v>1288.6100000000001</v>
      </c>
    </row>
    <row r="25" spans="1:2" x14ac:dyDescent="0.2">
      <c r="A25">
        <v>285496</v>
      </c>
      <c r="B25" s="19">
        <v>1401.3300000000002</v>
      </c>
    </row>
    <row r="26" spans="1:2" x14ac:dyDescent="0.2">
      <c r="A26">
        <v>227244</v>
      </c>
      <c r="B26" s="19">
        <v>920.98333333333323</v>
      </c>
    </row>
    <row r="27" spans="1:2" x14ac:dyDescent="0.2">
      <c r="B27" s="19"/>
    </row>
    <row r="28" spans="1:2" x14ac:dyDescent="0.2">
      <c r="A28" t="s">
        <v>2</v>
      </c>
      <c r="B28" s="16" t="s">
        <v>8</v>
      </c>
    </row>
    <row r="29" spans="1:2" x14ac:dyDescent="0.2">
      <c r="A29">
        <v>526039</v>
      </c>
      <c r="B29" s="16">
        <v>1000000</v>
      </c>
    </row>
    <row r="31" spans="1:2" x14ac:dyDescent="0.2">
      <c r="A31" t="s">
        <v>2</v>
      </c>
      <c r="B31" s="16" t="s">
        <v>15</v>
      </c>
    </row>
    <row r="32" spans="1:2" x14ac:dyDescent="0.2">
      <c r="A32">
        <v>736882</v>
      </c>
      <c r="B32" s="16">
        <v>19952</v>
      </c>
    </row>
    <row r="34" spans="1:2" x14ac:dyDescent="0.2">
      <c r="A34" t="s">
        <v>2</v>
      </c>
      <c r="B34" s="16" t="s">
        <v>21</v>
      </c>
    </row>
    <row r="35" spans="1:2" x14ac:dyDescent="0.2">
      <c r="A35">
        <v>253791</v>
      </c>
      <c r="B35" s="16" t="s">
        <v>100</v>
      </c>
    </row>
    <row r="36" spans="1:2" x14ac:dyDescent="0.2">
      <c r="A36">
        <v>405533</v>
      </c>
      <c r="B36" s="18" t="s">
        <v>50</v>
      </c>
    </row>
    <row r="38" spans="1:2" x14ac:dyDescent="0.2">
      <c r="A38" t="s">
        <v>2</v>
      </c>
      <c r="B38" s="16" t="s">
        <v>22</v>
      </c>
    </row>
    <row r="39" spans="1:2" x14ac:dyDescent="0.2">
      <c r="A39">
        <v>214618</v>
      </c>
      <c r="B39" s="16" t="s">
        <v>78</v>
      </c>
    </row>
    <row r="40" spans="1:2" x14ac:dyDescent="0.2">
      <c r="A40">
        <v>395269</v>
      </c>
      <c r="B40" s="16" t="s">
        <v>78</v>
      </c>
    </row>
    <row r="42" spans="1:2" x14ac:dyDescent="0.2">
      <c r="A42" t="s">
        <v>2</v>
      </c>
      <c r="B42" s="16" t="s">
        <v>31</v>
      </c>
    </row>
    <row r="43" spans="1:2" x14ac:dyDescent="0.2">
      <c r="A43">
        <v>163161</v>
      </c>
      <c r="B43" s="16">
        <v>70590</v>
      </c>
    </row>
    <row r="44" spans="1:2" x14ac:dyDescent="0.2">
      <c r="A44">
        <v>586367</v>
      </c>
      <c r="B44" s="16">
        <v>64350</v>
      </c>
    </row>
    <row r="45" spans="1:2" x14ac:dyDescent="0.2">
      <c r="A45">
        <v>132871</v>
      </c>
      <c r="B45" s="16">
        <v>7680</v>
      </c>
    </row>
    <row r="46" spans="1:2" x14ac:dyDescent="0.2">
      <c r="A46">
        <v>218109</v>
      </c>
      <c r="B46" s="16">
        <v>62920</v>
      </c>
    </row>
    <row r="48" spans="1:2" x14ac:dyDescent="0.2">
      <c r="A48" t="s">
        <v>2</v>
      </c>
      <c r="B48" s="16" t="s">
        <v>32</v>
      </c>
    </row>
    <row r="49" spans="1:2" x14ac:dyDescent="0.2">
      <c r="A49">
        <v>930032</v>
      </c>
      <c r="B49" s="16">
        <v>5910</v>
      </c>
    </row>
    <row r="51" spans="1:2" x14ac:dyDescent="0.2">
      <c r="A51" t="s">
        <v>2</v>
      </c>
      <c r="B51" s="16" t="s">
        <v>33</v>
      </c>
    </row>
    <row r="52" spans="1:2" x14ac:dyDescent="0.2">
      <c r="A52">
        <v>540152</v>
      </c>
      <c r="B52" s="16">
        <v>8340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insurance_claims_cleaned</vt:lpstr>
      <vt:lpstr>Pivot</vt:lpstr>
      <vt:lpstr>data_cleaning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 Johnson</cp:lastModifiedBy>
  <dcterms:modified xsi:type="dcterms:W3CDTF">2024-04-09T18:46:50Z</dcterms:modified>
</cp:coreProperties>
</file>