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CABE23A-4C71-4643-96A7-527067A1D140}" xr6:coauthVersionLast="45" xr6:coauthVersionMax="45" xr10:uidLastSave="{00000000-0000-0000-0000-000000000000}"/>
  <bookViews>
    <workbookView xWindow="-120" yWindow="-120" windowWidth="20730" windowHeight="11040" firstSheet="6" activeTab="8" xr2:uid="{00000000-000D-0000-FFFF-FFFF00000000}"/>
  </bookViews>
  <sheets>
    <sheet name="NOMINA (2)" sheetId="9" r:id="rId1"/>
    <sheet name="NOMINA" sheetId="5" r:id="rId2"/>
    <sheet name="Valores Vigentes" sheetId="1" r:id="rId3"/>
    <sheet name="Tabla Salarios" sheetId="2" r:id="rId4"/>
    <sheet name="ReteFuente" sheetId="3" r:id="rId5"/>
    <sheet name="Liquidación Horas Extras" sheetId="4" r:id="rId6"/>
    <sheet name="GRAFICOS" sheetId="10" r:id="rId7"/>
    <sheet name="Resumen Nómina" sheetId="6" r:id="rId8"/>
    <sheet name="Relación Empleados por cargo" sheetId="7" r:id="rId9"/>
    <sheet name="Comprobante Pago" sheetId="8" r:id="rId10"/>
  </sheets>
  <externalReferences>
    <externalReference r:id="rId11"/>
    <externalReference r:id="rId12"/>
  </externalReferences>
  <definedNames>
    <definedName name="_xlnm._FilterDatabase" localSheetId="1" hidden="1">NOMINA!$T$14:$U$14</definedName>
    <definedName name="_xlnm._FilterDatabase" localSheetId="0" hidden="1">'NOMINA (2)'!$U$14:$V$14</definedName>
    <definedName name="holaa">'[1]funcion si'!$B$8:$C$16</definedName>
    <definedName name="HORASEXTRAS">'Liquidación Horas Extras'!$A$2:$O$175</definedName>
    <definedName name="nomina" localSheetId="0">'NOMINA (2)'!$B$6:$AH$68</definedName>
    <definedName name="nomina">NOMINA!$A$6:$AG$68</definedName>
    <definedName name="NOMINA1">NOMINA!$A$2:$AG$194</definedName>
    <definedName name="NOMINA2">'NOMINA (2)'!$A$14:$AA$185</definedName>
    <definedName name="NOMINA3">NOMINA!$A$14:$Z$185</definedName>
    <definedName name="RETE">[2]Hoja1!$A$15:$C$18</definedName>
    <definedName name="RETEFUENTE">ReteFuente!$A$11:$F$12</definedName>
    <definedName name="SALARIOS_ACTUALES">#REF!</definedName>
    <definedName name="SALARIOSACTUALES">'Tabla Salarios'!$B$3:$D$13</definedName>
    <definedName name="SegmentaciónDeDatos_CONCEPTO">#N/A</definedName>
  </definedNames>
  <calcPr calcId="191029"/>
  <pivotCaches>
    <pivotCache cacheId="0" r:id="rId13"/>
  </pivotCaches>
  <fileRecoveryPr repairLoad="1"/>
  <extLs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8" l="1"/>
  <c r="C13" i="8"/>
  <c r="E13" i="8"/>
  <c r="E10" i="8"/>
  <c r="E9" i="8"/>
  <c r="C12" i="8"/>
  <c r="C11" i="8"/>
  <c r="C10" i="8"/>
  <c r="C9" i="8"/>
  <c r="A15" i="9" l="1"/>
  <c r="Z7" i="5"/>
  <c r="Z10" i="5" s="1"/>
  <c r="Z6" i="5"/>
  <c r="Z5" i="5"/>
  <c r="Z4" i="5"/>
  <c r="W10" i="5"/>
  <c r="W9" i="5"/>
  <c r="W6" i="5"/>
  <c r="W5" i="5"/>
  <c r="W4" i="5"/>
  <c r="W8" i="5"/>
  <c r="W7" i="5"/>
  <c r="P187" i="5"/>
  <c r="O187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5" i="5"/>
  <c r="C6" i="7" l="1"/>
  <c r="C7" i="7"/>
  <c r="C8" i="7"/>
  <c r="C9" i="7"/>
  <c r="C10" i="7"/>
  <c r="C11" i="7"/>
  <c r="C12" i="7"/>
  <c r="C13" i="7"/>
  <c r="C14" i="7"/>
  <c r="C5" i="7"/>
  <c r="B6" i="7"/>
  <c r="B7" i="7"/>
  <c r="B8" i="7"/>
  <c r="B9" i="7"/>
  <c r="B10" i="7"/>
  <c r="B11" i="7"/>
  <c r="B12" i="7"/>
  <c r="B13" i="7"/>
  <c r="B14" i="7"/>
  <c r="B5" i="7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J191" i="9"/>
  <c r="J190" i="9"/>
  <c r="J189" i="9"/>
  <c r="J188" i="9"/>
  <c r="J187" i="9"/>
  <c r="R185" i="9"/>
  <c r="Q185" i="9"/>
  <c r="P185" i="9"/>
  <c r="N185" i="9"/>
  <c r="K185" i="9"/>
  <c r="O185" i="9" s="1"/>
  <c r="I185" i="9"/>
  <c r="X185" i="9" s="1"/>
  <c r="H185" i="9"/>
  <c r="X184" i="9"/>
  <c r="R184" i="9"/>
  <c r="Q184" i="9"/>
  <c r="P184" i="9"/>
  <c r="N184" i="9"/>
  <c r="I184" i="9"/>
  <c r="K184" i="9" s="1"/>
  <c r="H184" i="9"/>
  <c r="R183" i="9"/>
  <c r="Q183" i="9"/>
  <c r="P183" i="9"/>
  <c r="K183" i="9"/>
  <c r="N183" i="9" s="1"/>
  <c r="I183" i="9"/>
  <c r="X183" i="9" s="1"/>
  <c r="H183" i="9"/>
  <c r="X182" i="9"/>
  <c r="R182" i="9"/>
  <c r="Q182" i="9"/>
  <c r="P182" i="9"/>
  <c r="N182" i="9"/>
  <c r="I182" i="9"/>
  <c r="K182" i="9" s="1"/>
  <c r="H182" i="9"/>
  <c r="Y181" i="9"/>
  <c r="R181" i="9"/>
  <c r="Q181" i="9"/>
  <c r="P181" i="9"/>
  <c r="N181" i="9"/>
  <c r="I181" i="9"/>
  <c r="X181" i="9" s="1"/>
  <c r="H181" i="9"/>
  <c r="X180" i="9"/>
  <c r="R180" i="9"/>
  <c r="Q180" i="9"/>
  <c r="P180" i="9"/>
  <c r="K180" i="9"/>
  <c r="I180" i="9"/>
  <c r="V180" i="9" s="1"/>
  <c r="H180" i="9"/>
  <c r="X179" i="9"/>
  <c r="R179" i="9"/>
  <c r="Q179" i="9"/>
  <c r="P179" i="9"/>
  <c r="I179" i="9"/>
  <c r="H179" i="9"/>
  <c r="Y178" i="9"/>
  <c r="R178" i="9"/>
  <c r="Q178" i="9"/>
  <c r="P178" i="9"/>
  <c r="N178" i="9"/>
  <c r="K178" i="9"/>
  <c r="O178" i="9" s="1"/>
  <c r="I178" i="9"/>
  <c r="X178" i="9" s="1"/>
  <c r="H178" i="9"/>
  <c r="R177" i="9"/>
  <c r="Q177" i="9"/>
  <c r="P177" i="9"/>
  <c r="I177" i="9"/>
  <c r="K177" i="9" s="1"/>
  <c r="H177" i="9"/>
  <c r="Y176" i="9"/>
  <c r="R176" i="9"/>
  <c r="Q176" i="9"/>
  <c r="P176" i="9"/>
  <c r="I176" i="9"/>
  <c r="X176" i="9" s="1"/>
  <c r="H176" i="9"/>
  <c r="Y175" i="9"/>
  <c r="R175" i="9"/>
  <c r="Q175" i="9"/>
  <c r="P175" i="9"/>
  <c r="I175" i="9"/>
  <c r="H175" i="9"/>
  <c r="Y174" i="9"/>
  <c r="X174" i="9"/>
  <c r="R174" i="9"/>
  <c r="Q174" i="9"/>
  <c r="P174" i="9"/>
  <c r="N174" i="9"/>
  <c r="K174" i="9"/>
  <c r="I174" i="9"/>
  <c r="V174" i="9" s="1"/>
  <c r="H174" i="9"/>
  <c r="R173" i="9"/>
  <c r="Q173" i="9"/>
  <c r="P173" i="9"/>
  <c r="N173" i="9"/>
  <c r="I173" i="9"/>
  <c r="H173" i="9"/>
  <c r="R172" i="9"/>
  <c r="Q172" i="9"/>
  <c r="P172" i="9"/>
  <c r="K172" i="9"/>
  <c r="I172" i="9"/>
  <c r="X172" i="9" s="1"/>
  <c r="H172" i="9"/>
  <c r="Y171" i="9"/>
  <c r="V171" i="9"/>
  <c r="R171" i="9"/>
  <c r="Q171" i="9"/>
  <c r="P171" i="9"/>
  <c r="L171" i="9"/>
  <c r="I171" i="9"/>
  <c r="K171" i="9" s="1"/>
  <c r="H171" i="9"/>
  <c r="R170" i="9"/>
  <c r="Q170" i="9"/>
  <c r="P170" i="9"/>
  <c r="N170" i="9"/>
  <c r="I170" i="9"/>
  <c r="X170" i="9" s="1"/>
  <c r="H170" i="9"/>
  <c r="X169" i="9"/>
  <c r="R169" i="9"/>
  <c r="Q169" i="9"/>
  <c r="P169" i="9"/>
  <c r="I169" i="9"/>
  <c r="H169" i="9"/>
  <c r="R168" i="9"/>
  <c r="Q168" i="9"/>
  <c r="P168" i="9"/>
  <c r="K168" i="9"/>
  <c r="O168" i="9" s="1"/>
  <c r="I168" i="9"/>
  <c r="X168" i="9" s="1"/>
  <c r="H168" i="9"/>
  <c r="R167" i="9"/>
  <c r="Q167" i="9"/>
  <c r="P167" i="9"/>
  <c r="I167" i="9"/>
  <c r="H167" i="9"/>
  <c r="Y166" i="9"/>
  <c r="R166" i="9"/>
  <c r="Q166" i="9"/>
  <c r="P166" i="9"/>
  <c r="N166" i="9"/>
  <c r="I166" i="9"/>
  <c r="X166" i="9" s="1"/>
  <c r="H166" i="9"/>
  <c r="V165" i="9"/>
  <c r="R165" i="9"/>
  <c r="Q165" i="9"/>
  <c r="P165" i="9"/>
  <c r="L165" i="9"/>
  <c r="I165" i="9"/>
  <c r="K165" i="9" s="1"/>
  <c r="H165" i="9"/>
  <c r="Y164" i="9"/>
  <c r="R164" i="9"/>
  <c r="Q164" i="9"/>
  <c r="P164" i="9"/>
  <c r="K164" i="9"/>
  <c r="N164" i="9" s="1"/>
  <c r="I164" i="9"/>
  <c r="X164" i="9" s="1"/>
  <c r="H164" i="9"/>
  <c r="X163" i="9"/>
  <c r="V163" i="9"/>
  <c r="R163" i="9"/>
  <c r="Q163" i="9"/>
  <c r="P163" i="9"/>
  <c r="L163" i="9"/>
  <c r="I163" i="9"/>
  <c r="K163" i="9" s="1"/>
  <c r="H163" i="9"/>
  <c r="X162" i="9"/>
  <c r="R162" i="9"/>
  <c r="Q162" i="9"/>
  <c r="P162" i="9"/>
  <c r="K162" i="9"/>
  <c r="O162" i="9" s="1"/>
  <c r="I162" i="9"/>
  <c r="V162" i="9" s="1"/>
  <c r="H162" i="9"/>
  <c r="R161" i="9"/>
  <c r="Q161" i="9"/>
  <c r="P161" i="9"/>
  <c r="N161" i="9"/>
  <c r="I161" i="9"/>
  <c r="X161" i="9" s="1"/>
  <c r="H161" i="9"/>
  <c r="R160" i="9"/>
  <c r="Q160" i="9"/>
  <c r="P160" i="9"/>
  <c r="N160" i="9"/>
  <c r="K160" i="9"/>
  <c r="O160" i="9" s="1"/>
  <c r="I160" i="9"/>
  <c r="X160" i="9" s="1"/>
  <c r="H160" i="9"/>
  <c r="Y159" i="9"/>
  <c r="X159" i="9"/>
  <c r="R159" i="9"/>
  <c r="Q159" i="9"/>
  <c r="P159" i="9"/>
  <c r="K159" i="9"/>
  <c r="I159" i="9"/>
  <c r="V159" i="9" s="1"/>
  <c r="H159" i="9"/>
  <c r="R158" i="9"/>
  <c r="Q158" i="9"/>
  <c r="P158" i="9"/>
  <c r="I158" i="9"/>
  <c r="H158" i="9"/>
  <c r="R157" i="9"/>
  <c r="Q157" i="9"/>
  <c r="P157" i="9"/>
  <c r="N157" i="9"/>
  <c r="K157" i="9"/>
  <c r="O157" i="9" s="1"/>
  <c r="I157" i="9"/>
  <c r="X157" i="9" s="1"/>
  <c r="H157" i="9"/>
  <c r="X156" i="9"/>
  <c r="R156" i="9"/>
  <c r="Q156" i="9"/>
  <c r="P156" i="9"/>
  <c r="N156" i="9"/>
  <c r="I156" i="9"/>
  <c r="K156" i="9" s="1"/>
  <c r="H156" i="9"/>
  <c r="X155" i="9"/>
  <c r="R155" i="9"/>
  <c r="Q155" i="9"/>
  <c r="P155" i="9"/>
  <c r="I155" i="9"/>
  <c r="V155" i="9" s="1"/>
  <c r="H155" i="9"/>
  <c r="X154" i="9"/>
  <c r="R154" i="9"/>
  <c r="Q154" i="9"/>
  <c r="P154" i="9"/>
  <c r="I154" i="9"/>
  <c r="H154" i="9"/>
  <c r="X153" i="9"/>
  <c r="R153" i="9"/>
  <c r="Q153" i="9"/>
  <c r="P153" i="9"/>
  <c r="I153" i="9"/>
  <c r="V153" i="9" s="1"/>
  <c r="H153" i="9"/>
  <c r="X152" i="9"/>
  <c r="R152" i="9"/>
  <c r="Q152" i="9"/>
  <c r="P152" i="9"/>
  <c r="I152" i="9"/>
  <c r="K152" i="9" s="1"/>
  <c r="H152" i="9"/>
  <c r="Y151" i="9"/>
  <c r="R151" i="9"/>
  <c r="Q151" i="9"/>
  <c r="P151" i="9"/>
  <c r="I151" i="9"/>
  <c r="X151" i="9" s="1"/>
  <c r="H151" i="9"/>
  <c r="Y150" i="9"/>
  <c r="R150" i="9"/>
  <c r="Q150" i="9"/>
  <c r="P150" i="9"/>
  <c r="N150" i="9"/>
  <c r="I150" i="9"/>
  <c r="H150" i="9"/>
  <c r="R149" i="9"/>
  <c r="Q149" i="9"/>
  <c r="P149" i="9"/>
  <c r="N149" i="9"/>
  <c r="I149" i="9"/>
  <c r="X149" i="9" s="1"/>
  <c r="H149" i="9"/>
  <c r="V148" i="9"/>
  <c r="R148" i="9"/>
  <c r="Q148" i="9"/>
  <c r="P148" i="9"/>
  <c r="L148" i="9"/>
  <c r="I148" i="9"/>
  <c r="K148" i="9" s="1"/>
  <c r="H148" i="9"/>
  <c r="Y147" i="9"/>
  <c r="R147" i="9"/>
  <c r="Q147" i="9"/>
  <c r="P147" i="9"/>
  <c r="K147" i="9"/>
  <c r="N147" i="9" s="1"/>
  <c r="I147" i="9"/>
  <c r="X147" i="9" s="1"/>
  <c r="H147" i="9"/>
  <c r="Y146" i="9"/>
  <c r="R146" i="9"/>
  <c r="Q146" i="9"/>
  <c r="P146" i="9"/>
  <c r="N146" i="9"/>
  <c r="I146" i="9"/>
  <c r="H146" i="9"/>
  <c r="X145" i="9"/>
  <c r="R145" i="9"/>
  <c r="Q145" i="9"/>
  <c r="P145" i="9"/>
  <c r="N145" i="9"/>
  <c r="I145" i="9"/>
  <c r="V145" i="9" s="1"/>
  <c r="H145" i="9"/>
  <c r="X144" i="9"/>
  <c r="R144" i="9"/>
  <c r="Q144" i="9"/>
  <c r="P144" i="9"/>
  <c r="N144" i="9"/>
  <c r="I144" i="9"/>
  <c r="H144" i="9"/>
  <c r="Y143" i="9"/>
  <c r="R143" i="9"/>
  <c r="Q143" i="9"/>
  <c r="P143" i="9"/>
  <c r="K143" i="9"/>
  <c r="O143" i="9" s="1"/>
  <c r="I143" i="9"/>
  <c r="X143" i="9" s="1"/>
  <c r="H143" i="9"/>
  <c r="X142" i="9"/>
  <c r="R142" i="9"/>
  <c r="Q142" i="9"/>
  <c r="P142" i="9"/>
  <c r="I142" i="9"/>
  <c r="H142" i="9"/>
  <c r="X141" i="9"/>
  <c r="R141" i="9"/>
  <c r="Q141" i="9"/>
  <c r="P141" i="9"/>
  <c r="N141" i="9"/>
  <c r="K141" i="9"/>
  <c r="I141" i="9"/>
  <c r="V141" i="9" s="1"/>
  <c r="H141" i="9"/>
  <c r="R140" i="9"/>
  <c r="Q140" i="9"/>
  <c r="P140" i="9"/>
  <c r="N140" i="9"/>
  <c r="I140" i="9"/>
  <c r="H140" i="9"/>
  <c r="Y139" i="9"/>
  <c r="R139" i="9"/>
  <c r="Q139" i="9"/>
  <c r="P139" i="9"/>
  <c r="I139" i="9"/>
  <c r="X139" i="9" s="1"/>
  <c r="H139" i="9"/>
  <c r="R138" i="9"/>
  <c r="Q138" i="9"/>
  <c r="P138" i="9"/>
  <c r="N138" i="9"/>
  <c r="I138" i="9"/>
  <c r="H138" i="9"/>
  <c r="X137" i="9"/>
  <c r="R137" i="9"/>
  <c r="Q137" i="9"/>
  <c r="P137" i="9"/>
  <c r="N137" i="9"/>
  <c r="I137" i="9"/>
  <c r="V137" i="9" s="1"/>
  <c r="H137" i="9"/>
  <c r="Y136" i="9"/>
  <c r="R136" i="9"/>
  <c r="Q136" i="9"/>
  <c r="P136" i="9"/>
  <c r="N136" i="9"/>
  <c r="L136" i="9"/>
  <c r="I136" i="9"/>
  <c r="K136" i="9" s="1"/>
  <c r="H136" i="9"/>
  <c r="X135" i="9"/>
  <c r="R135" i="9"/>
  <c r="Q135" i="9"/>
  <c r="P135" i="9"/>
  <c r="I135" i="9"/>
  <c r="V135" i="9" s="1"/>
  <c r="H135" i="9"/>
  <c r="X134" i="9"/>
  <c r="R134" i="9"/>
  <c r="Q134" i="9"/>
  <c r="P134" i="9"/>
  <c r="N134" i="9"/>
  <c r="I134" i="9"/>
  <c r="H134" i="9"/>
  <c r="R133" i="9"/>
  <c r="Q133" i="9"/>
  <c r="P133" i="9"/>
  <c r="K133" i="9"/>
  <c r="I133" i="9"/>
  <c r="X133" i="9" s="1"/>
  <c r="H133" i="9"/>
  <c r="Y132" i="9"/>
  <c r="R132" i="9"/>
  <c r="Q132" i="9"/>
  <c r="P132" i="9"/>
  <c r="N132" i="9"/>
  <c r="I132" i="9"/>
  <c r="K132" i="9" s="1"/>
  <c r="H132" i="9"/>
  <c r="R131" i="9"/>
  <c r="Q131" i="9"/>
  <c r="P131" i="9"/>
  <c r="K131" i="9"/>
  <c r="N131" i="9" s="1"/>
  <c r="I131" i="9"/>
  <c r="X131" i="9" s="1"/>
  <c r="H131" i="9"/>
  <c r="R130" i="9"/>
  <c r="Q130" i="9"/>
  <c r="P130" i="9"/>
  <c r="N130" i="9"/>
  <c r="L130" i="9"/>
  <c r="I130" i="9"/>
  <c r="K130" i="9" s="1"/>
  <c r="H130" i="9"/>
  <c r="R129" i="9"/>
  <c r="Q129" i="9"/>
  <c r="P129" i="9"/>
  <c r="N129" i="9"/>
  <c r="I129" i="9"/>
  <c r="X129" i="9" s="1"/>
  <c r="H129" i="9"/>
  <c r="R128" i="9"/>
  <c r="Q128" i="9"/>
  <c r="P128" i="9"/>
  <c r="N128" i="9"/>
  <c r="I128" i="9"/>
  <c r="H128" i="9"/>
  <c r="R127" i="9"/>
  <c r="Q127" i="9"/>
  <c r="P127" i="9"/>
  <c r="N127" i="9"/>
  <c r="K127" i="9"/>
  <c r="O127" i="9" s="1"/>
  <c r="I127" i="9"/>
  <c r="X127" i="9" s="1"/>
  <c r="H127" i="9"/>
  <c r="Y126" i="9"/>
  <c r="R126" i="9"/>
  <c r="Q126" i="9"/>
  <c r="P126" i="9"/>
  <c r="N126" i="9"/>
  <c r="I126" i="9"/>
  <c r="H126" i="9"/>
  <c r="R125" i="9"/>
  <c r="Q125" i="9"/>
  <c r="P125" i="9"/>
  <c r="N125" i="9"/>
  <c r="K125" i="9"/>
  <c r="O125" i="9" s="1"/>
  <c r="I125" i="9"/>
  <c r="X125" i="9" s="1"/>
  <c r="H125" i="9"/>
  <c r="R124" i="9"/>
  <c r="Q124" i="9"/>
  <c r="P124" i="9"/>
  <c r="I124" i="9"/>
  <c r="K124" i="9" s="1"/>
  <c r="H124" i="9"/>
  <c r="R123" i="9"/>
  <c r="Q123" i="9"/>
  <c r="P123" i="9"/>
  <c r="N123" i="9"/>
  <c r="K123" i="9"/>
  <c r="I123" i="9"/>
  <c r="X123" i="9" s="1"/>
  <c r="H123" i="9"/>
  <c r="Y122" i="9"/>
  <c r="R122" i="9"/>
  <c r="Q122" i="9"/>
  <c r="P122" i="9"/>
  <c r="N122" i="9"/>
  <c r="I122" i="9"/>
  <c r="K122" i="9" s="1"/>
  <c r="H122" i="9"/>
  <c r="X121" i="9"/>
  <c r="R121" i="9"/>
  <c r="Q121" i="9"/>
  <c r="P121" i="9"/>
  <c r="N121" i="9"/>
  <c r="I121" i="9"/>
  <c r="V121" i="9" s="1"/>
  <c r="H121" i="9"/>
  <c r="Y120" i="9"/>
  <c r="R120" i="9"/>
  <c r="Q120" i="9"/>
  <c r="P120" i="9"/>
  <c r="I120" i="9"/>
  <c r="H120" i="9"/>
  <c r="Y119" i="9"/>
  <c r="R119" i="9"/>
  <c r="Q119" i="9"/>
  <c r="P119" i="9"/>
  <c r="I119" i="9"/>
  <c r="K119" i="9" s="1"/>
  <c r="H119" i="9"/>
  <c r="Y118" i="9"/>
  <c r="R118" i="9"/>
  <c r="Q118" i="9"/>
  <c r="P118" i="9"/>
  <c r="N118" i="9"/>
  <c r="I118" i="9"/>
  <c r="K118" i="9" s="1"/>
  <c r="H118" i="9"/>
  <c r="R117" i="9"/>
  <c r="Q117" i="9"/>
  <c r="P117" i="9"/>
  <c r="N117" i="9"/>
  <c r="I117" i="9"/>
  <c r="H117" i="9"/>
  <c r="X116" i="9"/>
  <c r="R116" i="9"/>
  <c r="Q116" i="9"/>
  <c r="P116" i="9"/>
  <c r="I116" i="9"/>
  <c r="H116" i="9"/>
  <c r="R115" i="9"/>
  <c r="Q115" i="9"/>
  <c r="P115" i="9"/>
  <c r="K115" i="9"/>
  <c r="I115" i="9"/>
  <c r="X115" i="9" s="1"/>
  <c r="H115" i="9"/>
  <c r="Y114" i="9"/>
  <c r="R114" i="9"/>
  <c r="Q114" i="9"/>
  <c r="P114" i="9"/>
  <c r="N114" i="9"/>
  <c r="I114" i="9"/>
  <c r="K114" i="9" s="1"/>
  <c r="H114" i="9"/>
  <c r="X113" i="9"/>
  <c r="R113" i="9"/>
  <c r="Q113" i="9"/>
  <c r="P113" i="9"/>
  <c r="N113" i="9"/>
  <c r="I113" i="9"/>
  <c r="H113" i="9"/>
  <c r="R112" i="9"/>
  <c r="Q112" i="9"/>
  <c r="P112" i="9"/>
  <c r="I112" i="9"/>
  <c r="K112" i="9" s="1"/>
  <c r="H112" i="9"/>
  <c r="R111" i="9"/>
  <c r="Q111" i="9"/>
  <c r="P111" i="9"/>
  <c r="N111" i="9"/>
  <c r="I111" i="9"/>
  <c r="H111" i="9"/>
  <c r="X110" i="9"/>
  <c r="R110" i="9"/>
  <c r="Q110" i="9"/>
  <c r="P110" i="9"/>
  <c r="N110" i="9"/>
  <c r="L110" i="9"/>
  <c r="I110" i="9"/>
  <c r="K110" i="9" s="1"/>
  <c r="H110" i="9"/>
  <c r="R109" i="9"/>
  <c r="Q109" i="9"/>
  <c r="P109" i="9"/>
  <c r="I109" i="9"/>
  <c r="H109" i="9"/>
  <c r="X108" i="9"/>
  <c r="R108" i="9"/>
  <c r="Q108" i="9"/>
  <c r="P108" i="9"/>
  <c r="I108" i="9"/>
  <c r="H108" i="9"/>
  <c r="X107" i="9"/>
  <c r="R107" i="9"/>
  <c r="Q107" i="9"/>
  <c r="P107" i="9"/>
  <c r="K107" i="9"/>
  <c r="N107" i="9" s="1"/>
  <c r="I107" i="9"/>
  <c r="V107" i="9" s="1"/>
  <c r="H107" i="9"/>
  <c r="Y106" i="9"/>
  <c r="V106" i="9"/>
  <c r="R106" i="9"/>
  <c r="Q106" i="9"/>
  <c r="P106" i="9"/>
  <c r="L106" i="9"/>
  <c r="I106" i="9"/>
  <c r="K106" i="9" s="1"/>
  <c r="H106" i="9"/>
  <c r="R105" i="9"/>
  <c r="Q105" i="9"/>
  <c r="P105" i="9"/>
  <c r="N105" i="9"/>
  <c r="I105" i="9"/>
  <c r="H105" i="9"/>
  <c r="R104" i="9"/>
  <c r="Q104" i="9"/>
  <c r="P104" i="9"/>
  <c r="N104" i="9"/>
  <c r="I104" i="9"/>
  <c r="K104" i="9" s="1"/>
  <c r="H104" i="9"/>
  <c r="X103" i="9"/>
  <c r="R103" i="9"/>
  <c r="Q103" i="9"/>
  <c r="P103" i="9"/>
  <c r="N103" i="9"/>
  <c r="I103" i="9"/>
  <c r="H103" i="9"/>
  <c r="R102" i="9"/>
  <c r="Q102" i="9"/>
  <c r="P102" i="9"/>
  <c r="I102" i="9"/>
  <c r="K102" i="9" s="1"/>
  <c r="H102" i="9"/>
  <c r="X101" i="9"/>
  <c r="R101" i="9"/>
  <c r="Q101" i="9"/>
  <c r="P101" i="9"/>
  <c r="N101" i="9"/>
  <c r="K101" i="9"/>
  <c r="I101" i="9"/>
  <c r="V101" i="9" s="1"/>
  <c r="H101" i="9"/>
  <c r="R100" i="9"/>
  <c r="Q100" i="9"/>
  <c r="P100" i="9"/>
  <c r="N100" i="9"/>
  <c r="I100" i="9"/>
  <c r="K100" i="9" s="1"/>
  <c r="H100" i="9"/>
  <c r="X99" i="9"/>
  <c r="R99" i="9"/>
  <c r="Q99" i="9"/>
  <c r="P99" i="9"/>
  <c r="K99" i="9"/>
  <c r="I99" i="9"/>
  <c r="V99" i="9" s="1"/>
  <c r="H99" i="9"/>
  <c r="Y98" i="9"/>
  <c r="R98" i="9"/>
  <c r="Q98" i="9"/>
  <c r="P98" i="9"/>
  <c r="I98" i="9"/>
  <c r="K98" i="9" s="1"/>
  <c r="H98" i="9"/>
  <c r="Y97" i="9"/>
  <c r="R97" i="9"/>
  <c r="Q97" i="9"/>
  <c r="P97" i="9"/>
  <c r="N97" i="9"/>
  <c r="K97" i="9"/>
  <c r="I97" i="9"/>
  <c r="X97" i="9" s="1"/>
  <c r="H97" i="9"/>
  <c r="R96" i="9"/>
  <c r="Q96" i="9"/>
  <c r="P96" i="9"/>
  <c r="I96" i="9"/>
  <c r="H96" i="9"/>
  <c r="R95" i="9"/>
  <c r="Q95" i="9"/>
  <c r="P95" i="9"/>
  <c r="N95" i="9"/>
  <c r="K95" i="9"/>
  <c r="I95" i="9"/>
  <c r="X95" i="9" s="1"/>
  <c r="H95" i="9"/>
  <c r="X94" i="9"/>
  <c r="R94" i="9"/>
  <c r="Q94" i="9"/>
  <c r="P94" i="9"/>
  <c r="I94" i="9"/>
  <c r="K94" i="9" s="1"/>
  <c r="H94" i="9"/>
  <c r="X93" i="9"/>
  <c r="R93" i="9"/>
  <c r="Q93" i="9"/>
  <c r="P93" i="9"/>
  <c r="N93" i="9"/>
  <c r="K93" i="9"/>
  <c r="I93" i="9"/>
  <c r="V93" i="9" s="1"/>
  <c r="H93" i="9"/>
  <c r="Y92" i="9"/>
  <c r="V92" i="9"/>
  <c r="R92" i="9"/>
  <c r="Q92" i="9"/>
  <c r="P92" i="9"/>
  <c r="N92" i="9"/>
  <c r="I92" i="9"/>
  <c r="H92" i="9"/>
  <c r="R91" i="9"/>
  <c r="Q91" i="9"/>
  <c r="P91" i="9"/>
  <c r="N91" i="9"/>
  <c r="K91" i="9"/>
  <c r="I91" i="9"/>
  <c r="X91" i="9" s="1"/>
  <c r="H91" i="9"/>
  <c r="Y90" i="9"/>
  <c r="V90" i="9"/>
  <c r="R90" i="9"/>
  <c r="Q90" i="9"/>
  <c r="P90" i="9"/>
  <c r="L90" i="9"/>
  <c r="I90" i="9"/>
  <c r="K90" i="9" s="1"/>
  <c r="H90" i="9"/>
  <c r="R89" i="9"/>
  <c r="Q89" i="9"/>
  <c r="P89" i="9"/>
  <c r="N89" i="9"/>
  <c r="I89" i="9"/>
  <c r="H89" i="9"/>
  <c r="R88" i="9"/>
  <c r="Q88" i="9"/>
  <c r="P88" i="9"/>
  <c r="I88" i="9"/>
  <c r="K88" i="9" s="1"/>
  <c r="H88" i="9"/>
  <c r="Y87" i="9"/>
  <c r="R87" i="9"/>
  <c r="Q87" i="9"/>
  <c r="P87" i="9"/>
  <c r="I87" i="9"/>
  <c r="H87" i="9"/>
  <c r="Y86" i="9"/>
  <c r="R86" i="9"/>
  <c r="Q86" i="9"/>
  <c r="P86" i="9"/>
  <c r="N86" i="9"/>
  <c r="L86" i="9"/>
  <c r="I86" i="9"/>
  <c r="K86" i="9" s="1"/>
  <c r="H86" i="9"/>
  <c r="Y85" i="9"/>
  <c r="R85" i="9"/>
  <c r="Q85" i="9"/>
  <c r="P85" i="9"/>
  <c r="N85" i="9"/>
  <c r="K85" i="9"/>
  <c r="I85" i="9"/>
  <c r="X85" i="9" s="1"/>
  <c r="H85" i="9"/>
  <c r="Y84" i="9"/>
  <c r="V84" i="9"/>
  <c r="R84" i="9"/>
  <c r="Q84" i="9"/>
  <c r="P84" i="9"/>
  <c r="L84" i="9"/>
  <c r="I84" i="9"/>
  <c r="K84" i="9" s="1"/>
  <c r="H84" i="9"/>
  <c r="R83" i="9"/>
  <c r="Q83" i="9"/>
  <c r="P83" i="9"/>
  <c r="N83" i="9"/>
  <c r="I83" i="9"/>
  <c r="H83" i="9"/>
  <c r="Y82" i="9"/>
  <c r="R82" i="9"/>
  <c r="Q82" i="9"/>
  <c r="P82" i="9"/>
  <c r="I82" i="9"/>
  <c r="H82" i="9"/>
  <c r="R81" i="9"/>
  <c r="Q81" i="9"/>
  <c r="P81" i="9"/>
  <c r="N81" i="9"/>
  <c r="K81" i="9"/>
  <c r="I81" i="9"/>
  <c r="X81" i="9" s="1"/>
  <c r="H81" i="9"/>
  <c r="Y80" i="9"/>
  <c r="V80" i="9"/>
  <c r="R80" i="9"/>
  <c r="Q80" i="9"/>
  <c r="P80" i="9"/>
  <c r="L80" i="9"/>
  <c r="I80" i="9"/>
  <c r="K80" i="9" s="1"/>
  <c r="H80" i="9"/>
  <c r="Y79" i="9"/>
  <c r="R79" i="9"/>
  <c r="Q79" i="9"/>
  <c r="P79" i="9"/>
  <c r="N79" i="9"/>
  <c r="K79" i="9"/>
  <c r="I79" i="9"/>
  <c r="X79" i="9" s="1"/>
  <c r="H79" i="9"/>
  <c r="Y78" i="9"/>
  <c r="R78" i="9"/>
  <c r="Q78" i="9"/>
  <c r="P78" i="9"/>
  <c r="N78" i="9"/>
  <c r="I78" i="9"/>
  <c r="H78" i="9"/>
  <c r="R77" i="9"/>
  <c r="Q77" i="9"/>
  <c r="P77" i="9"/>
  <c r="K77" i="9"/>
  <c r="I77" i="9"/>
  <c r="X77" i="9" s="1"/>
  <c r="H77" i="9"/>
  <c r="X76" i="9"/>
  <c r="V76" i="9"/>
  <c r="R76" i="9"/>
  <c r="Q76" i="9"/>
  <c r="P76" i="9"/>
  <c r="L76" i="9"/>
  <c r="I76" i="9"/>
  <c r="K76" i="9" s="1"/>
  <c r="H76" i="9"/>
  <c r="R75" i="9"/>
  <c r="Q75" i="9"/>
  <c r="P75" i="9"/>
  <c r="N75" i="9"/>
  <c r="I75" i="9"/>
  <c r="H75" i="9"/>
  <c r="Y74" i="9"/>
  <c r="R74" i="9"/>
  <c r="Q74" i="9"/>
  <c r="P74" i="9"/>
  <c r="N74" i="9"/>
  <c r="L74" i="9"/>
  <c r="I74" i="9"/>
  <c r="K74" i="9" s="1"/>
  <c r="H74" i="9"/>
  <c r="X73" i="9"/>
  <c r="R73" i="9"/>
  <c r="Q73" i="9"/>
  <c r="P73" i="9"/>
  <c r="N73" i="9"/>
  <c r="K73" i="9"/>
  <c r="I73" i="9"/>
  <c r="V73" i="9" s="1"/>
  <c r="H73" i="9"/>
  <c r="R72" i="9"/>
  <c r="Q72" i="9"/>
  <c r="P72" i="9"/>
  <c r="N72" i="9"/>
  <c r="L72" i="9"/>
  <c r="I72" i="9"/>
  <c r="K72" i="9" s="1"/>
  <c r="H72" i="9"/>
  <c r="R71" i="9"/>
  <c r="Q71" i="9"/>
  <c r="P71" i="9"/>
  <c r="I71" i="9"/>
  <c r="H71" i="9"/>
  <c r="Y70" i="9"/>
  <c r="R70" i="9"/>
  <c r="Q70" i="9"/>
  <c r="P70" i="9"/>
  <c r="I70" i="9"/>
  <c r="K70" i="9" s="1"/>
  <c r="H70" i="9"/>
  <c r="R69" i="9"/>
  <c r="Q69" i="9"/>
  <c r="P69" i="9"/>
  <c r="N69" i="9"/>
  <c r="K69" i="9"/>
  <c r="I69" i="9"/>
  <c r="X69" i="9" s="1"/>
  <c r="H69" i="9"/>
  <c r="R68" i="9"/>
  <c r="Q68" i="9"/>
  <c r="P68" i="9"/>
  <c r="N68" i="9"/>
  <c r="L68" i="9"/>
  <c r="I68" i="9"/>
  <c r="K68" i="9" s="1"/>
  <c r="H68" i="9"/>
  <c r="Y67" i="9"/>
  <c r="X67" i="9"/>
  <c r="R67" i="9"/>
  <c r="Q67" i="9"/>
  <c r="P67" i="9"/>
  <c r="K67" i="9"/>
  <c r="N67" i="9" s="1"/>
  <c r="I67" i="9"/>
  <c r="V67" i="9" s="1"/>
  <c r="H67" i="9"/>
  <c r="R66" i="9"/>
  <c r="Q66" i="9"/>
  <c r="P66" i="9"/>
  <c r="I66" i="9"/>
  <c r="K66" i="9" s="1"/>
  <c r="H66" i="9"/>
  <c r="R65" i="9"/>
  <c r="Q65" i="9"/>
  <c r="P65" i="9"/>
  <c r="N65" i="9"/>
  <c r="K65" i="9"/>
  <c r="I65" i="9"/>
  <c r="X65" i="9" s="1"/>
  <c r="H65" i="9"/>
  <c r="R64" i="9"/>
  <c r="Q64" i="9"/>
  <c r="P64" i="9"/>
  <c r="N64" i="9"/>
  <c r="L64" i="9"/>
  <c r="I64" i="9"/>
  <c r="K64" i="9" s="1"/>
  <c r="H64" i="9"/>
  <c r="Y63" i="9"/>
  <c r="R63" i="9"/>
  <c r="Q63" i="9"/>
  <c r="P63" i="9"/>
  <c r="K63" i="9"/>
  <c r="N63" i="9" s="1"/>
  <c r="I63" i="9"/>
  <c r="X63" i="9" s="1"/>
  <c r="H63" i="9"/>
  <c r="X62" i="9"/>
  <c r="V62" i="9"/>
  <c r="R62" i="9"/>
  <c r="Q62" i="9"/>
  <c r="P62" i="9"/>
  <c r="L62" i="9"/>
  <c r="I62" i="9"/>
  <c r="K62" i="9" s="1"/>
  <c r="H62" i="9"/>
  <c r="R61" i="9"/>
  <c r="Q61" i="9"/>
  <c r="P61" i="9"/>
  <c r="N61" i="9"/>
  <c r="I61" i="9"/>
  <c r="X61" i="9" s="1"/>
  <c r="H61" i="9"/>
  <c r="R60" i="9"/>
  <c r="Q60" i="9"/>
  <c r="P60" i="9"/>
  <c r="N60" i="9"/>
  <c r="I60" i="9"/>
  <c r="K60" i="9" s="1"/>
  <c r="H60" i="9"/>
  <c r="R59" i="9"/>
  <c r="Q59" i="9"/>
  <c r="P59" i="9"/>
  <c r="I59" i="9"/>
  <c r="X59" i="9" s="1"/>
  <c r="H59" i="9"/>
  <c r="R58" i="9"/>
  <c r="Q58" i="9"/>
  <c r="P58" i="9"/>
  <c r="I58" i="9"/>
  <c r="K58" i="9" s="1"/>
  <c r="H58" i="9"/>
  <c r="R57" i="9"/>
  <c r="Q57" i="9"/>
  <c r="P57" i="9"/>
  <c r="N57" i="9"/>
  <c r="I57" i="9"/>
  <c r="X57" i="9" s="1"/>
  <c r="H57" i="9"/>
  <c r="R56" i="9"/>
  <c r="Q56" i="9"/>
  <c r="P56" i="9"/>
  <c r="N56" i="9"/>
  <c r="I56" i="9"/>
  <c r="K56" i="9" s="1"/>
  <c r="H56" i="9"/>
  <c r="R55" i="9"/>
  <c r="Q55" i="9"/>
  <c r="P55" i="9"/>
  <c r="K55" i="9"/>
  <c r="N55" i="9" s="1"/>
  <c r="I55" i="9"/>
  <c r="X55" i="9" s="1"/>
  <c r="H55" i="9"/>
  <c r="Y54" i="9"/>
  <c r="R54" i="9"/>
  <c r="Q54" i="9"/>
  <c r="P54" i="9"/>
  <c r="I54" i="9"/>
  <c r="K54" i="9" s="1"/>
  <c r="H54" i="9"/>
  <c r="R53" i="9"/>
  <c r="Q53" i="9"/>
  <c r="P53" i="9"/>
  <c r="N53" i="9"/>
  <c r="I53" i="9"/>
  <c r="X53" i="9" s="1"/>
  <c r="H53" i="9"/>
  <c r="X52" i="9"/>
  <c r="R52" i="9"/>
  <c r="Q52" i="9"/>
  <c r="P52" i="9"/>
  <c r="N52" i="9"/>
  <c r="L52" i="9"/>
  <c r="I52" i="9"/>
  <c r="K52" i="9" s="1"/>
  <c r="H52" i="9"/>
  <c r="R51" i="9"/>
  <c r="Q51" i="9"/>
  <c r="P51" i="9"/>
  <c r="I51" i="9"/>
  <c r="X51" i="9" s="1"/>
  <c r="H51" i="9"/>
  <c r="V50" i="9"/>
  <c r="R50" i="9"/>
  <c r="Q50" i="9"/>
  <c r="P50" i="9"/>
  <c r="L50" i="9"/>
  <c r="I50" i="9"/>
  <c r="K50" i="9" s="1"/>
  <c r="H50" i="9"/>
  <c r="R49" i="9"/>
  <c r="Q49" i="9"/>
  <c r="P49" i="9"/>
  <c r="N49" i="9"/>
  <c r="I49" i="9"/>
  <c r="X49" i="9" s="1"/>
  <c r="H49" i="9"/>
  <c r="X48" i="9"/>
  <c r="R48" i="9"/>
  <c r="Q48" i="9"/>
  <c r="P48" i="9"/>
  <c r="N48" i="9"/>
  <c r="I48" i="9"/>
  <c r="K48" i="9" s="1"/>
  <c r="H48" i="9"/>
  <c r="R47" i="9"/>
  <c r="Q47" i="9"/>
  <c r="P47" i="9"/>
  <c r="K47" i="9"/>
  <c r="N47" i="9" s="1"/>
  <c r="I47" i="9"/>
  <c r="X47" i="9" s="1"/>
  <c r="H47" i="9"/>
  <c r="Y46" i="9"/>
  <c r="R46" i="9"/>
  <c r="Q46" i="9"/>
  <c r="P46" i="9"/>
  <c r="N46" i="9"/>
  <c r="I46" i="9"/>
  <c r="K46" i="9" s="1"/>
  <c r="H46" i="9"/>
  <c r="X45" i="9"/>
  <c r="R45" i="9"/>
  <c r="Q45" i="9"/>
  <c r="P45" i="9"/>
  <c r="K45" i="9"/>
  <c r="N45" i="9" s="1"/>
  <c r="I45" i="9"/>
  <c r="V45" i="9" s="1"/>
  <c r="H45" i="9"/>
  <c r="X44" i="9"/>
  <c r="R44" i="9"/>
  <c r="Q44" i="9"/>
  <c r="P44" i="9"/>
  <c r="I44" i="9"/>
  <c r="K44" i="9" s="1"/>
  <c r="H44" i="9"/>
  <c r="Q43" i="9"/>
  <c r="P43" i="9"/>
  <c r="N43" i="9"/>
  <c r="K43" i="9"/>
  <c r="O43" i="9" s="1"/>
  <c r="I43" i="9"/>
  <c r="X43" i="9" s="1"/>
  <c r="H43" i="9"/>
  <c r="R42" i="9"/>
  <c r="Q42" i="9"/>
  <c r="P42" i="9"/>
  <c r="I42" i="9"/>
  <c r="K42" i="9" s="1"/>
  <c r="H42" i="9"/>
  <c r="R41" i="9"/>
  <c r="Q41" i="9"/>
  <c r="P41" i="9"/>
  <c r="I41" i="9"/>
  <c r="X41" i="9" s="1"/>
  <c r="H41" i="9"/>
  <c r="R40" i="9"/>
  <c r="Q40" i="9"/>
  <c r="P40" i="9"/>
  <c r="N40" i="9"/>
  <c r="I40" i="9"/>
  <c r="K40" i="9" s="1"/>
  <c r="H40" i="9"/>
  <c r="Y39" i="9"/>
  <c r="R39" i="9"/>
  <c r="Q39" i="9"/>
  <c r="P39" i="9"/>
  <c r="N39" i="9"/>
  <c r="I39" i="9"/>
  <c r="K39" i="9" s="1"/>
  <c r="H39" i="9"/>
  <c r="R38" i="9"/>
  <c r="Q38" i="9"/>
  <c r="P38" i="9"/>
  <c r="K38" i="9"/>
  <c r="N38" i="9" s="1"/>
  <c r="I38" i="9"/>
  <c r="X38" i="9" s="1"/>
  <c r="H38" i="9"/>
  <c r="X37" i="9"/>
  <c r="R37" i="9"/>
  <c r="Q37" i="9"/>
  <c r="P37" i="9"/>
  <c r="N37" i="9"/>
  <c r="I37" i="9"/>
  <c r="K37" i="9" s="1"/>
  <c r="H37" i="9"/>
  <c r="R36" i="9"/>
  <c r="Q36" i="9"/>
  <c r="P36" i="9"/>
  <c r="N36" i="9"/>
  <c r="K36" i="9"/>
  <c r="I36" i="9"/>
  <c r="X36" i="9" s="1"/>
  <c r="H36" i="9"/>
  <c r="R35" i="9"/>
  <c r="Q35" i="9"/>
  <c r="P35" i="9"/>
  <c r="N35" i="9"/>
  <c r="I35" i="9"/>
  <c r="K35" i="9" s="1"/>
  <c r="H35" i="9"/>
  <c r="X34" i="9"/>
  <c r="R34" i="9"/>
  <c r="Q34" i="9"/>
  <c r="P34" i="9"/>
  <c r="N34" i="9"/>
  <c r="K34" i="9"/>
  <c r="I34" i="9"/>
  <c r="V34" i="9" s="1"/>
  <c r="H34" i="9"/>
  <c r="Y33" i="9"/>
  <c r="R33" i="9"/>
  <c r="Q33" i="9"/>
  <c r="P33" i="9"/>
  <c r="I33" i="9"/>
  <c r="K33" i="9" s="1"/>
  <c r="H33" i="9"/>
  <c r="R32" i="9"/>
  <c r="Q32" i="9"/>
  <c r="P32" i="9"/>
  <c r="N32" i="9"/>
  <c r="I32" i="9"/>
  <c r="X32" i="9" s="1"/>
  <c r="H32" i="9"/>
  <c r="Y31" i="9"/>
  <c r="R31" i="9"/>
  <c r="Q31" i="9"/>
  <c r="P31" i="9"/>
  <c r="N31" i="9"/>
  <c r="I31" i="9"/>
  <c r="K31" i="9" s="1"/>
  <c r="H31" i="9"/>
  <c r="X30" i="9"/>
  <c r="R30" i="9"/>
  <c r="Q30" i="9"/>
  <c r="P30" i="9"/>
  <c r="I30" i="9"/>
  <c r="V30" i="9" s="1"/>
  <c r="H30" i="9"/>
  <c r="Y29" i="9"/>
  <c r="R29" i="9"/>
  <c r="Q29" i="9"/>
  <c r="P29" i="9"/>
  <c r="N29" i="9"/>
  <c r="I29" i="9"/>
  <c r="K29" i="9" s="1"/>
  <c r="H29" i="9"/>
  <c r="R28" i="9"/>
  <c r="Q28" i="9"/>
  <c r="P28" i="9"/>
  <c r="N28" i="9"/>
  <c r="I28" i="9"/>
  <c r="X28" i="9" s="1"/>
  <c r="H28" i="9"/>
  <c r="Y27" i="9"/>
  <c r="R27" i="9"/>
  <c r="Q27" i="9"/>
  <c r="P27" i="9"/>
  <c r="N27" i="9"/>
  <c r="I27" i="9"/>
  <c r="K27" i="9" s="1"/>
  <c r="H27" i="9"/>
  <c r="R26" i="9"/>
  <c r="Q26" i="9"/>
  <c r="P26" i="9"/>
  <c r="K26" i="9"/>
  <c r="N26" i="9" s="1"/>
  <c r="I26" i="9"/>
  <c r="X26" i="9" s="1"/>
  <c r="H26" i="9"/>
  <c r="Y25" i="9"/>
  <c r="R25" i="9"/>
  <c r="Q25" i="9"/>
  <c r="P25" i="9"/>
  <c r="I25" i="9"/>
  <c r="K25" i="9" s="1"/>
  <c r="H25" i="9"/>
  <c r="Y24" i="9"/>
  <c r="R24" i="9"/>
  <c r="Q24" i="9"/>
  <c r="P24" i="9"/>
  <c r="N24" i="9"/>
  <c r="K24" i="9"/>
  <c r="I24" i="9"/>
  <c r="X24" i="9" s="1"/>
  <c r="H24" i="9"/>
  <c r="Y23" i="9"/>
  <c r="R23" i="9"/>
  <c r="Q23" i="9"/>
  <c r="P23" i="9"/>
  <c r="N23" i="9"/>
  <c r="I23" i="9"/>
  <c r="K23" i="9" s="1"/>
  <c r="H23" i="9"/>
  <c r="X22" i="9"/>
  <c r="R22" i="9"/>
  <c r="Q22" i="9"/>
  <c r="P22" i="9"/>
  <c r="K22" i="9"/>
  <c r="N22" i="9" s="1"/>
  <c r="I22" i="9"/>
  <c r="V22" i="9" s="1"/>
  <c r="H22" i="9"/>
  <c r="X21" i="9"/>
  <c r="R21" i="9"/>
  <c r="Q21" i="9"/>
  <c r="P21" i="9"/>
  <c r="N21" i="9"/>
  <c r="I21" i="9"/>
  <c r="K21" i="9" s="1"/>
  <c r="H21" i="9"/>
  <c r="R20" i="9"/>
  <c r="Q20" i="9"/>
  <c r="P20" i="9"/>
  <c r="I20" i="9"/>
  <c r="X20" i="9" s="1"/>
  <c r="H20" i="9"/>
  <c r="R19" i="9"/>
  <c r="Q19" i="9"/>
  <c r="P19" i="9"/>
  <c r="N19" i="9"/>
  <c r="I19" i="9"/>
  <c r="K19" i="9" s="1"/>
  <c r="H19" i="9"/>
  <c r="X18" i="9"/>
  <c r="Q18" i="9"/>
  <c r="P18" i="9"/>
  <c r="N18" i="9"/>
  <c r="K18" i="9"/>
  <c r="I18" i="9"/>
  <c r="V18" i="9" s="1"/>
  <c r="H18" i="9"/>
  <c r="Y17" i="9"/>
  <c r="R17" i="9"/>
  <c r="Q17" i="9"/>
  <c r="P17" i="9"/>
  <c r="N17" i="9"/>
  <c r="I17" i="9"/>
  <c r="K17" i="9" s="1"/>
  <c r="H17" i="9"/>
  <c r="Y16" i="9"/>
  <c r="R16" i="9"/>
  <c r="Q16" i="9"/>
  <c r="P16" i="9"/>
  <c r="K16" i="9"/>
  <c r="N16" i="9" s="1"/>
  <c r="I16" i="9"/>
  <c r="X16" i="9" s="1"/>
  <c r="H16" i="9"/>
  <c r="R15" i="9"/>
  <c r="Q15" i="9"/>
  <c r="P15" i="9"/>
  <c r="I15" i="9"/>
  <c r="H15" i="9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3" i="4"/>
  <c r="J175" i="4"/>
  <c r="J174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3" i="4"/>
  <c r="C2" i="7"/>
  <c r="I191" i="5"/>
  <c r="I190" i="5"/>
  <c r="I189" i="5"/>
  <c r="I188" i="5"/>
  <c r="I187" i="5"/>
  <c r="X16" i="5"/>
  <c r="X17" i="5"/>
  <c r="X23" i="5"/>
  <c r="X24" i="5"/>
  <c r="X25" i="5"/>
  <c r="X27" i="5"/>
  <c r="X29" i="5"/>
  <c r="X31" i="5"/>
  <c r="X33" i="5"/>
  <c r="X39" i="5"/>
  <c r="X46" i="5"/>
  <c r="X54" i="5"/>
  <c r="X63" i="5"/>
  <c r="X67" i="5"/>
  <c r="X70" i="5"/>
  <c r="X74" i="5"/>
  <c r="X78" i="5"/>
  <c r="X79" i="5"/>
  <c r="X80" i="5"/>
  <c r="X82" i="5"/>
  <c r="X84" i="5"/>
  <c r="X85" i="5"/>
  <c r="X86" i="5"/>
  <c r="X87" i="5"/>
  <c r="X90" i="5"/>
  <c r="X92" i="5"/>
  <c r="X97" i="5"/>
  <c r="X98" i="5"/>
  <c r="X106" i="5"/>
  <c r="X114" i="5"/>
  <c r="X118" i="5"/>
  <c r="X119" i="5"/>
  <c r="X120" i="5"/>
  <c r="X122" i="5"/>
  <c r="X126" i="5"/>
  <c r="X132" i="5"/>
  <c r="X136" i="5"/>
  <c r="X139" i="5"/>
  <c r="X143" i="5"/>
  <c r="X146" i="5"/>
  <c r="X147" i="5"/>
  <c r="X150" i="5"/>
  <c r="X151" i="5"/>
  <c r="X159" i="5"/>
  <c r="X164" i="5"/>
  <c r="X166" i="5"/>
  <c r="X171" i="5"/>
  <c r="X174" i="5"/>
  <c r="X175" i="5"/>
  <c r="X176" i="5"/>
  <c r="X178" i="5"/>
  <c r="X181" i="5"/>
  <c r="W17" i="5"/>
  <c r="W18" i="5"/>
  <c r="W19" i="5"/>
  <c r="W21" i="5"/>
  <c r="W22" i="5"/>
  <c r="W23" i="5"/>
  <c r="W25" i="5"/>
  <c r="W27" i="5"/>
  <c r="W29" i="5"/>
  <c r="W30" i="5"/>
  <c r="W31" i="5"/>
  <c r="W33" i="5"/>
  <c r="W34" i="5"/>
  <c r="W35" i="5"/>
  <c r="W37" i="5"/>
  <c r="W39" i="5"/>
  <c r="W41" i="5"/>
  <c r="W43" i="5"/>
  <c r="W44" i="5"/>
  <c r="W45" i="5"/>
  <c r="W47" i="5"/>
  <c r="W48" i="5"/>
  <c r="W49" i="5"/>
  <c r="W51" i="5"/>
  <c r="W52" i="5"/>
  <c r="W53" i="5"/>
  <c r="W55" i="5"/>
  <c r="W57" i="5"/>
  <c r="W59" i="5"/>
  <c r="W61" i="5"/>
  <c r="W62" i="5"/>
  <c r="W63" i="5"/>
  <c r="W65" i="5"/>
  <c r="W67" i="5"/>
  <c r="W69" i="5"/>
  <c r="W71" i="5"/>
  <c r="W73" i="5"/>
  <c r="W75" i="5"/>
  <c r="W76" i="5"/>
  <c r="W77" i="5"/>
  <c r="W79" i="5"/>
  <c r="W81" i="5"/>
  <c r="W83" i="5"/>
  <c r="W85" i="5"/>
  <c r="W87" i="5"/>
  <c r="W89" i="5"/>
  <c r="W91" i="5"/>
  <c r="W93" i="5"/>
  <c r="W94" i="5"/>
  <c r="W95" i="5"/>
  <c r="W97" i="5"/>
  <c r="W99" i="5"/>
  <c r="W101" i="5"/>
  <c r="W103" i="5"/>
  <c r="W105" i="5"/>
  <c r="W107" i="5"/>
  <c r="W108" i="5"/>
  <c r="W109" i="5"/>
  <c r="W110" i="5"/>
  <c r="W111" i="5"/>
  <c r="W113" i="5"/>
  <c r="W115" i="5"/>
  <c r="W116" i="5"/>
  <c r="W117" i="5"/>
  <c r="W119" i="5"/>
  <c r="W121" i="5"/>
  <c r="W123" i="5"/>
  <c r="W125" i="5"/>
  <c r="W127" i="5"/>
  <c r="W129" i="5"/>
  <c r="W131" i="5"/>
  <c r="W133" i="5"/>
  <c r="W134" i="5"/>
  <c r="W135" i="5"/>
  <c r="W137" i="5"/>
  <c r="W139" i="5"/>
  <c r="W141" i="5"/>
  <c r="W142" i="5"/>
  <c r="W143" i="5"/>
  <c r="W144" i="5"/>
  <c r="W145" i="5"/>
  <c r="W147" i="5"/>
  <c r="W149" i="5"/>
  <c r="W151" i="5"/>
  <c r="W152" i="5"/>
  <c r="W153" i="5"/>
  <c r="W154" i="5"/>
  <c r="W155" i="5"/>
  <c r="W156" i="5"/>
  <c r="W157" i="5"/>
  <c r="W159" i="5"/>
  <c r="W161" i="5"/>
  <c r="W162" i="5"/>
  <c r="W163" i="5"/>
  <c r="W165" i="5"/>
  <c r="W167" i="5"/>
  <c r="W169" i="5"/>
  <c r="W171" i="5"/>
  <c r="W173" i="5"/>
  <c r="W174" i="5"/>
  <c r="W175" i="5"/>
  <c r="W177" i="5"/>
  <c r="W179" i="5"/>
  <c r="W181" i="5"/>
  <c r="W182" i="5"/>
  <c r="W183" i="5"/>
  <c r="W184" i="5"/>
  <c r="W185" i="5"/>
  <c r="Q16" i="5"/>
  <c r="Q17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5" i="5"/>
  <c r="M17" i="5"/>
  <c r="M18" i="5"/>
  <c r="M19" i="5"/>
  <c r="M21" i="5"/>
  <c r="M23" i="5"/>
  <c r="M24" i="5"/>
  <c r="M27" i="5"/>
  <c r="M28" i="5"/>
  <c r="M29" i="5"/>
  <c r="M31" i="5"/>
  <c r="M32" i="5"/>
  <c r="M34" i="5"/>
  <c r="M35" i="5"/>
  <c r="M36" i="5"/>
  <c r="M37" i="5"/>
  <c r="M39" i="5"/>
  <c r="M40" i="5"/>
  <c r="M43" i="5"/>
  <c r="M46" i="5"/>
  <c r="M48" i="5"/>
  <c r="M49" i="5"/>
  <c r="M52" i="5"/>
  <c r="M53" i="5"/>
  <c r="M56" i="5"/>
  <c r="M57" i="5"/>
  <c r="M60" i="5"/>
  <c r="M61" i="5"/>
  <c r="M64" i="5"/>
  <c r="M65" i="5"/>
  <c r="M68" i="5"/>
  <c r="M69" i="5"/>
  <c r="M72" i="5"/>
  <c r="M73" i="5"/>
  <c r="M74" i="5"/>
  <c r="M75" i="5"/>
  <c r="M78" i="5"/>
  <c r="M79" i="5"/>
  <c r="M81" i="5"/>
  <c r="M83" i="5"/>
  <c r="M85" i="5"/>
  <c r="M86" i="5"/>
  <c r="M89" i="5"/>
  <c r="M91" i="5"/>
  <c r="M92" i="5"/>
  <c r="M93" i="5"/>
  <c r="M95" i="5"/>
  <c r="M97" i="5"/>
  <c r="M100" i="5"/>
  <c r="M101" i="5"/>
  <c r="M103" i="5"/>
  <c r="M104" i="5"/>
  <c r="M105" i="5"/>
  <c r="M110" i="5"/>
  <c r="M111" i="5"/>
  <c r="M113" i="5"/>
  <c r="M114" i="5"/>
  <c r="M117" i="5"/>
  <c r="M118" i="5"/>
  <c r="M121" i="5"/>
  <c r="M122" i="5"/>
  <c r="M123" i="5"/>
  <c r="M125" i="5"/>
  <c r="M126" i="5"/>
  <c r="M127" i="5"/>
  <c r="M128" i="5"/>
  <c r="M129" i="5"/>
  <c r="M130" i="5"/>
  <c r="M132" i="5"/>
  <c r="M134" i="5"/>
  <c r="M136" i="5"/>
  <c r="M137" i="5"/>
  <c r="M138" i="5"/>
  <c r="M140" i="5"/>
  <c r="M141" i="5"/>
  <c r="M144" i="5"/>
  <c r="M145" i="5"/>
  <c r="M146" i="5"/>
  <c r="M149" i="5"/>
  <c r="M150" i="5"/>
  <c r="M156" i="5"/>
  <c r="M157" i="5"/>
  <c r="M160" i="5"/>
  <c r="M161" i="5"/>
  <c r="M166" i="5"/>
  <c r="M170" i="5"/>
  <c r="M173" i="5"/>
  <c r="M174" i="5"/>
  <c r="M178" i="5"/>
  <c r="M181" i="5"/>
  <c r="M182" i="5"/>
  <c r="M184" i="5"/>
  <c r="M185" i="5"/>
  <c r="H16" i="5"/>
  <c r="U16" i="5" s="1"/>
  <c r="H17" i="5"/>
  <c r="H18" i="5"/>
  <c r="U18" i="5" s="1"/>
  <c r="H19" i="5"/>
  <c r="H20" i="5"/>
  <c r="U20" i="5" s="1"/>
  <c r="H21" i="5"/>
  <c r="H22" i="5"/>
  <c r="U22" i="5" s="1"/>
  <c r="H23" i="5"/>
  <c r="H24" i="5"/>
  <c r="U24" i="5" s="1"/>
  <c r="H25" i="5"/>
  <c r="H26" i="5"/>
  <c r="U26" i="5" s="1"/>
  <c r="H27" i="5"/>
  <c r="H28" i="5"/>
  <c r="U28" i="5" s="1"/>
  <c r="H29" i="5"/>
  <c r="H30" i="5"/>
  <c r="U30" i="5" s="1"/>
  <c r="H31" i="5"/>
  <c r="H32" i="5"/>
  <c r="U32" i="5" s="1"/>
  <c r="H33" i="5"/>
  <c r="H34" i="5"/>
  <c r="U34" i="5" s="1"/>
  <c r="H35" i="5"/>
  <c r="H36" i="5"/>
  <c r="U36" i="5" s="1"/>
  <c r="H37" i="5"/>
  <c r="H38" i="5"/>
  <c r="U38" i="5" s="1"/>
  <c r="H39" i="5"/>
  <c r="H40" i="5"/>
  <c r="U40" i="5" s="1"/>
  <c r="H41" i="5"/>
  <c r="H42" i="5"/>
  <c r="U42" i="5" s="1"/>
  <c r="H43" i="5"/>
  <c r="H44" i="5"/>
  <c r="U44" i="5" s="1"/>
  <c r="H45" i="5"/>
  <c r="H46" i="5"/>
  <c r="U46" i="5" s="1"/>
  <c r="H47" i="5"/>
  <c r="H48" i="5"/>
  <c r="U48" i="5" s="1"/>
  <c r="H49" i="5"/>
  <c r="H50" i="5"/>
  <c r="U50" i="5" s="1"/>
  <c r="H51" i="5"/>
  <c r="H52" i="5"/>
  <c r="U52" i="5" s="1"/>
  <c r="H53" i="5"/>
  <c r="H54" i="5"/>
  <c r="U54" i="5" s="1"/>
  <c r="H55" i="5"/>
  <c r="H56" i="5"/>
  <c r="U56" i="5" s="1"/>
  <c r="H57" i="5"/>
  <c r="H58" i="5"/>
  <c r="U58" i="5" s="1"/>
  <c r="H59" i="5"/>
  <c r="H60" i="5"/>
  <c r="U60" i="5" s="1"/>
  <c r="H61" i="5"/>
  <c r="H62" i="5"/>
  <c r="U62" i="5" s="1"/>
  <c r="H63" i="5"/>
  <c r="H64" i="5"/>
  <c r="U64" i="5" s="1"/>
  <c r="H65" i="5"/>
  <c r="H66" i="5"/>
  <c r="U66" i="5" s="1"/>
  <c r="H67" i="5"/>
  <c r="H68" i="5"/>
  <c r="U68" i="5" s="1"/>
  <c r="H69" i="5"/>
  <c r="H70" i="5"/>
  <c r="U70" i="5" s="1"/>
  <c r="H71" i="5"/>
  <c r="H72" i="5"/>
  <c r="U72" i="5" s="1"/>
  <c r="H73" i="5"/>
  <c r="H74" i="5"/>
  <c r="U74" i="5" s="1"/>
  <c r="H75" i="5"/>
  <c r="H76" i="5"/>
  <c r="U76" i="5" s="1"/>
  <c r="H77" i="5"/>
  <c r="H78" i="5"/>
  <c r="U78" i="5" s="1"/>
  <c r="H79" i="5"/>
  <c r="H80" i="5"/>
  <c r="U80" i="5" s="1"/>
  <c r="H81" i="5"/>
  <c r="H82" i="5"/>
  <c r="U82" i="5" s="1"/>
  <c r="H83" i="5"/>
  <c r="H84" i="5"/>
  <c r="U84" i="5" s="1"/>
  <c r="H85" i="5"/>
  <c r="H86" i="5"/>
  <c r="U86" i="5" s="1"/>
  <c r="H87" i="5"/>
  <c r="H88" i="5"/>
  <c r="U88" i="5" s="1"/>
  <c r="H89" i="5"/>
  <c r="H90" i="5"/>
  <c r="U90" i="5" s="1"/>
  <c r="H91" i="5"/>
  <c r="H92" i="5"/>
  <c r="U92" i="5" s="1"/>
  <c r="H93" i="5"/>
  <c r="H94" i="5"/>
  <c r="U94" i="5" s="1"/>
  <c r="H95" i="5"/>
  <c r="H96" i="5"/>
  <c r="U96" i="5" s="1"/>
  <c r="H97" i="5"/>
  <c r="H98" i="5"/>
  <c r="U98" i="5" s="1"/>
  <c r="H99" i="5"/>
  <c r="H100" i="5"/>
  <c r="W100" i="5" s="1"/>
  <c r="H101" i="5"/>
  <c r="H102" i="5"/>
  <c r="W102" i="5" s="1"/>
  <c r="H103" i="5"/>
  <c r="H104" i="5"/>
  <c r="W104" i="5" s="1"/>
  <c r="H105" i="5"/>
  <c r="H106" i="5"/>
  <c r="K106" i="5" s="1"/>
  <c r="H107" i="5"/>
  <c r="H108" i="5"/>
  <c r="H109" i="5"/>
  <c r="H110" i="5"/>
  <c r="H111" i="5"/>
  <c r="H112" i="5"/>
  <c r="W112" i="5" s="1"/>
  <c r="H113" i="5"/>
  <c r="H114" i="5"/>
  <c r="W114" i="5" s="1"/>
  <c r="H115" i="5"/>
  <c r="H116" i="5"/>
  <c r="H117" i="5"/>
  <c r="H118" i="5"/>
  <c r="W118" i="5" s="1"/>
  <c r="H119" i="5"/>
  <c r="H120" i="5"/>
  <c r="W120" i="5" s="1"/>
  <c r="H121" i="5"/>
  <c r="H122" i="5"/>
  <c r="K122" i="5" s="1"/>
  <c r="H123" i="5"/>
  <c r="H124" i="5"/>
  <c r="W124" i="5" s="1"/>
  <c r="H125" i="5"/>
  <c r="H126" i="5"/>
  <c r="W126" i="5" s="1"/>
  <c r="H127" i="5"/>
  <c r="H128" i="5"/>
  <c r="W128" i="5" s="1"/>
  <c r="H129" i="5"/>
  <c r="H130" i="5"/>
  <c r="W130" i="5" s="1"/>
  <c r="H131" i="5"/>
  <c r="H132" i="5"/>
  <c r="W132" i="5" s="1"/>
  <c r="H133" i="5"/>
  <c r="H134" i="5"/>
  <c r="H135" i="5"/>
  <c r="H136" i="5"/>
  <c r="W136" i="5" s="1"/>
  <c r="H137" i="5"/>
  <c r="H138" i="5"/>
  <c r="K138" i="5" s="1"/>
  <c r="H139" i="5"/>
  <c r="H140" i="5"/>
  <c r="W140" i="5" s="1"/>
  <c r="H141" i="5"/>
  <c r="H142" i="5"/>
  <c r="H143" i="5"/>
  <c r="H144" i="5"/>
  <c r="H145" i="5"/>
  <c r="H146" i="5"/>
  <c r="W146" i="5" s="1"/>
  <c r="H147" i="5"/>
  <c r="H148" i="5"/>
  <c r="W148" i="5" s="1"/>
  <c r="H149" i="5"/>
  <c r="H150" i="5"/>
  <c r="W150" i="5" s="1"/>
  <c r="H151" i="5"/>
  <c r="H152" i="5"/>
  <c r="H153" i="5"/>
  <c r="H154" i="5"/>
  <c r="K154" i="5" s="1"/>
  <c r="H155" i="5"/>
  <c r="H156" i="5"/>
  <c r="H157" i="5"/>
  <c r="H158" i="5"/>
  <c r="W158" i="5" s="1"/>
  <c r="H159" i="5"/>
  <c r="H160" i="5"/>
  <c r="W160" i="5" s="1"/>
  <c r="H161" i="5"/>
  <c r="H162" i="5"/>
  <c r="H163" i="5"/>
  <c r="H164" i="5"/>
  <c r="W164" i="5" s="1"/>
  <c r="H165" i="5"/>
  <c r="H166" i="5"/>
  <c r="W166" i="5" s="1"/>
  <c r="H167" i="5"/>
  <c r="H168" i="5"/>
  <c r="W168" i="5" s="1"/>
  <c r="H169" i="5"/>
  <c r="H170" i="5"/>
  <c r="K170" i="5" s="1"/>
  <c r="H171" i="5"/>
  <c r="H172" i="5"/>
  <c r="W172" i="5" s="1"/>
  <c r="H173" i="5"/>
  <c r="H174" i="5"/>
  <c r="H175" i="5"/>
  <c r="H176" i="5"/>
  <c r="W176" i="5" s="1"/>
  <c r="H177" i="5"/>
  <c r="H178" i="5"/>
  <c r="W178" i="5" s="1"/>
  <c r="H179" i="5"/>
  <c r="H180" i="5"/>
  <c r="W180" i="5" s="1"/>
  <c r="H181" i="5"/>
  <c r="H182" i="5"/>
  <c r="H183" i="5"/>
  <c r="H184" i="5"/>
  <c r="H185" i="5"/>
  <c r="H15" i="5"/>
  <c r="K15" i="5" s="1"/>
  <c r="I174" i="4"/>
  <c r="I175" i="4"/>
  <c r="G174" i="4"/>
  <c r="G175" i="4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5" i="5"/>
  <c r="E174" i="4"/>
  <c r="E175" i="4"/>
  <c r="C173" i="4"/>
  <c r="C172" i="4"/>
  <c r="C171" i="4"/>
  <c r="C170" i="4"/>
  <c r="J170" i="4" s="1"/>
  <c r="C169" i="4"/>
  <c r="C168" i="4"/>
  <c r="C167" i="4"/>
  <c r="C166" i="4"/>
  <c r="C165" i="4"/>
  <c r="C164" i="4"/>
  <c r="C163" i="4"/>
  <c r="C162" i="4"/>
  <c r="J162" i="4" s="1"/>
  <c r="C161" i="4"/>
  <c r="C160" i="4"/>
  <c r="C159" i="4"/>
  <c r="C158" i="4"/>
  <c r="C157" i="4"/>
  <c r="C156" i="4"/>
  <c r="C155" i="4"/>
  <c r="C154" i="4"/>
  <c r="J154" i="4" s="1"/>
  <c r="C153" i="4"/>
  <c r="C152" i="4"/>
  <c r="C151" i="4"/>
  <c r="C150" i="4"/>
  <c r="J150" i="4" s="1"/>
  <c r="C149" i="4"/>
  <c r="C148" i="4"/>
  <c r="C147" i="4"/>
  <c r="C146" i="4"/>
  <c r="C145" i="4"/>
  <c r="C144" i="4"/>
  <c r="C143" i="4"/>
  <c r="C142" i="4"/>
  <c r="J142" i="4" s="1"/>
  <c r="C141" i="4"/>
  <c r="C140" i="4"/>
  <c r="J140" i="4" s="1"/>
  <c r="C139" i="4"/>
  <c r="C138" i="4"/>
  <c r="J138" i="4" s="1"/>
  <c r="C137" i="4"/>
  <c r="C136" i="4"/>
  <c r="J136" i="4" s="1"/>
  <c r="C135" i="4"/>
  <c r="C134" i="4"/>
  <c r="J134" i="4" s="1"/>
  <c r="C133" i="4"/>
  <c r="C132" i="4"/>
  <c r="J132" i="4" s="1"/>
  <c r="C131" i="4"/>
  <c r="C130" i="4"/>
  <c r="J130" i="4" s="1"/>
  <c r="C129" i="4"/>
  <c r="C128" i="4"/>
  <c r="C127" i="4"/>
  <c r="C126" i="4"/>
  <c r="J126" i="4" s="1"/>
  <c r="C125" i="4"/>
  <c r="C124" i="4"/>
  <c r="J124" i="4" s="1"/>
  <c r="C123" i="4"/>
  <c r="C122" i="4"/>
  <c r="J122" i="4" s="1"/>
  <c r="C121" i="4"/>
  <c r="C120" i="4"/>
  <c r="C119" i="4"/>
  <c r="C118" i="4"/>
  <c r="J118" i="4" s="1"/>
  <c r="C117" i="4"/>
  <c r="C116" i="4"/>
  <c r="J116" i="4" s="1"/>
  <c r="C115" i="4"/>
  <c r="C114" i="4"/>
  <c r="J114" i="4" s="1"/>
  <c r="C113" i="4"/>
  <c r="C112" i="4"/>
  <c r="C111" i="4"/>
  <c r="C110" i="4"/>
  <c r="J110" i="4" s="1"/>
  <c r="C109" i="4"/>
  <c r="C108" i="4"/>
  <c r="J108" i="4" s="1"/>
  <c r="C107" i="4"/>
  <c r="C106" i="4"/>
  <c r="J106" i="4" s="1"/>
  <c r="C105" i="4"/>
  <c r="C104" i="4"/>
  <c r="J104" i="4" s="1"/>
  <c r="C103" i="4"/>
  <c r="C102" i="4"/>
  <c r="J102" i="4" s="1"/>
  <c r="C101" i="4"/>
  <c r="C100" i="4"/>
  <c r="J100" i="4" s="1"/>
  <c r="C99" i="4"/>
  <c r="C98" i="4"/>
  <c r="J98" i="4" s="1"/>
  <c r="C97" i="4"/>
  <c r="C96" i="4"/>
  <c r="J96" i="4" s="1"/>
  <c r="C95" i="4"/>
  <c r="C94" i="4"/>
  <c r="J94" i="4" s="1"/>
  <c r="C93" i="4"/>
  <c r="C92" i="4"/>
  <c r="J92" i="4" s="1"/>
  <c r="C91" i="4"/>
  <c r="C90" i="4"/>
  <c r="J90" i="4" s="1"/>
  <c r="C89" i="4"/>
  <c r="C88" i="4"/>
  <c r="J88" i="4" s="1"/>
  <c r="C87" i="4"/>
  <c r="J87" i="4" s="1"/>
  <c r="C86" i="4"/>
  <c r="J86" i="4" s="1"/>
  <c r="C85" i="4"/>
  <c r="C84" i="4"/>
  <c r="J84" i="4" s="1"/>
  <c r="C83" i="4"/>
  <c r="C82" i="4"/>
  <c r="J82" i="4" s="1"/>
  <c r="C81" i="4"/>
  <c r="C80" i="4"/>
  <c r="J80" i="4" s="1"/>
  <c r="C79" i="4"/>
  <c r="C78" i="4"/>
  <c r="J78" i="4" s="1"/>
  <c r="C77" i="4"/>
  <c r="C76" i="4"/>
  <c r="J76" i="4" s="1"/>
  <c r="C75" i="4"/>
  <c r="C74" i="4"/>
  <c r="J74" i="4" s="1"/>
  <c r="C73" i="4"/>
  <c r="C72" i="4"/>
  <c r="J72" i="4" s="1"/>
  <c r="C71" i="4"/>
  <c r="C70" i="4"/>
  <c r="J70" i="4" s="1"/>
  <c r="C69" i="4"/>
  <c r="C68" i="4"/>
  <c r="J68" i="4" s="1"/>
  <c r="C67" i="4"/>
  <c r="C66" i="4"/>
  <c r="J66" i="4" s="1"/>
  <c r="C65" i="4"/>
  <c r="C64" i="4"/>
  <c r="J64" i="4" s="1"/>
  <c r="C63" i="4"/>
  <c r="C62" i="4"/>
  <c r="J62" i="4" s="1"/>
  <c r="C61" i="4"/>
  <c r="C60" i="4"/>
  <c r="J60" i="4" s="1"/>
  <c r="C59" i="4"/>
  <c r="C58" i="4"/>
  <c r="J58" i="4" s="1"/>
  <c r="C57" i="4"/>
  <c r="C56" i="4"/>
  <c r="J56" i="4" s="1"/>
  <c r="C55" i="4"/>
  <c r="C54" i="4"/>
  <c r="J54" i="4" s="1"/>
  <c r="C53" i="4"/>
  <c r="C52" i="4"/>
  <c r="J52" i="4" s="1"/>
  <c r="C51" i="4"/>
  <c r="C50" i="4"/>
  <c r="J50" i="4" s="1"/>
  <c r="C49" i="4"/>
  <c r="C48" i="4"/>
  <c r="J48" i="4" s="1"/>
  <c r="C47" i="4"/>
  <c r="C46" i="4"/>
  <c r="J46" i="4" s="1"/>
  <c r="C45" i="4"/>
  <c r="C44" i="4"/>
  <c r="J44" i="4" s="1"/>
  <c r="C43" i="4"/>
  <c r="C42" i="4"/>
  <c r="J42" i="4" s="1"/>
  <c r="C41" i="4"/>
  <c r="C40" i="4"/>
  <c r="C39" i="4"/>
  <c r="C38" i="4"/>
  <c r="J38" i="4" s="1"/>
  <c r="C37" i="4"/>
  <c r="C36" i="4"/>
  <c r="J36" i="4" s="1"/>
  <c r="C35" i="4"/>
  <c r="C34" i="4"/>
  <c r="J34" i="4" s="1"/>
  <c r="C33" i="4"/>
  <c r="C32" i="4"/>
  <c r="C31" i="4"/>
  <c r="C30" i="4"/>
  <c r="J30" i="4" s="1"/>
  <c r="C29" i="4"/>
  <c r="C28" i="4"/>
  <c r="J28" i="4" s="1"/>
  <c r="C27" i="4"/>
  <c r="C26" i="4"/>
  <c r="J26" i="4" s="1"/>
  <c r="C25" i="4"/>
  <c r="C24" i="4"/>
  <c r="C23" i="4"/>
  <c r="J23" i="4" s="1"/>
  <c r="C22" i="4"/>
  <c r="J22" i="4" s="1"/>
  <c r="C21" i="4"/>
  <c r="C20" i="4"/>
  <c r="J20" i="4" s="1"/>
  <c r="C19" i="4"/>
  <c r="C18" i="4"/>
  <c r="J18" i="4" s="1"/>
  <c r="C17" i="4"/>
  <c r="C16" i="4"/>
  <c r="C15" i="4"/>
  <c r="C14" i="4"/>
  <c r="J14" i="4" s="1"/>
  <c r="C13" i="4"/>
  <c r="C12" i="4"/>
  <c r="J12" i="4" s="1"/>
  <c r="C11" i="4"/>
  <c r="C10" i="4"/>
  <c r="J10" i="4" s="1"/>
  <c r="C9" i="4"/>
  <c r="C8" i="4"/>
  <c r="C7" i="4"/>
  <c r="C6" i="4"/>
  <c r="J6" i="4" s="1"/>
  <c r="C5" i="4"/>
  <c r="C4" i="4"/>
  <c r="J4" i="4" s="1"/>
  <c r="C3" i="4"/>
  <c r="G3" i="4" s="1"/>
  <c r="V46" i="9" l="1"/>
  <c r="V56" i="9"/>
  <c r="O65" i="9"/>
  <c r="M65" i="9"/>
  <c r="X75" i="9"/>
  <c r="K75" i="9"/>
  <c r="K78" i="9"/>
  <c r="L78" i="9"/>
  <c r="X89" i="9"/>
  <c r="K89" i="9"/>
  <c r="K96" i="9"/>
  <c r="V96" i="9"/>
  <c r="L96" i="9"/>
  <c r="O97" i="9"/>
  <c r="M97" i="9"/>
  <c r="N99" i="9"/>
  <c r="M99" i="9"/>
  <c r="X105" i="9"/>
  <c r="K105" i="9"/>
  <c r="V113" i="9"/>
  <c r="K113" i="9"/>
  <c r="K116" i="9"/>
  <c r="V116" i="9"/>
  <c r="L116" i="9"/>
  <c r="X117" i="9"/>
  <c r="K117" i="9"/>
  <c r="N119" i="9"/>
  <c r="M119" i="9"/>
  <c r="K20" i="9"/>
  <c r="N20" i="9" s="1"/>
  <c r="K28" i="9"/>
  <c r="K30" i="9"/>
  <c r="N30" i="9" s="1"/>
  <c r="K32" i="9"/>
  <c r="K41" i="9"/>
  <c r="N41" i="9" s="1"/>
  <c r="L46" i="9"/>
  <c r="K49" i="9"/>
  <c r="K51" i="9"/>
  <c r="V52" i="9"/>
  <c r="K53" i="9"/>
  <c r="M55" i="9"/>
  <c r="L56" i="9"/>
  <c r="K57" i="9"/>
  <c r="K59" i="9"/>
  <c r="N59" i="9" s="1"/>
  <c r="K61" i="9"/>
  <c r="M63" i="9"/>
  <c r="V64" i="9"/>
  <c r="O69" i="9"/>
  <c r="M69" i="9"/>
  <c r="X71" i="9"/>
  <c r="K71" i="9"/>
  <c r="O73" i="9"/>
  <c r="M73" i="9"/>
  <c r="N77" i="9"/>
  <c r="M77" i="9"/>
  <c r="V78" i="9"/>
  <c r="K82" i="9"/>
  <c r="V82" i="9"/>
  <c r="L82" i="9"/>
  <c r="X83" i="9"/>
  <c r="K83" i="9"/>
  <c r="X87" i="9"/>
  <c r="K87" i="9"/>
  <c r="N87" i="9" s="1"/>
  <c r="K92" i="9"/>
  <c r="L92" i="9"/>
  <c r="V103" i="9"/>
  <c r="K103" i="9"/>
  <c r="K108" i="9"/>
  <c r="V108" i="9"/>
  <c r="L108" i="9"/>
  <c r="X109" i="9"/>
  <c r="K109" i="9"/>
  <c r="X111" i="9"/>
  <c r="K111" i="9"/>
  <c r="N115" i="9"/>
  <c r="M115" i="9"/>
  <c r="V122" i="9"/>
  <c r="V132" i="9"/>
  <c r="V156" i="9"/>
  <c r="V182" i="9"/>
  <c r="V184" i="9"/>
  <c r="V68" i="9"/>
  <c r="V72" i="9"/>
  <c r="V74" i="9"/>
  <c r="V86" i="9"/>
  <c r="V110" i="9"/>
  <c r="K121" i="9"/>
  <c r="L122" i="9"/>
  <c r="L124" i="9"/>
  <c r="V124" i="9"/>
  <c r="M125" i="9"/>
  <c r="M127" i="9"/>
  <c r="K129" i="9"/>
  <c r="V130" i="9"/>
  <c r="M131" i="9"/>
  <c r="L132" i="9"/>
  <c r="K135" i="9"/>
  <c r="V136" i="9"/>
  <c r="K137" i="9"/>
  <c r="K139" i="9"/>
  <c r="K145" i="9"/>
  <c r="M147" i="9"/>
  <c r="K149" i="9"/>
  <c r="K151" i="9"/>
  <c r="L152" i="9"/>
  <c r="V152" i="9"/>
  <c r="K153" i="9"/>
  <c r="K155" i="9"/>
  <c r="O155" i="9" s="1"/>
  <c r="L156" i="9"/>
  <c r="M157" i="9"/>
  <c r="M160" i="9"/>
  <c r="M164" i="9"/>
  <c r="K166" i="9"/>
  <c r="K170" i="9"/>
  <c r="K176" i="9"/>
  <c r="L177" i="9"/>
  <c r="V177" i="9"/>
  <c r="M178" i="9"/>
  <c r="K181" i="9"/>
  <c r="L182" i="9"/>
  <c r="M183" i="9"/>
  <c r="L184" i="9"/>
  <c r="M185" i="9"/>
  <c r="O17" i="9"/>
  <c r="M17" i="9"/>
  <c r="O19" i="9"/>
  <c r="M19" i="9"/>
  <c r="O21" i="9"/>
  <c r="M21" i="9"/>
  <c r="O23" i="9"/>
  <c r="M23" i="9"/>
  <c r="O37" i="9"/>
  <c r="M37" i="9"/>
  <c r="O25" i="9"/>
  <c r="M25" i="9"/>
  <c r="N25" i="9"/>
  <c r="O27" i="9"/>
  <c r="M27" i="9"/>
  <c r="O29" i="9"/>
  <c r="M29" i="9"/>
  <c r="O31" i="9"/>
  <c r="M31" i="9"/>
  <c r="O33" i="9"/>
  <c r="M33" i="9"/>
  <c r="N33" i="9"/>
  <c r="O35" i="9"/>
  <c r="M35" i="9"/>
  <c r="O39" i="9"/>
  <c r="M39" i="9"/>
  <c r="H187" i="5"/>
  <c r="H188" i="5"/>
  <c r="H189" i="5"/>
  <c r="H190" i="5"/>
  <c r="H191" i="5"/>
  <c r="I191" i="9"/>
  <c r="I189" i="9"/>
  <c r="I187" i="9"/>
  <c r="L15" i="9"/>
  <c r="P190" i="9"/>
  <c r="P188" i="9"/>
  <c r="P191" i="9"/>
  <c r="P189" i="9"/>
  <c r="P187" i="9"/>
  <c r="V15" i="9"/>
  <c r="X15" i="9"/>
  <c r="M16" i="9"/>
  <c r="O16" i="9"/>
  <c r="L17" i="9"/>
  <c r="S17" i="9" s="1"/>
  <c r="V17" i="9"/>
  <c r="X17" i="9"/>
  <c r="M18" i="9"/>
  <c r="O18" i="9"/>
  <c r="L19" i="9"/>
  <c r="S19" i="9" s="1"/>
  <c r="V19" i="9"/>
  <c r="X19" i="9"/>
  <c r="M20" i="9"/>
  <c r="O20" i="9"/>
  <c r="L21" i="9"/>
  <c r="S21" i="9" s="1"/>
  <c r="V21" i="9"/>
  <c r="M22" i="9"/>
  <c r="O22" i="9"/>
  <c r="L23" i="9"/>
  <c r="S23" i="9" s="1"/>
  <c r="V23" i="9"/>
  <c r="X23" i="9"/>
  <c r="M24" i="9"/>
  <c r="O24" i="9"/>
  <c r="L25" i="9"/>
  <c r="S25" i="9" s="1"/>
  <c r="V25" i="9"/>
  <c r="X25" i="9"/>
  <c r="M26" i="9"/>
  <c r="O26" i="9"/>
  <c r="L27" i="9"/>
  <c r="S27" i="9" s="1"/>
  <c r="V27" i="9"/>
  <c r="X27" i="9"/>
  <c r="M28" i="9"/>
  <c r="O28" i="9"/>
  <c r="L29" i="9"/>
  <c r="S29" i="9" s="1"/>
  <c r="V29" i="9"/>
  <c r="X29" i="9"/>
  <c r="M30" i="9"/>
  <c r="O30" i="9"/>
  <c r="L31" i="9"/>
  <c r="S31" i="9" s="1"/>
  <c r="V31" i="9"/>
  <c r="X31" i="9"/>
  <c r="M32" i="9"/>
  <c r="O32" i="9"/>
  <c r="L33" i="9"/>
  <c r="S33" i="9" s="1"/>
  <c r="V33" i="9"/>
  <c r="X33" i="9"/>
  <c r="M34" i="9"/>
  <c r="O34" i="9"/>
  <c r="L35" i="9"/>
  <c r="S35" i="9" s="1"/>
  <c r="V35" i="9"/>
  <c r="X35" i="9"/>
  <c r="M36" i="9"/>
  <c r="O36" i="9"/>
  <c r="L37" i="9"/>
  <c r="S37" i="9" s="1"/>
  <c r="V37" i="9"/>
  <c r="M38" i="9"/>
  <c r="O38" i="9"/>
  <c r="L39" i="9"/>
  <c r="S39" i="9" s="1"/>
  <c r="V39" i="9"/>
  <c r="X39" i="9"/>
  <c r="O40" i="9"/>
  <c r="M40" i="9"/>
  <c r="X40" i="9"/>
  <c r="O41" i="9"/>
  <c r="O42" i="9"/>
  <c r="M42" i="9"/>
  <c r="N42" i="9"/>
  <c r="X42" i="9"/>
  <c r="O44" i="9"/>
  <c r="M44" i="9"/>
  <c r="N44" i="9"/>
  <c r="O45" i="9"/>
  <c r="O47" i="9"/>
  <c r="O48" i="9"/>
  <c r="M48" i="9"/>
  <c r="O54" i="9"/>
  <c r="M54" i="9"/>
  <c r="N54" i="9"/>
  <c r="X54" i="9"/>
  <c r="O58" i="9"/>
  <c r="M58" i="9"/>
  <c r="N58" i="9"/>
  <c r="X58" i="9"/>
  <c r="O59" i="9"/>
  <c r="O60" i="9"/>
  <c r="M60" i="9"/>
  <c r="X60" i="9"/>
  <c r="O66" i="9"/>
  <c r="M66" i="9"/>
  <c r="N66" i="9"/>
  <c r="X66" i="9"/>
  <c r="O67" i="9"/>
  <c r="O70" i="9"/>
  <c r="M70" i="9"/>
  <c r="N70" i="9"/>
  <c r="X70" i="9"/>
  <c r="O87" i="9"/>
  <c r="O88" i="9"/>
  <c r="M88" i="9"/>
  <c r="N88" i="9"/>
  <c r="X88" i="9"/>
  <c r="O94" i="9"/>
  <c r="M94" i="9"/>
  <c r="N94" i="9"/>
  <c r="O98" i="9"/>
  <c r="M98" i="9"/>
  <c r="N98" i="9"/>
  <c r="X98" i="9"/>
  <c r="O100" i="9"/>
  <c r="M100" i="9"/>
  <c r="X100" i="9"/>
  <c r="O102" i="9"/>
  <c r="M102" i="9"/>
  <c r="N102" i="9"/>
  <c r="X102" i="9"/>
  <c r="O104" i="9"/>
  <c r="M104" i="9"/>
  <c r="X104" i="9"/>
  <c r="O107" i="9"/>
  <c r="O112" i="9"/>
  <c r="M112" i="9"/>
  <c r="N112" i="9"/>
  <c r="X112" i="9"/>
  <c r="O114" i="9"/>
  <c r="M114" i="9"/>
  <c r="X114" i="9"/>
  <c r="O118" i="9"/>
  <c r="M118" i="9"/>
  <c r="X118" i="9"/>
  <c r="K120" i="9"/>
  <c r="V120" i="9"/>
  <c r="L120" i="9"/>
  <c r="X120" i="9"/>
  <c r="O129" i="9"/>
  <c r="M129" i="9"/>
  <c r="N133" i="9"/>
  <c r="M133" i="9"/>
  <c r="N135" i="9"/>
  <c r="M135" i="9"/>
  <c r="O137" i="9"/>
  <c r="M137" i="9"/>
  <c r="N139" i="9"/>
  <c r="M139" i="9"/>
  <c r="K140" i="9"/>
  <c r="V140" i="9"/>
  <c r="L140" i="9"/>
  <c r="X140" i="9"/>
  <c r="K142" i="9"/>
  <c r="V142" i="9"/>
  <c r="L142" i="9"/>
  <c r="O145" i="9"/>
  <c r="M145" i="9"/>
  <c r="K150" i="9"/>
  <c r="V150" i="9"/>
  <c r="L150" i="9"/>
  <c r="X150" i="9"/>
  <c r="K154" i="9"/>
  <c r="V154" i="9"/>
  <c r="L154" i="9"/>
  <c r="N159" i="9"/>
  <c r="M159" i="9"/>
  <c r="K167" i="9"/>
  <c r="V167" i="9"/>
  <c r="L167" i="9"/>
  <c r="X167" i="9"/>
  <c r="N172" i="9"/>
  <c r="M172" i="9"/>
  <c r="O172" i="9"/>
  <c r="O174" i="9"/>
  <c r="M174" i="9"/>
  <c r="I188" i="9"/>
  <c r="I190" i="9"/>
  <c r="W15" i="5"/>
  <c r="W170" i="5"/>
  <c r="W138" i="5"/>
  <c r="W122" i="5"/>
  <c r="W106" i="5"/>
  <c r="W98" i="5"/>
  <c r="W96" i="5"/>
  <c r="W92" i="5"/>
  <c r="W90" i="5"/>
  <c r="W88" i="5"/>
  <c r="W86" i="5"/>
  <c r="W84" i="5"/>
  <c r="W82" i="5"/>
  <c r="W80" i="5"/>
  <c r="W78" i="5"/>
  <c r="W74" i="5"/>
  <c r="W72" i="5"/>
  <c r="W70" i="5"/>
  <c r="W68" i="5"/>
  <c r="W66" i="5"/>
  <c r="W64" i="5"/>
  <c r="W60" i="5"/>
  <c r="W58" i="5"/>
  <c r="W56" i="5"/>
  <c r="W54" i="5"/>
  <c r="W50" i="5"/>
  <c r="W46" i="5"/>
  <c r="W42" i="5"/>
  <c r="W40" i="5"/>
  <c r="W38" i="5"/>
  <c r="W36" i="5"/>
  <c r="W32" i="5"/>
  <c r="W28" i="5"/>
  <c r="W26" i="5"/>
  <c r="W24" i="5"/>
  <c r="W20" i="5"/>
  <c r="W16" i="5"/>
  <c r="K15" i="9"/>
  <c r="Q191" i="9"/>
  <c r="Q189" i="9"/>
  <c r="Q187" i="9"/>
  <c r="Q190" i="9"/>
  <c r="Q188" i="9"/>
  <c r="L16" i="9"/>
  <c r="S16" i="9" s="1"/>
  <c r="V16" i="9"/>
  <c r="L18" i="9"/>
  <c r="R18" i="9"/>
  <c r="L20" i="9"/>
  <c r="S20" i="9" s="1"/>
  <c r="V20" i="9"/>
  <c r="L22" i="9"/>
  <c r="S22" i="9" s="1"/>
  <c r="L24" i="9"/>
  <c r="S24" i="9" s="1"/>
  <c r="V24" i="9"/>
  <c r="L26" i="9"/>
  <c r="S26" i="9" s="1"/>
  <c r="V26" i="9"/>
  <c r="L28" i="9"/>
  <c r="S28" i="9" s="1"/>
  <c r="V28" i="9"/>
  <c r="L30" i="9"/>
  <c r="S30" i="9" s="1"/>
  <c r="L32" i="9"/>
  <c r="V32" i="9"/>
  <c r="L34" i="9"/>
  <c r="L36" i="9"/>
  <c r="S36" i="9" s="1"/>
  <c r="V36" i="9"/>
  <c r="L38" i="9"/>
  <c r="S38" i="9" s="1"/>
  <c r="V38" i="9"/>
  <c r="L40" i="9"/>
  <c r="S40" i="9" s="1"/>
  <c r="V40" i="9"/>
  <c r="M41" i="9"/>
  <c r="L42" i="9"/>
  <c r="S42" i="9" s="1"/>
  <c r="V42" i="9"/>
  <c r="M43" i="9"/>
  <c r="L44" i="9"/>
  <c r="S44" i="9" s="1"/>
  <c r="V44" i="9"/>
  <c r="M45" i="9"/>
  <c r="O46" i="9"/>
  <c r="M46" i="9"/>
  <c r="S46" i="9" s="1"/>
  <c r="X46" i="9"/>
  <c r="M47" i="9"/>
  <c r="L48" i="9"/>
  <c r="S48" i="9" s="1"/>
  <c r="V48" i="9"/>
  <c r="M49" i="9"/>
  <c r="O49" i="9"/>
  <c r="O50" i="9"/>
  <c r="M50" i="9"/>
  <c r="S50" i="9" s="1"/>
  <c r="N50" i="9"/>
  <c r="X50" i="9"/>
  <c r="O51" i="9"/>
  <c r="O52" i="9"/>
  <c r="M52" i="9"/>
  <c r="S52" i="9" s="1"/>
  <c r="L54" i="9"/>
  <c r="S54" i="9"/>
  <c r="V54" i="9"/>
  <c r="O55" i="9"/>
  <c r="O56" i="9"/>
  <c r="M56" i="9"/>
  <c r="X56" i="9"/>
  <c r="L58" i="9"/>
  <c r="S58" i="9" s="1"/>
  <c r="V58" i="9"/>
  <c r="M59" i="9"/>
  <c r="L60" i="9"/>
  <c r="S60" i="9" s="1"/>
  <c r="V60" i="9"/>
  <c r="M61" i="9"/>
  <c r="O61" i="9"/>
  <c r="O62" i="9"/>
  <c r="M62" i="9"/>
  <c r="N62" i="9"/>
  <c r="O63" i="9"/>
  <c r="O64" i="9"/>
  <c r="M64" i="9"/>
  <c r="X64" i="9"/>
  <c r="L66" i="9"/>
  <c r="S66" i="9" s="1"/>
  <c r="V66" i="9"/>
  <c r="M67" i="9"/>
  <c r="O68" i="9"/>
  <c r="S68" i="9" s="1"/>
  <c r="M68" i="9"/>
  <c r="X68" i="9"/>
  <c r="L70" i="9"/>
  <c r="S70" i="9"/>
  <c r="V70" i="9"/>
  <c r="O71" i="9"/>
  <c r="O72" i="9"/>
  <c r="M72" i="9"/>
  <c r="S72" i="9" s="1"/>
  <c r="X72" i="9"/>
  <c r="O74" i="9"/>
  <c r="M74" i="9"/>
  <c r="X74" i="9"/>
  <c r="M75" i="9"/>
  <c r="O75" i="9"/>
  <c r="O76" i="9"/>
  <c r="M76" i="9"/>
  <c r="S76" i="9" s="1"/>
  <c r="N76" i="9"/>
  <c r="O77" i="9"/>
  <c r="O78" i="9"/>
  <c r="M78" i="9"/>
  <c r="X78" i="9"/>
  <c r="M79" i="9"/>
  <c r="O79" i="9"/>
  <c r="O80" i="9"/>
  <c r="M80" i="9"/>
  <c r="S80" i="9" s="1"/>
  <c r="N80" i="9"/>
  <c r="X80" i="9"/>
  <c r="M81" i="9"/>
  <c r="O81" i="9"/>
  <c r="O82" i="9"/>
  <c r="M82" i="9"/>
  <c r="N82" i="9"/>
  <c r="X82" i="9"/>
  <c r="M83" i="9"/>
  <c r="O83" i="9"/>
  <c r="O84" i="9"/>
  <c r="M84" i="9"/>
  <c r="S84" i="9" s="1"/>
  <c r="N84" i="9"/>
  <c r="X84" i="9"/>
  <c r="M85" i="9"/>
  <c r="O85" i="9"/>
  <c r="O86" i="9"/>
  <c r="M86" i="9"/>
  <c r="X86" i="9"/>
  <c r="M87" i="9"/>
  <c r="L88" i="9"/>
  <c r="S88" i="9" s="1"/>
  <c r="V88" i="9"/>
  <c r="M89" i="9"/>
  <c r="O89" i="9"/>
  <c r="O90" i="9"/>
  <c r="M90" i="9"/>
  <c r="S90" i="9" s="1"/>
  <c r="N90" i="9"/>
  <c r="X90" i="9"/>
  <c r="M91" i="9"/>
  <c r="O91" i="9"/>
  <c r="O92" i="9"/>
  <c r="M92" i="9"/>
  <c r="S92" i="9" s="1"/>
  <c r="X92" i="9"/>
  <c r="M93" i="9"/>
  <c r="O93" i="9"/>
  <c r="L94" i="9"/>
  <c r="S94" i="9" s="1"/>
  <c r="V94" i="9"/>
  <c r="M95" i="9"/>
  <c r="O95" i="9"/>
  <c r="O96" i="9"/>
  <c r="M96" i="9"/>
  <c r="N96" i="9"/>
  <c r="X96" i="9"/>
  <c r="L98" i="9"/>
  <c r="S98" i="9" s="1"/>
  <c r="V98" i="9"/>
  <c r="O99" i="9"/>
  <c r="L100" i="9"/>
  <c r="S100" i="9" s="1"/>
  <c r="V100" i="9"/>
  <c r="M101" i="9"/>
  <c r="O101" i="9"/>
  <c r="L102" i="9"/>
  <c r="S102" i="9" s="1"/>
  <c r="V102" i="9"/>
  <c r="M103" i="9"/>
  <c r="O103" i="9"/>
  <c r="L104" i="9"/>
  <c r="S104" i="9" s="1"/>
  <c r="V104" i="9"/>
  <c r="M105" i="9"/>
  <c r="O105" i="9"/>
  <c r="O106" i="9"/>
  <c r="M106" i="9"/>
  <c r="S106" i="9" s="1"/>
  <c r="N106" i="9"/>
  <c r="X106" i="9"/>
  <c r="M107" i="9"/>
  <c r="O108" i="9"/>
  <c r="M108" i="9"/>
  <c r="N108" i="9"/>
  <c r="S108" i="9" s="1"/>
  <c r="O109" i="9"/>
  <c r="O110" i="9"/>
  <c r="M110" i="9"/>
  <c r="L112" i="9"/>
  <c r="S112" i="9" s="1"/>
  <c r="V112" i="9"/>
  <c r="M113" i="9"/>
  <c r="O113" i="9"/>
  <c r="L114" i="9"/>
  <c r="S114" i="9" s="1"/>
  <c r="V114" i="9"/>
  <c r="O115" i="9"/>
  <c r="O116" i="9"/>
  <c r="M116" i="9"/>
  <c r="S116" i="9" s="1"/>
  <c r="N116" i="9"/>
  <c r="L118" i="9"/>
  <c r="S118" i="9" s="1"/>
  <c r="V118" i="9"/>
  <c r="O119" i="9"/>
  <c r="O123" i="9"/>
  <c r="M123" i="9"/>
  <c r="K126" i="9"/>
  <c r="V126" i="9"/>
  <c r="L126" i="9"/>
  <c r="X126" i="9"/>
  <c r="K128" i="9"/>
  <c r="V128" i="9"/>
  <c r="L128" i="9"/>
  <c r="X128" i="9"/>
  <c r="O133" i="9"/>
  <c r="K134" i="9"/>
  <c r="V134" i="9"/>
  <c r="L134" i="9"/>
  <c r="O135" i="9"/>
  <c r="K138" i="9"/>
  <c r="V138" i="9"/>
  <c r="L138" i="9"/>
  <c r="X138" i="9"/>
  <c r="O139" i="9"/>
  <c r="O141" i="9"/>
  <c r="M141" i="9"/>
  <c r="N143" i="9"/>
  <c r="M143" i="9"/>
  <c r="K144" i="9"/>
  <c r="V144" i="9"/>
  <c r="L144" i="9"/>
  <c r="K146" i="9"/>
  <c r="V146" i="9"/>
  <c r="L146" i="9"/>
  <c r="X146" i="9"/>
  <c r="N155" i="9"/>
  <c r="M155" i="9"/>
  <c r="K158" i="9"/>
  <c r="V158" i="9"/>
  <c r="L158" i="9"/>
  <c r="X158" i="9"/>
  <c r="O159" i="9"/>
  <c r="K161" i="9"/>
  <c r="V161" i="9"/>
  <c r="L161" i="9"/>
  <c r="K169" i="9"/>
  <c r="V169" i="9"/>
  <c r="L169" i="9"/>
  <c r="K175" i="9"/>
  <c r="V175" i="9"/>
  <c r="L175" i="9"/>
  <c r="X175" i="9"/>
  <c r="K179" i="9"/>
  <c r="V179" i="9"/>
  <c r="L179" i="9"/>
  <c r="L41" i="9"/>
  <c r="S41" i="9" s="1"/>
  <c r="V41" i="9"/>
  <c r="L43" i="9"/>
  <c r="R43" i="9"/>
  <c r="V43" i="9"/>
  <c r="L45" i="9"/>
  <c r="S45" i="9" s="1"/>
  <c r="L47" i="9"/>
  <c r="S47" i="9" s="1"/>
  <c r="V47" i="9"/>
  <c r="L49" i="9"/>
  <c r="V49" i="9"/>
  <c r="L51" i="9"/>
  <c r="V51" i="9"/>
  <c r="L53" i="9"/>
  <c r="V53" i="9"/>
  <c r="L55" i="9"/>
  <c r="S55" i="9" s="1"/>
  <c r="V55" i="9"/>
  <c r="L57" i="9"/>
  <c r="V57" i="9"/>
  <c r="L59" i="9"/>
  <c r="V59" i="9"/>
  <c r="L61" i="9"/>
  <c r="S61" i="9" s="1"/>
  <c r="V61" i="9"/>
  <c r="L63" i="9"/>
  <c r="S63" i="9" s="1"/>
  <c r="V63" i="9"/>
  <c r="L65" i="9"/>
  <c r="S65" i="9" s="1"/>
  <c r="V65" i="9"/>
  <c r="L67" i="9"/>
  <c r="S67" i="9" s="1"/>
  <c r="L69" i="9"/>
  <c r="S69" i="9" s="1"/>
  <c r="V69" i="9"/>
  <c r="L71" i="9"/>
  <c r="V71" i="9"/>
  <c r="L73" i="9"/>
  <c r="S73" i="9" s="1"/>
  <c r="L75" i="9"/>
  <c r="V75" i="9"/>
  <c r="L77" i="9"/>
  <c r="S77" i="9" s="1"/>
  <c r="V77" i="9"/>
  <c r="L79" i="9"/>
  <c r="S79" i="9" s="1"/>
  <c r="V79" i="9"/>
  <c r="L81" i="9"/>
  <c r="V81" i="9"/>
  <c r="L83" i="9"/>
  <c r="S83" i="9" s="1"/>
  <c r="V83" i="9"/>
  <c r="L85" i="9"/>
  <c r="S85" i="9" s="1"/>
  <c r="V85" i="9"/>
  <c r="L87" i="9"/>
  <c r="S87" i="9" s="1"/>
  <c r="V87" i="9"/>
  <c r="L89" i="9"/>
  <c r="V89" i="9"/>
  <c r="L91" i="9"/>
  <c r="V91" i="9"/>
  <c r="L93" i="9"/>
  <c r="S93" i="9" s="1"/>
  <c r="L95" i="9"/>
  <c r="S95" i="9" s="1"/>
  <c r="V95" i="9"/>
  <c r="L97" i="9"/>
  <c r="S97" i="9" s="1"/>
  <c r="V97" i="9"/>
  <c r="L99" i="9"/>
  <c r="S99" i="9" s="1"/>
  <c r="L101" i="9"/>
  <c r="S101" i="9" s="1"/>
  <c r="L103" i="9"/>
  <c r="S103" i="9" s="1"/>
  <c r="L105" i="9"/>
  <c r="V105" i="9"/>
  <c r="L107" i="9"/>
  <c r="S107" i="9" s="1"/>
  <c r="L109" i="9"/>
  <c r="V109" i="9"/>
  <c r="L111" i="9"/>
  <c r="V111" i="9"/>
  <c r="L113" i="9"/>
  <c r="S113" i="9" s="1"/>
  <c r="L115" i="9"/>
  <c r="S115" i="9" s="1"/>
  <c r="V115" i="9"/>
  <c r="L117" i="9"/>
  <c r="V117" i="9"/>
  <c r="X119" i="9"/>
  <c r="V119" i="9"/>
  <c r="L119" i="9"/>
  <c r="S119" i="9" s="1"/>
  <c r="O122" i="9"/>
  <c r="M122" i="9"/>
  <c r="X122" i="9"/>
  <c r="O124" i="9"/>
  <c r="M124" i="9"/>
  <c r="N124" i="9"/>
  <c r="X124" i="9"/>
  <c r="O130" i="9"/>
  <c r="M130" i="9"/>
  <c r="S130" i="9" s="1"/>
  <c r="X130" i="9"/>
  <c r="O131" i="9"/>
  <c r="O132" i="9"/>
  <c r="M132" i="9"/>
  <c r="X132" i="9"/>
  <c r="O136" i="9"/>
  <c r="M136" i="9"/>
  <c r="S136" i="9" s="1"/>
  <c r="X136" i="9"/>
  <c r="O147" i="9"/>
  <c r="O148" i="9"/>
  <c r="M148" i="9"/>
  <c r="N148" i="9"/>
  <c r="X148" i="9"/>
  <c r="O151" i="9"/>
  <c r="O152" i="9"/>
  <c r="M152" i="9"/>
  <c r="S152" i="9" s="1"/>
  <c r="N152" i="9"/>
  <c r="O153" i="9"/>
  <c r="O156" i="9"/>
  <c r="S156" i="9" s="1"/>
  <c r="M156" i="9"/>
  <c r="N162" i="9"/>
  <c r="M162" i="9"/>
  <c r="N168" i="9"/>
  <c r="M168" i="9"/>
  <c r="O170" i="9"/>
  <c r="M170" i="9"/>
  <c r="K173" i="9"/>
  <c r="V173" i="9"/>
  <c r="L173" i="9"/>
  <c r="X173" i="9"/>
  <c r="O180" i="9"/>
  <c r="M180" i="9"/>
  <c r="N180" i="9"/>
  <c r="L121" i="9"/>
  <c r="L123" i="9"/>
  <c r="S123" i="9" s="1"/>
  <c r="V123" i="9"/>
  <c r="L125" i="9"/>
  <c r="S125" i="9" s="1"/>
  <c r="V125" i="9"/>
  <c r="L127" i="9"/>
  <c r="S127" i="9" s="1"/>
  <c r="V127" i="9"/>
  <c r="L129" i="9"/>
  <c r="V129" i="9"/>
  <c r="L131" i="9"/>
  <c r="S131" i="9" s="1"/>
  <c r="V131" i="9"/>
  <c r="L133" i="9"/>
  <c r="S133" i="9" s="1"/>
  <c r="V133" i="9"/>
  <c r="L135" i="9"/>
  <c r="S135" i="9" s="1"/>
  <c r="L137" i="9"/>
  <c r="S137" i="9" s="1"/>
  <c r="L139" i="9"/>
  <c r="S139" i="9" s="1"/>
  <c r="V139" i="9"/>
  <c r="L141" i="9"/>
  <c r="S141" i="9" s="1"/>
  <c r="L143" i="9"/>
  <c r="S143" i="9" s="1"/>
  <c r="V143" i="9"/>
  <c r="L145" i="9"/>
  <c r="S145" i="9" s="1"/>
  <c r="L147" i="9"/>
  <c r="S147" i="9" s="1"/>
  <c r="V147" i="9"/>
  <c r="L149" i="9"/>
  <c r="V149" i="9"/>
  <c r="L151" i="9"/>
  <c r="V151" i="9"/>
  <c r="L153" i="9"/>
  <c r="L155" i="9"/>
  <c r="S155" i="9" s="1"/>
  <c r="L157" i="9"/>
  <c r="S157" i="9" s="1"/>
  <c r="V157" i="9"/>
  <c r="L159" i="9"/>
  <c r="S159" i="9" s="1"/>
  <c r="O163" i="9"/>
  <c r="M163" i="9"/>
  <c r="S163" i="9" s="1"/>
  <c r="N163" i="9"/>
  <c r="O164" i="9"/>
  <c r="O165" i="9"/>
  <c r="M165" i="9"/>
  <c r="N165" i="9"/>
  <c r="X165" i="9"/>
  <c r="O171" i="9"/>
  <c r="M171" i="9"/>
  <c r="N171" i="9"/>
  <c r="X171" i="9"/>
  <c r="O176" i="9"/>
  <c r="O177" i="9"/>
  <c r="M177" i="9"/>
  <c r="N177" i="9"/>
  <c r="X177" i="9"/>
  <c r="O181" i="9"/>
  <c r="M181" i="9"/>
  <c r="L160" i="9"/>
  <c r="S160" i="9" s="1"/>
  <c r="V160" i="9"/>
  <c r="L162" i="9"/>
  <c r="L164" i="9"/>
  <c r="V164" i="9"/>
  <c r="L166" i="9"/>
  <c r="V166" i="9"/>
  <c r="L168" i="9"/>
  <c r="S168" i="9" s="1"/>
  <c r="V168" i="9"/>
  <c r="L170" i="9"/>
  <c r="S170" i="9" s="1"/>
  <c r="V170" i="9"/>
  <c r="L172" i="9"/>
  <c r="S172" i="9" s="1"/>
  <c r="V172" i="9"/>
  <c r="L174" i="9"/>
  <c r="S174" i="9" s="1"/>
  <c r="L176" i="9"/>
  <c r="V176" i="9"/>
  <c r="L178" i="9"/>
  <c r="S178" i="9" s="1"/>
  <c r="V178" i="9"/>
  <c r="L180" i="9"/>
  <c r="S180" i="9" s="1"/>
  <c r="O182" i="9"/>
  <c r="M182" i="9"/>
  <c r="O183" i="9"/>
  <c r="O184" i="9"/>
  <c r="M184" i="9"/>
  <c r="L181" i="9"/>
  <c r="S181" i="9" s="1"/>
  <c r="V181" i="9"/>
  <c r="L183" i="9"/>
  <c r="S183" i="9" s="1"/>
  <c r="V183" i="9"/>
  <c r="L185" i="9"/>
  <c r="S185" i="9" s="1"/>
  <c r="V185" i="9"/>
  <c r="O175" i="4"/>
  <c r="I16" i="4"/>
  <c r="J16" i="4"/>
  <c r="I32" i="4"/>
  <c r="J32" i="4"/>
  <c r="I5" i="4"/>
  <c r="J5" i="4"/>
  <c r="E7" i="4"/>
  <c r="J7" i="4"/>
  <c r="I9" i="4"/>
  <c r="J9" i="4"/>
  <c r="E11" i="4"/>
  <c r="J11" i="4"/>
  <c r="I13" i="4"/>
  <c r="J13" i="4"/>
  <c r="E15" i="4"/>
  <c r="J15" i="4"/>
  <c r="I17" i="4"/>
  <c r="J17" i="4"/>
  <c r="E19" i="4"/>
  <c r="J19" i="4"/>
  <c r="I21" i="4"/>
  <c r="J21" i="4"/>
  <c r="I25" i="4"/>
  <c r="J25" i="4"/>
  <c r="E27" i="4"/>
  <c r="J27" i="4"/>
  <c r="I29" i="4"/>
  <c r="J29" i="4"/>
  <c r="E31" i="4"/>
  <c r="J31" i="4"/>
  <c r="I33" i="4"/>
  <c r="J33" i="4"/>
  <c r="E35" i="4"/>
  <c r="J35" i="4"/>
  <c r="I37" i="4"/>
  <c r="J37" i="4"/>
  <c r="E39" i="4"/>
  <c r="J39" i="4"/>
  <c r="I41" i="4"/>
  <c r="J41" i="4"/>
  <c r="E43" i="4"/>
  <c r="J43" i="4"/>
  <c r="I45" i="4"/>
  <c r="J45" i="4"/>
  <c r="E47" i="4"/>
  <c r="J47" i="4"/>
  <c r="I49" i="4"/>
  <c r="J49" i="4"/>
  <c r="E51" i="4"/>
  <c r="J51" i="4"/>
  <c r="I53" i="4"/>
  <c r="J53" i="4"/>
  <c r="E55" i="4"/>
  <c r="J55" i="4"/>
  <c r="I57" i="4"/>
  <c r="J57" i="4"/>
  <c r="E59" i="4"/>
  <c r="J59" i="4"/>
  <c r="I61" i="4"/>
  <c r="J61" i="4"/>
  <c r="E63" i="4"/>
  <c r="J63" i="4"/>
  <c r="I65" i="4"/>
  <c r="J65" i="4"/>
  <c r="E67" i="4"/>
  <c r="J67" i="4"/>
  <c r="I69" i="4"/>
  <c r="J69" i="4"/>
  <c r="E71" i="4"/>
  <c r="J71" i="4"/>
  <c r="I73" i="4"/>
  <c r="J73" i="4"/>
  <c r="E75" i="4"/>
  <c r="J75" i="4"/>
  <c r="I77" i="4"/>
  <c r="J77" i="4"/>
  <c r="E79" i="4"/>
  <c r="J79" i="4"/>
  <c r="I81" i="4"/>
  <c r="J81" i="4"/>
  <c r="E83" i="4"/>
  <c r="J83" i="4"/>
  <c r="I85" i="4"/>
  <c r="J85" i="4"/>
  <c r="I89" i="4"/>
  <c r="J89" i="4"/>
  <c r="E91" i="4"/>
  <c r="J91" i="4"/>
  <c r="I93" i="4"/>
  <c r="J93" i="4"/>
  <c r="E95" i="4"/>
  <c r="J95" i="4"/>
  <c r="I97" i="4"/>
  <c r="J97" i="4"/>
  <c r="E99" i="4"/>
  <c r="J99" i="4"/>
  <c r="I101" i="4"/>
  <c r="J101" i="4"/>
  <c r="I103" i="4"/>
  <c r="J103" i="4"/>
  <c r="I105" i="4"/>
  <c r="J105" i="4"/>
  <c r="I107" i="4"/>
  <c r="J107" i="4"/>
  <c r="I109" i="4"/>
  <c r="J109" i="4"/>
  <c r="I111" i="4"/>
  <c r="J111" i="4"/>
  <c r="I113" i="4"/>
  <c r="J113" i="4"/>
  <c r="I115" i="4"/>
  <c r="J115" i="4"/>
  <c r="I117" i="4"/>
  <c r="O117" i="4" s="1"/>
  <c r="J117" i="4"/>
  <c r="I119" i="4"/>
  <c r="J119" i="4"/>
  <c r="I121" i="4"/>
  <c r="J121" i="4"/>
  <c r="I123" i="4"/>
  <c r="J123" i="4"/>
  <c r="I125" i="4"/>
  <c r="J125" i="4"/>
  <c r="I127" i="4"/>
  <c r="J127" i="4"/>
  <c r="I129" i="4"/>
  <c r="J129" i="4"/>
  <c r="I131" i="4"/>
  <c r="J131" i="4"/>
  <c r="I133" i="4"/>
  <c r="J133" i="4"/>
  <c r="I135" i="4"/>
  <c r="J135" i="4"/>
  <c r="I137" i="4"/>
  <c r="J137" i="4"/>
  <c r="I139" i="4"/>
  <c r="J139" i="4"/>
  <c r="I141" i="4"/>
  <c r="J141" i="4"/>
  <c r="I143" i="4"/>
  <c r="J143" i="4"/>
  <c r="I145" i="4"/>
  <c r="J145" i="4"/>
  <c r="I147" i="4"/>
  <c r="J147" i="4"/>
  <c r="I149" i="4"/>
  <c r="J149" i="4"/>
  <c r="I151" i="4"/>
  <c r="J151" i="4"/>
  <c r="I153" i="4"/>
  <c r="J153" i="4"/>
  <c r="I155" i="4"/>
  <c r="J155" i="4"/>
  <c r="I157" i="4"/>
  <c r="J157" i="4"/>
  <c r="I159" i="4"/>
  <c r="J159" i="4"/>
  <c r="I161" i="4"/>
  <c r="J161" i="4"/>
  <c r="I163" i="4"/>
  <c r="J163" i="4"/>
  <c r="I165" i="4"/>
  <c r="J165" i="4"/>
  <c r="I167" i="4"/>
  <c r="J167" i="4"/>
  <c r="I169" i="4"/>
  <c r="J169" i="4"/>
  <c r="I171" i="4"/>
  <c r="J171" i="4"/>
  <c r="I173" i="4"/>
  <c r="J173" i="4"/>
  <c r="E159" i="4"/>
  <c r="E87" i="4"/>
  <c r="I8" i="4"/>
  <c r="J8" i="4"/>
  <c r="I24" i="4"/>
  <c r="J24" i="4"/>
  <c r="I40" i="4"/>
  <c r="J40" i="4"/>
  <c r="I112" i="4"/>
  <c r="J112" i="4"/>
  <c r="I120" i="4"/>
  <c r="J120" i="4"/>
  <c r="I128" i="4"/>
  <c r="J128" i="4"/>
  <c r="E144" i="4"/>
  <c r="J144" i="4"/>
  <c r="G146" i="4"/>
  <c r="J146" i="4"/>
  <c r="E148" i="4"/>
  <c r="J148" i="4"/>
  <c r="E152" i="4"/>
  <c r="J152" i="4"/>
  <c r="E156" i="4"/>
  <c r="J156" i="4"/>
  <c r="G158" i="4"/>
  <c r="J158" i="4"/>
  <c r="E160" i="4"/>
  <c r="J160" i="4"/>
  <c r="E164" i="4"/>
  <c r="J164" i="4"/>
  <c r="G166" i="4"/>
  <c r="J166" i="4"/>
  <c r="E168" i="4"/>
  <c r="J168" i="4"/>
  <c r="E172" i="4"/>
  <c r="J172" i="4"/>
  <c r="E127" i="4"/>
  <c r="E23" i="4"/>
  <c r="G85" i="4"/>
  <c r="J3" i="4"/>
  <c r="O174" i="4"/>
  <c r="E143" i="4"/>
  <c r="E111" i="4"/>
  <c r="G125" i="4"/>
  <c r="E167" i="4"/>
  <c r="E151" i="4"/>
  <c r="E135" i="4"/>
  <c r="E119" i="4"/>
  <c r="E103" i="4"/>
  <c r="G141" i="4"/>
  <c r="G109" i="4"/>
  <c r="E171" i="4"/>
  <c r="E163" i="4"/>
  <c r="E155" i="4"/>
  <c r="E147" i="4"/>
  <c r="E139" i="4"/>
  <c r="E131" i="4"/>
  <c r="E123" i="4"/>
  <c r="E115" i="4"/>
  <c r="E107" i="4"/>
  <c r="G133" i="4"/>
  <c r="G117" i="4"/>
  <c r="G101" i="4"/>
  <c r="G69" i="4"/>
  <c r="U154" i="5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G137" i="4"/>
  <c r="G129" i="4"/>
  <c r="G121" i="4"/>
  <c r="G113" i="4"/>
  <c r="G105" i="4"/>
  <c r="G93" i="4"/>
  <c r="G77" i="4"/>
  <c r="G61" i="4"/>
  <c r="U15" i="5"/>
  <c r="U122" i="5"/>
  <c r="G4" i="4"/>
  <c r="E4" i="4"/>
  <c r="G10" i="4"/>
  <c r="I10" i="4"/>
  <c r="E10" i="4"/>
  <c r="G14" i="4"/>
  <c r="I14" i="4"/>
  <c r="E14" i="4"/>
  <c r="G18" i="4"/>
  <c r="I18" i="4"/>
  <c r="E18" i="4"/>
  <c r="G22" i="4"/>
  <c r="I22" i="4"/>
  <c r="E22" i="4"/>
  <c r="G26" i="4"/>
  <c r="I26" i="4"/>
  <c r="E26" i="4"/>
  <c r="G30" i="4"/>
  <c r="I30" i="4"/>
  <c r="E30" i="4"/>
  <c r="G34" i="4"/>
  <c r="I34" i="4"/>
  <c r="E34" i="4"/>
  <c r="G38" i="4"/>
  <c r="I38" i="4"/>
  <c r="E38" i="4"/>
  <c r="G42" i="4"/>
  <c r="I42" i="4"/>
  <c r="E42" i="4"/>
  <c r="G48" i="4"/>
  <c r="E48" i="4"/>
  <c r="G52" i="4"/>
  <c r="E52" i="4"/>
  <c r="G56" i="4"/>
  <c r="E56" i="4"/>
  <c r="G60" i="4"/>
  <c r="E60" i="4"/>
  <c r="G64" i="4"/>
  <c r="E64" i="4"/>
  <c r="G68" i="4"/>
  <c r="E68" i="4"/>
  <c r="G72" i="4"/>
  <c r="E72" i="4"/>
  <c r="G76" i="4"/>
  <c r="E76" i="4"/>
  <c r="G80" i="4"/>
  <c r="E80" i="4"/>
  <c r="G84" i="4"/>
  <c r="E84" i="4"/>
  <c r="G88" i="4"/>
  <c r="E88" i="4"/>
  <c r="G92" i="4"/>
  <c r="E92" i="4"/>
  <c r="G96" i="4"/>
  <c r="E96" i="4"/>
  <c r="G100" i="4"/>
  <c r="E100" i="4"/>
  <c r="G104" i="4"/>
  <c r="E104" i="4"/>
  <c r="G106" i="4"/>
  <c r="I106" i="4"/>
  <c r="E106" i="4"/>
  <c r="G110" i="4"/>
  <c r="I110" i="4"/>
  <c r="E110" i="4"/>
  <c r="G114" i="4"/>
  <c r="I114" i="4"/>
  <c r="E114" i="4"/>
  <c r="G118" i="4"/>
  <c r="I118" i="4"/>
  <c r="E118" i="4"/>
  <c r="G122" i="4"/>
  <c r="I122" i="4"/>
  <c r="E122" i="4"/>
  <c r="G126" i="4"/>
  <c r="I126" i="4"/>
  <c r="E126" i="4"/>
  <c r="G132" i="4"/>
  <c r="E132" i="4"/>
  <c r="G136" i="4"/>
  <c r="E136" i="4"/>
  <c r="G138" i="4"/>
  <c r="I138" i="4"/>
  <c r="E138" i="4"/>
  <c r="G142" i="4"/>
  <c r="I142" i="4"/>
  <c r="E142" i="4"/>
  <c r="I150" i="4"/>
  <c r="E150" i="4"/>
  <c r="I154" i="4"/>
  <c r="E154" i="4"/>
  <c r="I162" i="4"/>
  <c r="E162" i="4"/>
  <c r="I170" i="4"/>
  <c r="E170" i="4"/>
  <c r="G170" i="4"/>
  <c r="G162" i="4"/>
  <c r="G154" i="4"/>
  <c r="G150" i="4"/>
  <c r="G53" i="4"/>
  <c r="G45" i="4"/>
  <c r="G37" i="4"/>
  <c r="G29" i="4"/>
  <c r="G21" i="4"/>
  <c r="G13" i="4"/>
  <c r="G5" i="4"/>
  <c r="I168" i="4"/>
  <c r="I160" i="4"/>
  <c r="I152" i="4"/>
  <c r="I144" i="4"/>
  <c r="I136" i="4"/>
  <c r="I104" i="4"/>
  <c r="I96" i="4"/>
  <c r="I88" i="4"/>
  <c r="I80" i="4"/>
  <c r="I72" i="4"/>
  <c r="I64" i="4"/>
  <c r="I56" i="4"/>
  <c r="I48" i="4"/>
  <c r="G6" i="4"/>
  <c r="I6" i="4"/>
  <c r="E6" i="4"/>
  <c r="G8" i="4"/>
  <c r="E8" i="4"/>
  <c r="G12" i="4"/>
  <c r="E12" i="4"/>
  <c r="G16" i="4"/>
  <c r="E16" i="4"/>
  <c r="G20" i="4"/>
  <c r="E20" i="4"/>
  <c r="G24" i="4"/>
  <c r="E24" i="4"/>
  <c r="G28" i="4"/>
  <c r="E28" i="4"/>
  <c r="G32" i="4"/>
  <c r="E32" i="4"/>
  <c r="G36" i="4"/>
  <c r="E36" i="4"/>
  <c r="G40" i="4"/>
  <c r="E40" i="4"/>
  <c r="G44" i="4"/>
  <c r="E44" i="4"/>
  <c r="G46" i="4"/>
  <c r="I46" i="4"/>
  <c r="E46" i="4"/>
  <c r="G50" i="4"/>
  <c r="I50" i="4"/>
  <c r="E50" i="4"/>
  <c r="G54" i="4"/>
  <c r="I54" i="4"/>
  <c r="E54" i="4"/>
  <c r="G58" i="4"/>
  <c r="I58" i="4"/>
  <c r="E58" i="4"/>
  <c r="G62" i="4"/>
  <c r="I62" i="4"/>
  <c r="E62" i="4"/>
  <c r="G66" i="4"/>
  <c r="I66" i="4"/>
  <c r="E66" i="4"/>
  <c r="G70" i="4"/>
  <c r="I70" i="4"/>
  <c r="E70" i="4"/>
  <c r="G74" i="4"/>
  <c r="I74" i="4"/>
  <c r="E74" i="4"/>
  <c r="G78" i="4"/>
  <c r="I78" i="4"/>
  <c r="E78" i="4"/>
  <c r="G82" i="4"/>
  <c r="I82" i="4"/>
  <c r="E82" i="4"/>
  <c r="G86" i="4"/>
  <c r="I86" i="4"/>
  <c r="E86" i="4"/>
  <c r="G90" i="4"/>
  <c r="I90" i="4"/>
  <c r="E90" i="4"/>
  <c r="G94" i="4"/>
  <c r="I94" i="4"/>
  <c r="E94" i="4"/>
  <c r="G98" i="4"/>
  <c r="I98" i="4"/>
  <c r="E98" i="4"/>
  <c r="G102" i="4"/>
  <c r="I102" i="4"/>
  <c r="E102" i="4"/>
  <c r="G108" i="4"/>
  <c r="E108" i="4"/>
  <c r="G112" i="4"/>
  <c r="E112" i="4"/>
  <c r="G116" i="4"/>
  <c r="E116" i="4"/>
  <c r="G120" i="4"/>
  <c r="E120" i="4"/>
  <c r="G124" i="4"/>
  <c r="E124" i="4"/>
  <c r="G128" i="4"/>
  <c r="E128" i="4"/>
  <c r="G130" i="4"/>
  <c r="I130" i="4"/>
  <c r="E130" i="4"/>
  <c r="G134" i="4"/>
  <c r="I134" i="4"/>
  <c r="E134" i="4"/>
  <c r="G140" i="4"/>
  <c r="E140" i="4"/>
  <c r="I146" i="4"/>
  <c r="E146" i="4"/>
  <c r="I158" i="4"/>
  <c r="E158" i="4"/>
  <c r="I166" i="4"/>
  <c r="E166" i="4"/>
  <c r="I3" i="4"/>
  <c r="E3" i="4"/>
  <c r="I7" i="4"/>
  <c r="G7" i="4"/>
  <c r="I11" i="4"/>
  <c r="G11" i="4"/>
  <c r="I15" i="4"/>
  <c r="G15" i="4"/>
  <c r="I19" i="4"/>
  <c r="G19" i="4"/>
  <c r="I23" i="4"/>
  <c r="G23" i="4"/>
  <c r="I27" i="4"/>
  <c r="G27" i="4"/>
  <c r="I31" i="4"/>
  <c r="G31" i="4"/>
  <c r="I35" i="4"/>
  <c r="G35" i="4"/>
  <c r="I39" i="4"/>
  <c r="G39" i="4"/>
  <c r="I43" i="4"/>
  <c r="G43" i="4"/>
  <c r="I47" i="4"/>
  <c r="G47" i="4"/>
  <c r="I51" i="4"/>
  <c r="G51" i="4"/>
  <c r="I55" i="4"/>
  <c r="G55" i="4"/>
  <c r="I59" i="4"/>
  <c r="G59" i="4"/>
  <c r="I63" i="4"/>
  <c r="G63" i="4"/>
  <c r="I67" i="4"/>
  <c r="G67" i="4"/>
  <c r="I71" i="4"/>
  <c r="G71" i="4"/>
  <c r="I75" i="4"/>
  <c r="G75" i="4"/>
  <c r="I79" i="4"/>
  <c r="G79" i="4"/>
  <c r="I83" i="4"/>
  <c r="G83" i="4"/>
  <c r="I87" i="4"/>
  <c r="G87" i="4"/>
  <c r="I91" i="4"/>
  <c r="G91" i="4"/>
  <c r="I95" i="4"/>
  <c r="G95" i="4"/>
  <c r="I99" i="4"/>
  <c r="G99" i="4"/>
  <c r="E101" i="4"/>
  <c r="E97" i="4"/>
  <c r="E93" i="4"/>
  <c r="E89" i="4"/>
  <c r="E85" i="4"/>
  <c r="O85" i="4" s="1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21" i="4"/>
  <c r="E17" i="4"/>
  <c r="E13" i="4"/>
  <c r="E9" i="4"/>
  <c r="E5" i="4"/>
  <c r="G172" i="4"/>
  <c r="G168" i="4"/>
  <c r="G164" i="4"/>
  <c r="G160" i="4"/>
  <c r="G156" i="4"/>
  <c r="G152" i="4"/>
  <c r="G148" i="4"/>
  <c r="G144" i="4"/>
  <c r="G97" i="4"/>
  <c r="G89" i="4"/>
  <c r="G81" i="4"/>
  <c r="G73" i="4"/>
  <c r="G65" i="4"/>
  <c r="G57" i="4"/>
  <c r="G49" i="4"/>
  <c r="G41" i="4"/>
  <c r="G33" i="4"/>
  <c r="G25" i="4"/>
  <c r="G17" i="4"/>
  <c r="G9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28" i="4"/>
  <c r="I20" i="4"/>
  <c r="I12" i="4"/>
  <c r="I4" i="4"/>
  <c r="K185" i="5"/>
  <c r="U185" i="5"/>
  <c r="K183" i="5"/>
  <c r="U183" i="5"/>
  <c r="K181" i="5"/>
  <c r="U181" i="5"/>
  <c r="K179" i="5"/>
  <c r="U179" i="5"/>
  <c r="K177" i="5"/>
  <c r="U177" i="5"/>
  <c r="K175" i="5"/>
  <c r="U175" i="5"/>
  <c r="K173" i="5"/>
  <c r="U173" i="5"/>
  <c r="K171" i="5"/>
  <c r="U171" i="5"/>
  <c r="K169" i="5"/>
  <c r="U169" i="5"/>
  <c r="K167" i="5"/>
  <c r="U167" i="5"/>
  <c r="K165" i="5"/>
  <c r="U165" i="5"/>
  <c r="K163" i="5"/>
  <c r="U163" i="5"/>
  <c r="K161" i="5"/>
  <c r="U161" i="5"/>
  <c r="K159" i="5"/>
  <c r="U159" i="5"/>
  <c r="K157" i="5"/>
  <c r="U157" i="5"/>
  <c r="K155" i="5"/>
  <c r="U155" i="5"/>
  <c r="K153" i="5"/>
  <c r="U153" i="5"/>
  <c r="K151" i="5"/>
  <c r="U151" i="5"/>
  <c r="K149" i="5"/>
  <c r="U149" i="5"/>
  <c r="K147" i="5"/>
  <c r="U147" i="5"/>
  <c r="K145" i="5"/>
  <c r="U145" i="5"/>
  <c r="K143" i="5"/>
  <c r="U143" i="5"/>
  <c r="K141" i="5"/>
  <c r="U141" i="5"/>
  <c r="K139" i="5"/>
  <c r="U139" i="5"/>
  <c r="K137" i="5"/>
  <c r="U137" i="5"/>
  <c r="K135" i="5"/>
  <c r="U135" i="5"/>
  <c r="K133" i="5"/>
  <c r="U133" i="5"/>
  <c r="K131" i="5"/>
  <c r="U131" i="5"/>
  <c r="K129" i="5"/>
  <c r="U129" i="5"/>
  <c r="K127" i="5"/>
  <c r="U127" i="5"/>
  <c r="K125" i="5"/>
  <c r="U125" i="5"/>
  <c r="K123" i="5"/>
  <c r="U123" i="5"/>
  <c r="K121" i="5"/>
  <c r="U121" i="5"/>
  <c r="K119" i="5"/>
  <c r="U119" i="5"/>
  <c r="K117" i="5"/>
  <c r="U117" i="5"/>
  <c r="K115" i="5"/>
  <c r="U115" i="5"/>
  <c r="K113" i="5"/>
  <c r="U113" i="5"/>
  <c r="K111" i="5"/>
  <c r="U111" i="5"/>
  <c r="K109" i="5"/>
  <c r="U109" i="5"/>
  <c r="K107" i="5"/>
  <c r="U107" i="5"/>
  <c r="K105" i="5"/>
  <c r="U105" i="5"/>
  <c r="J103" i="5"/>
  <c r="U103" i="5"/>
  <c r="K101" i="5"/>
  <c r="U101" i="5"/>
  <c r="K99" i="5"/>
  <c r="U99" i="5"/>
  <c r="K97" i="5"/>
  <c r="U97" i="5"/>
  <c r="J95" i="5"/>
  <c r="U95" i="5"/>
  <c r="K93" i="5"/>
  <c r="U93" i="5"/>
  <c r="K91" i="5"/>
  <c r="U91" i="5"/>
  <c r="K89" i="5"/>
  <c r="U89" i="5"/>
  <c r="J87" i="5"/>
  <c r="U87" i="5"/>
  <c r="K85" i="5"/>
  <c r="U85" i="5"/>
  <c r="K83" i="5"/>
  <c r="U83" i="5"/>
  <c r="K81" i="5"/>
  <c r="U81" i="5"/>
  <c r="J79" i="5"/>
  <c r="U79" i="5"/>
  <c r="K77" i="5"/>
  <c r="U77" i="5"/>
  <c r="K75" i="5"/>
  <c r="U75" i="5"/>
  <c r="K73" i="5"/>
  <c r="U73" i="5"/>
  <c r="J71" i="5"/>
  <c r="U71" i="5"/>
  <c r="K69" i="5"/>
  <c r="U69" i="5"/>
  <c r="K67" i="5"/>
  <c r="U67" i="5"/>
  <c r="K65" i="5"/>
  <c r="U65" i="5"/>
  <c r="J63" i="5"/>
  <c r="U63" i="5"/>
  <c r="K61" i="5"/>
  <c r="U61" i="5"/>
  <c r="K59" i="5"/>
  <c r="U59" i="5"/>
  <c r="K57" i="5"/>
  <c r="U57" i="5"/>
  <c r="J55" i="5"/>
  <c r="U55" i="5"/>
  <c r="K53" i="5"/>
  <c r="U53" i="5"/>
  <c r="K51" i="5"/>
  <c r="U51" i="5"/>
  <c r="K49" i="5"/>
  <c r="U49" i="5"/>
  <c r="J47" i="5"/>
  <c r="U47" i="5"/>
  <c r="K45" i="5"/>
  <c r="U45" i="5"/>
  <c r="Q43" i="5"/>
  <c r="U43" i="5"/>
  <c r="K41" i="5"/>
  <c r="U41" i="5"/>
  <c r="J39" i="5"/>
  <c r="U39" i="5"/>
  <c r="K37" i="5"/>
  <c r="U37" i="5"/>
  <c r="K35" i="5"/>
  <c r="U35" i="5"/>
  <c r="K33" i="5"/>
  <c r="U33" i="5"/>
  <c r="J31" i="5"/>
  <c r="U31" i="5"/>
  <c r="K29" i="5"/>
  <c r="U29" i="5"/>
  <c r="K27" i="5"/>
  <c r="U27" i="5"/>
  <c r="K25" i="5"/>
  <c r="U25" i="5"/>
  <c r="J23" i="5"/>
  <c r="U23" i="5"/>
  <c r="K21" i="5"/>
  <c r="U21" i="5"/>
  <c r="K19" i="5"/>
  <c r="U19" i="5"/>
  <c r="K17" i="5"/>
  <c r="U17" i="5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39" i="4"/>
  <c r="G135" i="4"/>
  <c r="G131" i="4"/>
  <c r="O131" i="4" s="1"/>
  <c r="G127" i="4"/>
  <c r="G123" i="4"/>
  <c r="G119" i="4"/>
  <c r="G115" i="4"/>
  <c r="O115" i="4" s="1"/>
  <c r="G111" i="4"/>
  <c r="G107" i="4"/>
  <c r="G103" i="4"/>
  <c r="K184" i="5"/>
  <c r="U184" i="5"/>
  <c r="K182" i="5"/>
  <c r="U182" i="5"/>
  <c r="K180" i="5"/>
  <c r="U180" i="5"/>
  <c r="K178" i="5"/>
  <c r="U178" i="5"/>
  <c r="K176" i="5"/>
  <c r="U176" i="5"/>
  <c r="K174" i="5"/>
  <c r="U174" i="5"/>
  <c r="K172" i="5"/>
  <c r="U172" i="5"/>
  <c r="K168" i="5"/>
  <c r="U168" i="5"/>
  <c r="K166" i="5"/>
  <c r="U166" i="5"/>
  <c r="K164" i="5"/>
  <c r="U164" i="5"/>
  <c r="K162" i="5"/>
  <c r="U162" i="5"/>
  <c r="K160" i="5"/>
  <c r="U160" i="5"/>
  <c r="K158" i="5"/>
  <c r="U158" i="5"/>
  <c r="K156" i="5"/>
  <c r="U156" i="5"/>
  <c r="K152" i="5"/>
  <c r="U152" i="5"/>
  <c r="K150" i="5"/>
  <c r="U150" i="5"/>
  <c r="K148" i="5"/>
  <c r="U148" i="5"/>
  <c r="K146" i="5"/>
  <c r="U146" i="5"/>
  <c r="K144" i="5"/>
  <c r="U144" i="5"/>
  <c r="K142" i="5"/>
  <c r="U142" i="5"/>
  <c r="K140" i="5"/>
  <c r="U140" i="5"/>
  <c r="K136" i="5"/>
  <c r="U136" i="5"/>
  <c r="K134" i="5"/>
  <c r="U134" i="5"/>
  <c r="K132" i="5"/>
  <c r="U132" i="5"/>
  <c r="K130" i="5"/>
  <c r="U130" i="5"/>
  <c r="K128" i="5"/>
  <c r="U128" i="5"/>
  <c r="K126" i="5"/>
  <c r="U126" i="5"/>
  <c r="K124" i="5"/>
  <c r="U124" i="5"/>
  <c r="K120" i="5"/>
  <c r="U120" i="5"/>
  <c r="K118" i="5"/>
  <c r="U118" i="5"/>
  <c r="K116" i="5"/>
  <c r="U116" i="5"/>
  <c r="K114" i="5"/>
  <c r="U114" i="5"/>
  <c r="K112" i="5"/>
  <c r="U112" i="5"/>
  <c r="K110" i="5"/>
  <c r="U110" i="5"/>
  <c r="K108" i="5"/>
  <c r="U108" i="5"/>
  <c r="K104" i="5"/>
  <c r="U104" i="5"/>
  <c r="K102" i="5"/>
  <c r="U102" i="5"/>
  <c r="K100" i="5"/>
  <c r="U100" i="5"/>
  <c r="U170" i="5"/>
  <c r="U138" i="5"/>
  <c r="U106" i="5"/>
  <c r="J184" i="5"/>
  <c r="N184" i="5" s="1"/>
  <c r="J180" i="5"/>
  <c r="L180" i="5" s="1"/>
  <c r="J176" i="5"/>
  <c r="J172" i="5"/>
  <c r="M172" i="5" s="1"/>
  <c r="J168" i="5"/>
  <c r="N168" i="5" s="1"/>
  <c r="J164" i="5"/>
  <c r="N164" i="5" s="1"/>
  <c r="J160" i="5"/>
  <c r="N160" i="5" s="1"/>
  <c r="J156" i="5"/>
  <c r="J152" i="5"/>
  <c r="L152" i="5" s="1"/>
  <c r="J148" i="5"/>
  <c r="N148" i="5" s="1"/>
  <c r="J144" i="5"/>
  <c r="N144" i="5" s="1"/>
  <c r="J140" i="5"/>
  <c r="N140" i="5" s="1"/>
  <c r="J136" i="5"/>
  <c r="N136" i="5" s="1"/>
  <c r="J132" i="5"/>
  <c r="N132" i="5" s="1"/>
  <c r="J128" i="5"/>
  <c r="N128" i="5" s="1"/>
  <c r="J124" i="5"/>
  <c r="N124" i="5" s="1"/>
  <c r="J120" i="5"/>
  <c r="M120" i="5" s="1"/>
  <c r="J116" i="5"/>
  <c r="N116" i="5" s="1"/>
  <c r="J112" i="5"/>
  <c r="N112" i="5" s="1"/>
  <c r="J108" i="5"/>
  <c r="J104" i="5"/>
  <c r="N104" i="5" s="1"/>
  <c r="J100" i="5"/>
  <c r="L100" i="5" s="1"/>
  <c r="J15" i="5"/>
  <c r="J182" i="5"/>
  <c r="L182" i="5" s="1"/>
  <c r="J178" i="5"/>
  <c r="L178" i="5" s="1"/>
  <c r="J174" i="5"/>
  <c r="J170" i="5"/>
  <c r="J166" i="5"/>
  <c r="J162" i="5"/>
  <c r="N162" i="5" s="1"/>
  <c r="J158" i="5"/>
  <c r="N158" i="5" s="1"/>
  <c r="J154" i="5"/>
  <c r="N154" i="5" s="1"/>
  <c r="J150" i="5"/>
  <c r="L150" i="5" s="1"/>
  <c r="J146" i="5"/>
  <c r="L146" i="5" s="1"/>
  <c r="J142" i="5"/>
  <c r="J138" i="5"/>
  <c r="J134" i="5"/>
  <c r="J130" i="5"/>
  <c r="J126" i="5"/>
  <c r="J122" i="5"/>
  <c r="J118" i="5"/>
  <c r="L118" i="5" s="1"/>
  <c r="J114" i="5"/>
  <c r="L114" i="5" s="1"/>
  <c r="J110" i="5"/>
  <c r="J106" i="5"/>
  <c r="N106" i="5" s="1"/>
  <c r="J102" i="5"/>
  <c r="N103" i="5"/>
  <c r="L103" i="5"/>
  <c r="N95" i="5"/>
  <c r="L95" i="5"/>
  <c r="N87" i="5"/>
  <c r="L87" i="5"/>
  <c r="M87" i="5"/>
  <c r="N79" i="5"/>
  <c r="L79" i="5"/>
  <c r="N71" i="5"/>
  <c r="L71" i="5"/>
  <c r="M71" i="5"/>
  <c r="N63" i="5"/>
  <c r="L63" i="5"/>
  <c r="M63" i="5"/>
  <c r="N55" i="5"/>
  <c r="L55" i="5"/>
  <c r="M55" i="5"/>
  <c r="N47" i="5"/>
  <c r="L47" i="5"/>
  <c r="M47" i="5"/>
  <c r="N39" i="5"/>
  <c r="L39" i="5"/>
  <c r="N31" i="5"/>
  <c r="L31" i="5"/>
  <c r="N23" i="5"/>
  <c r="L23" i="5"/>
  <c r="M180" i="5"/>
  <c r="N176" i="5"/>
  <c r="M162" i="5"/>
  <c r="N142" i="5"/>
  <c r="M124" i="5"/>
  <c r="L108" i="5"/>
  <c r="M102" i="5"/>
  <c r="J97" i="5"/>
  <c r="J93" i="5"/>
  <c r="J89" i="5"/>
  <c r="J85" i="5"/>
  <c r="J81" i="5"/>
  <c r="J77" i="5"/>
  <c r="J73" i="5"/>
  <c r="J69" i="5"/>
  <c r="J65" i="5"/>
  <c r="J61" i="5"/>
  <c r="J57" i="5"/>
  <c r="J53" i="5"/>
  <c r="J49" i="5"/>
  <c r="J45" i="5"/>
  <c r="J41" i="5"/>
  <c r="J37" i="5"/>
  <c r="J33" i="5"/>
  <c r="J29" i="5"/>
  <c r="J25" i="5"/>
  <c r="J21" i="5"/>
  <c r="J17" i="5"/>
  <c r="K103" i="5"/>
  <c r="K95" i="5"/>
  <c r="K87" i="5"/>
  <c r="K79" i="5"/>
  <c r="K71" i="5"/>
  <c r="K63" i="5"/>
  <c r="K55" i="5"/>
  <c r="K47" i="5"/>
  <c r="K39" i="5"/>
  <c r="K31" i="5"/>
  <c r="K23" i="5"/>
  <c r="L130" i="5"/>
  <c r="K98" i="5"/>
  <c r="J98" i="5"/>
  <c r="K96" i="5"/>
  <c r="J96" i="5"/>
  <c r="K94" i="5"/>
  <c r="J94" i="5"/>
  <c r="K92" i="5"/>
  <c r="J92" i="5"/>
  <c r="K90" i="5"/>
  <c r="J90" i="5"/>
  <c r="K88" i="5"/>
  <c r="J88" i="5"/>
  <c r="K86" i="5"/>
  <c r="J86" i="5"/>
  <c r="K84" i="5"/>
  <c r="J84" i="5"/>
  <c r="K82" i="5"/>
  <c r="J82" i="5"/>
  <c r="K80" i="5"/>
  <c r="J80" i="5"/>
  <c r="K78" i="5"/>
  <c r="J78" i="5"/>
  <c r="K76" i="5"/>
  <c r="J76" i="5"/>
  <c r="K74" i="5"/>
  <c r="J74" i="5"/>
  <c r="K72" i="5"/>
  <c r="J72" i="5"/>
  <c r="K70" i="5"/>
  <c r="J70" i="5"/>
  <c r="K68" i="5"/>
  <c r="J68" i="5"/>
  <c r="K66" i="5"/>
  <c r="J66" i="5"/>
  <c r="K64" i="5"/>
  <c r="J64" i="5"/>
  <c r="K62" i="5"/>
  <c r="J62" i="5"/>
  <c r="K60" i="5"/>
  <c r="J60" i="5"/>
  <c r="K58" i="5"/>
  <c r="J58" i="5"/>
  <c r="K56" i="5"/>
  <c r="J56" i="5"/>
  <c r="K54" i="5"/>
  <c r="J54" i="5"/>
  <c r="K52" i="5"/>
  <c r="J52" i="5"/>
  <c r="K50" i="5"/>
  <c r="J50" i="5"/>
  <c r="K48" i="5"/>
  <c r="J48" i="5"/>
  <c r="K46" i="5"/>
  <c r="J46" i="5"/>
  <c r="K44" i="5"/>
  <c r="J44" i="5"/>
  <c r="K42" i="5"/>
  <c r="J42" i="5"/>
  <c r="K40" i="5"/>
  <c r="J40" i="5"/>
  <c r="K38" i="5"/>
  <c r="J38" i="5"/>
  <c r="K36" i="5"/>
  <c r="J36" i="5"/>
  <c r="K34" i="5"/>
  <c r="J34" i="5"/>
  <c r="K32" i="5"/>
  <c r="J32" i="5"/>
  <c r="K30" i="5"/>
  <c r="J30" i="5"/>
  <c r="K28" i="5"/>
  <c r="J28" i="5"/>
  <c r="K26" i="5"/>
  <c r="J26" i="5"/>
  <c r="K24" i="5"/>
  <c r="J24" i="5"/>
  <c r="K22" i="5"/>
  <c r="J22" i="5"/>
  <c r="K20" i="5"/>
  <c r="J20" i="5"/>
  <c r="Q18" i="5"/>
  <c r="Q187" i="5" s="1"/>
  <c r="K18" i="5"/>
  <c r="J18" i="5"/>
  <c r="K16" i="5"/>
  <c r="K191" i="5" s="1"/>
  <c r="J16" i="5"/>
  <c r="J185" i="5"/>
  <c r="J183" i="5"/>
  <c r="J181" i="5"/>
  <c r="J179" i="5"/>
  <c r="J177" i="5"/>
  <c r="J175" i="5"/>
  <c r="J173" i="5"/>
  <c r="J171" i="5"/>
  <c r="J169" i="5"/>
  <c r="J167" i="5"/>
  <c r="J165" i="5"/>
  <c r="J163" i="5"/>
  <c r="J161" i="5"/>
  <c r="J159" i="5"/>
  <c r="J157" i="5"/>
  <c r="J155" i="5"/>
  <c r="J153" i="5"/>
  <c r="J151" i="5"/>
  <c r="J149" i="5"/>
  <c r="J147" i="5"/>
  <c r="J145" i="5"/>
  <c r="J143" i="5"/>
  <c r="J141" i="5"/>
  <c r="J139" i="5"/>
  <c r="J137" i="5"/>
  <c r="J135" i="5"/>
  <c r="J133" i="5"/>
  <c r="J131" i="5"/>
  <c r="J129" i="5"/>
  <c r="J127" i="5"/>
  <c r="J125" i="5"/>
  <c r="J123" i="5"/>
  <c r="J121" i="5"/>
  <c r="J119" i="5"/>
  <c r="J117" i="5"/>
  <c r="J115" i="5"/>
  <c r="J113" i="5"/>
  <c r="J111" i="5"/>
  <c r="J109" i="5"/>
  <c r="J107" i="5"/>
  <c r="J105" i="5"/>
  <c r="J101" i="5"/>
  <c r="J99" i="5"/>
  <c r="J91" i="5"/>
  <c r="J83" i="5"/>
  <c r="J75" i="5"/>
  <c r="J67" i="5"/>
  <c r="J59" i="5"/>
  <c r="J51" i="5"/>
  <c r="J43" i="5"/>
  <c r="J35" i="5"/>
  <c r="J27" i="5"/>
  <c r="J19" i="5"/>
  <c r="K43" i="5"/>
  <c r="L166" i="5"/>
  <c r="L134" i="5"/>
  <c r="L102" i="5"/>
  <c r="S105" i="9" l="1"/>
  <c r="S91" i="9"/>
  <c r="S89" i="9"/>
  <c r="S49" i="9"/>
  <c r="R190" i="9"/>
  <c r="S129" i="9"/>
  <c r="N151" i="9"/>
  <c r="M151" i="9"/>
  <c r="S151" i="9" s="1"/>
  <c r="O111" i="9"/>
  <c r="M111" i="9"/>
  <c r="S111" i="9" s="1"/>
  <c r="N109" i="9"/>
  <c r="M109" i="9"/>
  <c r="S109" i="9" s="1"/>
  <c r="O53" i="9"/>
  <c r="M53" i="9"/>
  <c r="N51" i="9"/>
  <c r="M51" i="9"/>
  <c r="S51" i="9" s="1"/>
  <c r="O117" i="9"/>
  <c r="M117" i="9"/>
  <c r="S184" i="9"/>
  <c r="S182" i="9"/>
  <c r="S164" i="9"/>
  <c r="S177" i="9"/>
  <c r="S171" i="9"/>
  <c r="S165" i="9"/>
  <c r="S148" i="9"/>
  <c r="S132" i="9"/>
  <c r="S124" i="9"/>
  <c r="S122" i="9"/>
  <c r="S117" i="9"/>
  <c r="S53" i="9"/>
  <c r="S43" i="9"/>
  <c r="S110" i="9"/>
  <c r="S96" i="9"/>
  <c r="S86" i="9"/>
  <c r="S82" i="9"/>
  <c r="S81" i="9"/>
  <c r="S78" i="9"/>
  <c r="S75" i="9"/>
  <c r="S74" i="9"/>
  <c r="S64" i="9"/>
  <c r="S62" i="9"/>
  <c r="S59" i="9"/>
  <c r="S56" i="9"/>
  <c r="S18" i="9"/>
  <c r="S34" i="9"/>
  <c r="S32" i="9"/>
  <c r="N176" i="9"/>
  <c r="M176" i="9"/>
  <c r="S176" i="9" s="1"/>
  <c r="O166" i="9"/>
  <c r="M166" i="9"/>
  <c r="S166" i="9" s="1"/>
  <c r="N153" i="9"/>
  <c r="M153" i="9"/>
  <c r="S153" i="9" s="1"/>
  <c r="O149" i="9"/>
  <c r="M149" i="9"/>
  <c r="S149" i="9" s="1"/>
  <c r="O121" i="9"/>
  <c r="M121" i="9"/>
  <c r="S121" i="9" s="1"/>
  <c r="N71" i="9"/>
  <c r="M71" i="9"/>
  <c r="S71" i="9" s="1"/>
  <c r="O57" i="9"/>
  <c r="M57" i="9"/>
  <c r="S57" i="9" s="1"/>
  <c r="Y184" i="9"/>
  <c r="W184" i="9"/>
  <c r="U184" i="9"/>
  <c r="T184" i="9"/>
  <c r="Y182" i="9"/>
  <c r="W182" i="9"/>
  <c r="U182" i="9"/>
  <c r="T182" i="9"/>
  <c r="Z182" i="9" s="1"/>
  <c r="AA182" i="9" s="1"/>
  <c r="T174" i="9"/>
  <c r="W174" i="9"/>
  <c r="U174" i="9"/>
  <c r="T172" i="9"/>
  <c r="Y172" i="9"/>
  <c r="U172" i="9"/>
  <c r="W172" i="9"/>
  <c r="T170" i="9"/>
  <c r="W170" i="9"/>
  <c r="Y170" i="9"/>
  <c r="U170" i="9"/>
  <c r="T164" i="9"/>
  <c r="W164" i="9"/>
  <c r="U164" i="9"/>
  <c r="Y177" i="9"/>
  <c r="W177" i="9"/>
  <c r="U177" i="9"/>
  <c r="T177" i="9"/>
  <c r="W171" i="9"/>
  <c r="U171" i="9"/>
  <c r="T171" i="9"/>
  <c r="Y165" i="9"/>
  <c r="W165" i="9"/>
  <c r="U165" i="9"/>
  <c r="T165" i="9"/>
  <c r="T145" i="9"/>
  <c r="Y145" i="9"/>
  <c r="W145" i="9"/>
  <c r="U145" i="9"/>
  <c r="T137" i="9"/>
  <c r="Y137" i="9"/>
  <c r="W137" i="9"/>
  <c r="U137" i="9"/>
  <c r="Y148" i="9"/>
  <c r="W148" i="9"/>
  <c r="U148" i="9"/>
  <c r="T148" i="9"/>
  <c r="W132" i="9"/>
  <c r="U132" i="9"/>
  <c r="T132" i="9"/>
  <c r="Y124" i="9"/>
  <c r="W124" i="9"/>
  <c r="U124" i="9"/>
  <c r="T124" i="9"/>
  <c r="Z124" i="9" s="1"/>
  <c r="AA124" i="9" s="1"/>
  <c r="W122" i="9"/>
  <c r="U122" i="9"/>
  <c r="T122" i="9"/>
  <c r="T107" i="9"/>
  <c r="U107" i="9"/>
  <c r="Y107" i="9"/>
  <c r="W107" i="9"/>
  <c r="T101" i="9"/>
  <c r="Y101" i="9"/>
  <c r="W101" i="9"/>
  <c r="U101" i="9"/>
  <c r="T93" i="9"/>
  <c r="Y93" i="9"/>
  <c r="W93" i="9"/>
  <c r="U93" i="9"/>
  <c r="T85" i="9"/>
  <c r="W85" i="9"/>
  <c r="U85" i="9"/>
  <c r="T83" i="9"/>
  <c r="W83" i="9"/>
  <c r="Y83" i="9"/>
  <c r="U83" i="9"/>
  <c r="T79" i="9"/>
  <c r="W79" i="9"/>
  <c r="U79" i="9"/>
  <c r="T67" i="9"/>
  <c r="U67" i="9"/>
  <c r="W67" i="9"/>
  <c r="T61" i="9"/>
  <c r="W61" i="9"/>
  <c r="Y61" i="9"/>
  <c r="U61" i="9"/>
  <c r="T55" i="9"/>
  <c r="W55" i="9"/>
  <c r="Y55" i="9"/>
  <c r="U55" i="9"/>
  <c r="T47" i="9"/>
  <c r="Y47" i="9"/>
  <c r="U47" i="9"/>
  <c r="W47" i="9"/>
  <c r="T43" i="9"/>
  <c r="Y43" i="9"/>
  <c r="U43" i="9"/>
  <c r="W43" i="9"/>
  <c r="W114" i="9"/>
  <c r="U114" i="9"/>
  <c r="T114" i="9"/>
  <c r="Y110" i="9"/>
  <c r="W110" i="9"/>
  <c r="U110" i="9"/>
  <c r="T110" i="9"/>
  <c r="Y104" i="9"/>
  <c r="W104" i="9"/>
  <c r="U104" i="9"/>
  <c r="T104" i="9"/>
  <c r="Y96" i="9"/>
  <c r="W96" i="9"/>
  <c r="U96" i="9"/>
  <c r="T96" i="9"/>
  <c r="Y88" i="9"/>
  <c r="W88" i="9"/>
  <c r="U88" i="9"/>
  <c r="T88" i="9"/>
  <c r="W86" i="9"/>
  <c r="U86" i="9"/>
  <c r="T86" i="9"/>
  <c r="Z86" i="9" s="1"/>
  <c r="AA86" i="9" s="1"/>
  <c r="W82" i="9"/>
  <c r="U82" i="9"/>
  <c r="T82" i="9"/>
  <c r="T81" i="9"/>
  <c r="W81" i="9"/>
  <c r="Y81" i="9"/>
  <c r="U81" i="9"/>
  <c r="W78" i="9"/>
  <c r="U78" i="9"/>
  <c r="T78" i="9"/>
  <c r="T75" i="9"/>
  <c r="W75" i="9"/>
  <c r="Y75" i="9"/>
  <c r="U75" i="9"/>
  <c r="W74" i="9"/>
  <c r="U74" i="9"/>
  <c r="T74" i="9"/>
  <c r="Y66" i="9"/>
  <c r="W66" i="9"/>
  <c r="U66" i="9"/>
  <c r="T66" i="9"/>
  <c r="Y64" i="9"/>
  <c r="W64" i="9"/>
  <c r="U64" i="9"/>
  <c r="T64" i="9"/>
  <c r="Y62" i="9"/>
  <c r="W62" i="9"/>
  <c r="U62" i="9"/>
  <c r="T62" i="9"/>
  <c r="T59" i="9"/>
  <c r="Y59" i="9"/>
  <c r="U59" i="9"/>
  <c r="W59" i="9"/>
  <c r="Y56" i="9"/>
  <c r="W56" i="9"/>
  <c r="U56" i="9"/>
  <c r="T56" i="9"/>
  <c r="Y48" i="9"/>
  <c r="W48" i="9"/>
  <c r="U48" i="9"/>
  <c r="T48" i="9"/>
  <c r="Y42" i="9"/>
  <c r="W42" i="9"/>
  <c r="U42" i="9"/>
  <c r="T42" i="9"/>
  <c r="T20" i="9"/>
  <c r="Y20" i="9"/>
  <c r="W20" i="9"/>
  <c r="U20" i="9"/>
  <c r="T18" i="9"/>
  <c r="Y18" i="9"/>
  <c r="W18" i="9"/>
  <c r="U18" i="9"/>
  <c r="W39" i="9"/>
  <c r="U39" i="9"/>
  <c r="T39" i="9"/>
  <c r="Y37" i="9"/>
  <c r="W37" i="9"/>
  <c r="U37" i="9"/>
  <c r="T37" i="9"/>
  <c r="Z37" i="9" s="1"/>
  <c r="AA37" i="9" s="1"/>
  <c r="T34" i="9"/>
  <c r="Y34" i="9"/>
  <c r="W34" i="9"/>
  <c r="U34" i="9"/>
  <c r="W33" i="9"/>
  <c r="U33" i="9"/>
  <c r="T33" i="9"/>
  <c r="T32" i="9"/>
  <c r="Y32" i="9"/>
  <c r="W32" i="9"/>
  <c r="U32" i="9"/>
  <c r="W25" i="9"/>
  <c r="U25" i="9"/>
  <c r="T25" i="9"/>
  <c r="Z25" i="9" s="1"/>
  <c r="AA25" i="9" s="1"/>
  <c r="Y21" i="9"/>
  <c r="W21" i="9"/>
  <c r="U21" i="9"/>
  <c r="T21" i="9"/>
  <c r="T181" i="9"/>
  <c r="W181" i="9"/>
  <c r="U181" i="9"/>
  <c r="Y163" i="9"/>
  <c r="W163" i="9"/>
  <c r="U163" i="9"/>
  <c r="T163" i="9"/>
  <c r="Z163" i="9" s="1"/>
  <c r="AA163" i="9" s="1"/>
  <c r="W159" i="9"/>
  <c r="T159" i="9"/>
  <c r="U159" i="9"/>
  <c r="T141" i="9"/>
  <c r="Y141" i="9"/>
  <c r="W141" i="9"/>
  <c r="U141" i="9"/>
  <c r="T135" i="9"/>
  <c r="U135" i="9"/>
  <c r="Y135" i="9"/>
  <c r="W135" i="9"/>
  <c r="T123" i="9"/>
  <c r="W123" i="9"/>
  <c r="Y123" i="9"/>
  <c r="U123" i="9"/>
  <c r="Y156" i="9"/>
  <c r="W156" i="9"/>
  <c r="U156" i="9"/>
  <c r="T156" i="9"/>
  <c r="Z156" i="9" s="1"/>
  <c r="AA156" i="9" s="1"/>
  <c r="Y152" i="9"/>
  <c r="W152" i="9"/>
  <c r="U152" i="9"/>
  <c r="T152" i="9"/>
  <c r="W136" i="9"/>
  <c r="U136" i="9"/>
  <c r="T136" i="9"/>
  <c r="Y130" i="9"/>
  <c r="W130" i="9"/>
  <c r="U130" i="9"/>
  <c r="T130" i="9"/>
  <c r="T113" i="9"/>
  <c r="Y113" i="9"/>
  <c r="W113" i="9"/>
  <c r="U113" i="9"/>
  <c r="T103" i="9"/>
  <c r="Y103" i="9"/>
  <c r="W103" i="9"/>
  <c r="U103" i="9"/>
  <c r="T99" i="9"/>
  <c r="Y99" i="9"/>
  <c r="W99" i="9"/>
  <c r="U99" i="9"/>
  <c r="T95" i="9"/>
  <c r="W95" i="9"/>
  <c r="Y95" i="9"/>
  <c r="U95" i="9"/>
  <c r="T45" i="9"/>
  <c r="U45" i="9"/>
  <c r="Y45" i="9"/>
  <c r="W45" i="9"/>
  <c r="W118" i="9"/>
  <c r="U118" i="9"/>
  <c r="T118" i="9"/>
  <c r="Y116" i="9"/>
  <c r="W116" i="9"/>
  <c r="U116" i="9"/>
  <c r="T116" i="9"/>
  <c r="Z116" i="9" s="1"/>
  <c r="AA116" i="9" s="1"/>
  <c r="Y108" i="9"/>
  <c r="W108" i="9"/>
  <c r="U108" i="9"/>
  <c r="T108" i="9"/>
  <c r="W106" i="9"/>
  <c r="U106" i="9"/>
  <c r="T106" i="9"/>
  <c r="T105" i="9"/>
  <c r="W105" i="9"/>
  <c r="Y105" i="9"/>
  <c r="U105" i="9"/>
  <c r="Y100" i="9"/>
  <c r="W100" i="9"/>
  <c r="U100" i="9"/>
  <c r="T100" i="9"/>
  <c r="Y94" i="9"/>
  <c r="W94" i="9"/>
  <c r="U94" i="9"/>
  <c r="T94" i="9"/>
  <c r="W92" i="9"/>
  <c r="U92" i="9"/>
  <c r="T92" i="9"/>
  <c r="Z92" i="9" s="1"/>
  <c r="AA92" i="9" s="1"/>
  <c r="T91" i="9"/>
  <c r="W91" i="9"/>
  <c r="Y91" i="9"/>
  <c r="U91" i="9"/>
  <c r="W90" i="9"/>
  <c r="U90" i="9"/>
  <c r="T90" i="9"/>
  <c r="T89" i="9"/>
  <c r="W89" i="9"/>
  <c r="Y89" i="9"/>
  <c r="U89" i="9"/>
  <c r="W84" i="9"/>
  <c r="U84" i="9"/>
  <c r="T84" i="9"/>
  <c r="Z84" i="9" s="1"/>
  <c r="AA84" i="9" s="1"/>
  <c r="W80" i="9"/>
  <c r="U80" i="9"/>
  <c r="T80" i="9"/>
  <c r="Y76" i="9"/>
  <c r="W76" i="9"/>
  <c r="U76" i="9"/>
  <c r="T76" i="9"/>
  <c r="Y72" i="9"/>
  <c r="W72" i="9"/>
  <c r="U72" i="9"/>
  <c r="T72" i="9"/>
  <c r="Y68" i="9"/>
  <c r="W68" i="9"/>
  <c r="U68" i="9"/>
  <c r="T68" i="9"/>
  <c r="Y52" i="9"/>
  <c r="W52" i="9"/>
  <c r="U52" i="9"/>
  <c r="T52" i="9"/>
  <c r="Y50" i="9"/>
  <c r="W50" i="9"/>
  <c r="U50" i="9"/>
  <c r="T50" i="9"/>
  <c r="T49" i="9"/>
  <c r="W49" i="9"/>
  <c r="Y49" i="9"/>
  <c r="U49" i="9"/>
  <c r="W46" i="9"/>
  <c r="U46" i="9"/>
  <c r="T46" i="9"/>
  <c r="Z46" i="9" s="1"/>
  <c r="AA46" i="9" s="1"/>
  <c r="Y44" i="9"/>
  <c r="W44" i="9"/>
  <c r="U44" i="9"/>
  <c r="T44" i="9"/>
  <c r="Y40" i="9"/>
  <c r="W40" i="9"/>
  <c r="U40" i="9"/>
  <c r="T40" i="9"/>
  <c r="Z40" i="9" s="1"/>
  <c r="AA40" i="9" s="1"/>
  <c r="T38" i="9"/>
  <c r="Y38" i="9"/>
  <c r="W38" i="9"/>
  <c r="U38" i="9"/>
  <c r="T36" i="9"/>
  <c r="Y36" i="9"/>
  <c r="W36" i="9"/>
  <c r="U36" i="9"/>
  <c r="T30" i="9"/>
  <c r="Y30" i="9"/>
  <c r="W30" i="9"/>
  <c r="U30" i="9"/>
  <c r="T28" i="9"/>
  <c r="Y28" i="9"/>
  <c r="W28" i="9"/>
  <c r="U28" i="9"/>
  <c r="T26" i="9"/>
  <c r="Y26" i="9"/>
  <c r="W26" i="9"/>
  <c r="U26" i="9"/>
  <c r="T24" i="9"/>
  <c r="W24" i="9"/>
  <c r="U24" i="9"/>
  <c r="T129" i="9"/>
  <c r="W129" i="9"/>
  <c r="U129" i="9"/>
  <c r="Y129" i="9"/>
  <c r="W31" i="9"/>
  <c r="U31" i="9"/>
  <c r="T31" i="9"/>
  <c r="Z31" i="9" s="1"/>
  <c r="AA31" i="9" s="1"/>
  <c r="W27" i="9"/>
  <c r="U27" i="9"/>
  <c r="T27" i="9"/>
  <c r="Y19" i="9"/>
  <c r="W19" i="9"/>
  <c r="U19" i="9"/>
  <c r="T19" i="9"/>
  <c r="J191" i="5"/>
  <c r="J190" i="5"/>
  <c r="J189" i="5"/>
  <c r="J188" i="5"/>
  <c r="J187" i="5"/>
  <c r="T183" i="9"/>
  <c r="W183" i="9"/>
  <c r="U183" i="9"/>
  <c r="Y183" i="9"/>
  <c r="Y180" i="9"/>
  <c r="W180" i="9"/>
  <c r="U180" i="9"/>
  <c r="T180" i="9"/>
  <c r="Z180" i="9" s="1"/>
  <c r="AA180" i="9" s="1"/>
  <c r="T168" i="9"/>
  <c r="Y168" i="9"/>
  <c r="U168" i="9"/>
  <c r="W168" i="9"/>
  <c r="T155" i="9"/>
  <c r="U155" i="9"/>
  <c r="Y155" i="9"/>
  <c r="W155" i="9"/>
  <c r="T143" i="9"/>
  <c r="U143" i="9"/>
  <c r="W143" i="9"/>
  <c r="T147" i="9"/>
  <c r="W147" i="9"/>
  <c r="U147" i="9"/>
  <c r="T131" i="9"/>
  <c r="W131" i="9"/>
  <c r="U131" i="9"/>
  <c r="Y131" i="9"/>
  <c r="T97" i="9"/>
  <c r="U97" i="9"/>
  <c r="W97" i="9"/>
  <c r="T73" i="9"/>
  <c r="U73" i="9"/>
  <c r="Y73" i="9"/>
  <c r="W73" i="9"/>
  <c r="T69" i="9"/>
  <c r="Y69" i="9"/>
  <c r="U69" i="9"/>
  <c r="W69" i="9"/>
  <c r="O179" i="9"/>
  <c r="M179" i="9"/>
  <c r="N179" i="9"/>
  <c r="O175" i="9"/>
  <c r="M175" i="9"/>
  <c r="N175" i="9"/>
  <c r="O161" i="9"/>
  <c r="M161" i="9"/>
  <c r="O158" i="9"/>
  <c r="M158" i="9"/>
  <c r="N158" i="9"/>
  <c r="O144" i="9"/>
  <c r="M144" i="9"/>
  <c r="T139" i="9"/>
  <c r="U139" i="9"/>
  <c r="W139" i="9"/>
  <c r="T133" i="9"/>
  <c r="Y133" i="9"/>
  <c r="U133" i="9"/>
  <c r="W133" i="9"/>
  <c r="T119" i="9"/>
  <c r="U119" i="9"/>
  <c r="W119" i="9"/>
  <c r="T115" i="9"/>
  <c r="W115" i="9"/>
  <c r="Y115" i="9"/>
  <c r="U115" i="9"/>
  <c r="Y112" i="9"/>
  <c r="W112" i="9"/>
  <c r="U112" i="9"/>
  <c r="T112" i="9"/>
  <c r="Y102" i="9"/>
  <c r="W102" i="9"/>
  <c r="U102" i="9"/>
  <c r="T102" i="9"/>
  <c r="W98" i="9"/>
  <c r="U98" i="9"/>
  <c r="T98" i="9"/>
  <c r="T77" i="9"/>
  <c r="W77" i="9"/>
  <c r="Y77" i="9"/>
  <c r="U77" i="9"/>
  <c r="W70" i="9"/>
  <c r="U70" i="9"/>
  <c r="T70" i="9"/>
  <c r="T63" i="9"/>
  <c r="W63" i="9"/>
  <c r="U63" i="9"/>
  <c r="Y60" i="9"/>
  <c r="W60" i="9"/>
  <c r="U60" i="9"/>
  <c r="T60" i="9"/>
  <c r="Y58" i="9"/>
  <c r="W58" i="9"/>
  <c r="U58" i="9"/>
  <c r="T58" i="9"/>
  <c r="Z58" i="9" s="1"/>
  <c r="AA58" i="9" s="1"/>
  <c r="W54" i="9"/>
  <c r="U54" i="9"/>
  <c r="T54" i="9"/>
  <c r="K191" i="9"/>
  <c r="K189" i="9"/>
  <c r="K187" i="9"/>
  <c r="O15" i="9"/>
  <c r="M15" i="9"/>
  <c r="K190" i="9"/>
  <c r="K188" i="9"/>
  <c r="N15" i="9"/>
  <c r="Q190" i="5"/>
  <c r="Q189" i="5"/>
  <c r="Q188" i="5"/>
  <c r="W191" i="5"/>
  <c r="W190" i="5"/>
  <c r="W189" i="5"/>
  <c r="W188" i="5"/>
  <c r="W187" i="5"/>
  <c r="O142" i="9"/>
  <c r="M142" i="9"/>
  <c r="N142" i="9"/>
  <c r="O140" i="9"/>
  <c r="M140" i="9"/>
  <c r="T87" i="9"/>
  <c r="U87" i="9"/>
  <c r="W87" i="9"/>
  <c r="T41" i="9"/>
  <c r="Y41" i="9"/>
  <c r="U41" i="9"/>
  <c r="W41" i="9"/>
  <c r="T22" i="9"/>
  <c r="Y22" i="9"/>
  <c r="W22" i="9"/>
  <c r="U22" i="9"/>
  <c r="T16" i="9"/>
  <c r="W16" i="9"/>
  <c r="U16" i="9"/>
  <c r="V190" i="9"/>
  <c r="V188" i="9"/>
  <c r="V191" i="9"/>
  <c r="V189" i="9"/>
  <c r="V187" i="9"/>
  <c r="R189" i="9"/>
  <c r="R188" i="9"/>
  <c r="Y35" i="9"/>
  <c r="W35" i="9"/>
  <c r="U35" i="9"/>
  <c r="T35" i="9"/>
  <c r="Z35" i="9" s="1"/>
  <c r="AA35" i="9" s="1"/>
  <c r="W29" i="9"/>
  <c r="U29" i="9"/>
  <c r="T29" i="9"/>
  <c r="Q191" i="5"/>
  <c r="W23" i="9"/>
  <c r="U23" i="9"/>
  <c r="T23" i="9"/>
  <c r="W17" i="9"/>
  <c r="U17" i="9"/>
  <c r="T17" i="9"/>
  <c r="N15" i="5"/>
  <c r="L162" i="5"/>
  <c r="L104" i="5"/>
  <c r="M152" i="5"/>
  <c r="U191" i="5"/>
  <c r="U190" i="5"/>
  <c r="U189" i="5"/>
  <c r="U188" i="5"/>
  <c r="U187" i="5"/>
  <c r="T185" i="9"/>
  <c r="Y185" i="9"/>
  <c r="U185" i="9"/>
  <c r="W185" i="9"/>
  <c r="T178" i="9"/>
  <c r="Z178" i="9" s="1"/>
  <c r="U178" i="9"/>
  <c r="AA178" i="9"/>
  <c r="W178" i="9"/>
  <c r="S162" i="9"/>
  <c r="T160" i="9"/>
  <c r="Y160" i="9"/>
  <c r="U160" i="9"/>
  <c r="W160" i="9"/>
  <c r="S175" i="9"/>
  <c r="T157" i="9"/>
  <c r="Y157" i="9"/>
  <c r="U157" i="9"/>
  <c r="W157" i="9"/>
  <c r="T127" i="9"/>
  <c r="Y127" i="9"/>
  <c r="U127" i="9"/>
  <c r="W127" i="9"/>
  <c r="T125" i="9"/>
  <c r="Y125" i="9"/>
  <c r="U125" i="9"/>
  <c r="W125" i="9"/>
  <c r="O173" i="9"/>
  <c r="M173" i="9"/>
  <c r="S140" i="9"/>
  <c r="T117" i="9"/>
  <c r="Y117" i="9"/>
  <c r="U117" i="9"/>
  <c r="W117" i="9"/>
  <c r="T65" i="9"/>
  <c r="Y65" i="9"/>
  <c r="U65" i="9"/>
  <c r="W65" i="9"/>
  <c r="T53" i="9"/>
  <c r="Y53" i="9"/>
  <c r="U53" i="9"/>
  <c r="W53" i="9"/>
  <c r="O169" i="9"/>
  <c r="M169" i="9"/>
  <c r="S169" i="9" s="1"/>
  <c r="N169" i="9"/>
  <c r="O146" i="9"/>
  <c r="M146" i="9"/>
  <c r="O138" i="9"/>
  <c r="M138" i="9"/>
  <c r="O134" i="9"/>
  <c r="M134" i="9"/>
  <c r="O128" i="9"/>
  <c r="M128" i="9"/>
  <c r="O126" i="9"/>
  <c r="M126" i="9"/>
  <c r="K190" i="5"/>
  <c r="K189" i="5"/>
  <c r="K188" i="5"/>
  <c r="O167" i="9"/>
  <c r="M167" i="9"/>
  <c r="S167" i="9" s="1"/>
  <c r="N167" i="9"/>
  <c r="O154" i="9"/>
  <c r="M154" i="9"/>
  <c r="N154" i="9"/>
  <c r="O150" i="9"/>
  <c r="M150" i="9"/>
  <c r="S150" i="9" s="1"/>
  <c r="O120" i="9"/>
  <c r="M120" i="9"/>
  <c r="S120" i="9" s="1"/>
  <c r="N120" i="9"/>
  <c r="X190" i="9"/>
  <c r="X188" i="9"/>
  <c r="X191" i="9"/>
  <c r="X189" i="9"/>
  <c r="X187" i="9"/>
  <c r="R187" i="9"/>
  <c r="R191" i="9"/>
  <c r="L190" i="9"/>
  <c r="L188" i="9"/>
  <c r="L191" i="9"/>
  <c r="L189" i="9"/>
  <c r="L187" i="9"/>
  <c r="K187" i="5"/>
  <c r="O191" i="5"/>
  <c r="O188" i="5"/>
  <c r="O189" i="5"/>
  <c r="O111" i="4"/>
  <c r="O119" i="4"/>
  <c r="O127" i="4"/>
  <c r="O151" i="4"/>
  <c r="O159" i="4"/>
  <c r="O141" i="4"/>
  <c r="O143" i="4"/>
  <c r="O125" i="4"/>
  <c r="O190" i="5"/>
  <c r="O49" i="4"/>
  <c r="O107" i="4"/>
  <c r="O123" i="4"/>
  <c r="O139" i="4"/>
  <c r="O149" i="4"/>
  <c r="O165" i="4"/>
  <c r="O152" i="4"/>
  <c r="O168" i="4"/>
  <c r="O13" i="4"/>
  <c r="O29" i="4"/>
  <c r="O45" i="4"/>
  <c r="O69" i="4"/>
  <c r="O77" i="4"/>
  <c r="O47" i="4"/>
  <c r="O39" i="4"/>
  <c r="O133" i="4"/>
  <c r="O17" i="4"/>
  <c r="O81" i="4"/>
  <c r="O103" i="4"/>
  <c r="O135" i="4"/>
  <c r="O147" i="4"/>
  <c r="O163" i="4"/>
  <c r="O167" i="4"/>
  <c r="O9" i="4"/>
  <c r="O25" i="4"/>
  <c r="O41" i="4"/>
  <c r="O57" i="4"/>
  <c r="O73" i="4"/>
  <c r="O89" i="4"/>
  <c r="O144" i="4"/>
  <c r="O160" i="4"/>
  <c r="O5" i="4"/>
  <c r="O21" i="4"/>
  <c r="O37" i="4"/>
  <c r="O53" i="4"/>
  <c r="O61" i="4"/>
  <c r="O93" i="4"/>
  <c r="O101" i="4"/>
  <c r="O109" i="4"/>
  <c r="O157" i="4"/>
  <c r="O173" i="4"/>
  <c r="O155" i="4"/>
  <c r="O171" i="4"/>
  <c r="O33" i="4"/>
  <c r="O65" i="4"/>
  <c r="O97" i="4"/>
  <c r="O79" i="4"/>
  <c r="O71" i="4"/>
  <c r="O15" i="4"/>
  <c r="O7" i="4"/>
  <c r="O105" i="4"/>
  <c r="O113" i="4"/>
  <c r="O121" i="4"/>
  <c r="O129" i="4"/>
  <c r="O137" i="4"/>
  <c r="O145" i="4"/>
  <c r="O153" i="4"/>
  <c r="O161" i="4"/>
  <c r="O169" i="4"/>
  <c r="M106" i="5"/>
  <c r="N120" i="5"/>
  <c r="L136" i="5"/>
  <c r="L160" i="5"/>
  <c r="L184" i="5"/>
  <c r="O148" i="4"/>
  <c r="R160" i="5" s="1"/>
  <c r="O156" i="4"/>
  <c r="O164" i="4"/>
  <c r="O172" i="4"/>
  <c r="R184" i="5" s="1"/>
  <c r="O95" i="4"/>
  <c r="O87" i="4"/>
  <c r="O63" i="4"/>
  <c r="O55" i="4"/>
  <c r="O31" i="4"/>
  <c r="O23" i="4"/>
  <c r="O166" i="4"/>
  <c r="O158" i="4"/>
  <c r="O146" i="4"/>
  <c r="O140" i="4"/>
  <c r="O134" i="4"/>
  <c r="O128" i="4"/>
  <c r="O124" i="4"/>
  <c r="O120" i="4"/>
  <c r="O112" i="4"/>
  <c r="O108" i="4"/>
  <c r="O102" i="4"/>
  <c r="O94" i="4"/>
  <c r="O86" i="4"/>
  <c r="O78" i="4"/>
  <c r="O70" i="4"/>
  <c r="O62" i="4"/>
  <c r="O54" i="4"/>
  <c r="O46" i="4"/>
  <c r="O170" i="4"/>
  <c r="O154" i="4"/>
  <c r="O142" i="4"/>
  <c r="O126" i="4"/>
  <c r="O118" i="4"/>
  <c r="O110" i="4"/>
  <c r="O104" i="4"/>
  <c r="O92" i="4"/>
  <c r="O88" i="4"/>
  <c r="O76" i="4"/>
  <c r="O72" i="4"/>
  <c r="O56" i="4"/>
  <c r="O42" i="4"/>
  <c r="O34" i="4"/>
  <c r="O26" i="4"/>
  <c r="O18" i="4"/>
  <c r="O10" i="4"/>
  <c r="N122" i="5"/>
  <c r="N138" i="5"/>
  <c r="N170" i="5"/>
  <c r="M15" i="5"/>
  <c r="L106" i="5"/>
  <c r="L122" i="5"/>
  <c r="L138" i="5"/>
  <c r="L154" i="5"/>
  <c r="L170" i="5"/>
  <c r="R170" i="5" s="1"/>
  <c r="L15" i="5"/>
  <c r="L112" i="5"/>
  <c r="M112" i="5"/>
  <c r="L120" i="5"/>
  <c r="L128" i="5"/>
  <c r="L144" i="5"/>
  <c r="N152" i="5"/>
  <c r="M154" i="5"/>
  <c r="L168" i="5"/>
  <c r="M168" i="5"/>
  <c r="L176" i="5"/>
  <c r="M176" i="5"/>
  <c r="N102" i="5"/>
  <c r="N110" i="5"/>
  <c r="N118" i="5"/>
  <c r="N126" i="5"/>
  <c r="N134" i="5"/>
  <c r="M142" i="5"/>
  <c r="N150" i="5"/>
  <c r="M158" i="5"/>
  <c r="N166" i="5"/>
  <c r="N174" i="5"/>
  <c r="N182" i="5"/>
  <c r="R182" i="5" s="1"/>
  <c r="N100" i="5"/>
  <c r="M108" i="5"/>
  <c r="M116" i="5"/>
  <c r="L124" i="5"/>
  <c r="R124" i="5" s="1"/>
  <c r="L132" i="5"/>
  <c r="R132" i="5" s="1"/>
  <c r="L140" i="5"/>
  <c r="M148" i="5"/>
  <c r="L156" i="5"/>
  <c r="M164" i="5"/>
  <c r="L172" i="5"/>
  <c r="N180" i="5"/>
  <c r="R180" i="5" s="1"/>
  <c r="O99" i="4"/>
  <c r="O91" i="4"/>
  <c r="R103" i="5" s="1"/>
  <c r="O83" i="4"/>
  <c r="R95" i="5" s="1"/>
  <c r="O75" i="4"/>
  <c r="R87" i="5" s="1"/>
  <c r="O67" i="4"/>
  <c r="R79" i="5" s="1"/>
  <c r="O59" i="4"/>
  <c r="R71" i="5" s="1"/>
  <c r="O51" i="4"/>
  <c r="R63" i="5" s="1"/>
  <c r="O43" i="4"/>
  <c r="R55" i="5" s="1"/>
  <c r="O35" i="4"/>
  <c r="R47" i="5" s="1"/>
  <c r="O27" i="4"/>
  <c r="R39" i="5" s="1"/>
  <c r="O19" i="4"/>
  <c r="R31" i="5" s="1"/>
  <c r="O11" i="4"/>
  <c r="R23" i="5" s="1"/>
  <c r="O3" i="4"/>
  <c r="O130" i="4"/>
  <c r="O98" i="4"/>
  <c r="O90" i="4"/>
  <c r="O82" i="4"/>
  <c r="O74" i="4"/>
  <c r="O66" i="4"/>
  <c r="O58" i="4"/>
  <c r="O50" i="4"/>
  <c r="O44" i="4"/>
  <c r="O40" i="4"/>
  <c r="O36" i="4"/>
  <c r="O32" i="4"/>
  <c r="O28" i="4"/>
  <c r="O24" i="4"/>
  <c r="O20" i="4"/>
  <c r="O16" i="4"/>
  <c r="O12" i="4"/>
  <c r="O8" i="4"/>
  <c r="O6" i="4"/>
  <c r="O138" i="4"/>
  <c r="O122" i="4"/>
  <c r="O114" i="4"/>
  <c r="O106" i="4"/>
  <c r="O38" i="4"/>
  <c r="O30" i="4"/>
  <c r="O22" i="4"/>
  <c r="O14" i="4"/>
  <c r="O4" i="4"/>
  <c r="R106" i="5"/>
  <c r="N114" i="5"/>
  <c r="R114" i="5" s="1"/>
  <c r="N130" i="5"/>
  <c r="N146" i="5"/>
  <c r="R146" i="5" s="1"/>
  <c r="N178" i="5"/>
  <c r="R136" i="5"/>
  <c r="O116" i="4"/>
  <c r="O162" i="4"/>
  <c r="O150" i="4"/>
  <c r="R162" i="5" s="1"/>
  <c r="O136" i="4"/>
  <c r="O132" i="4"/>
  <c r="O100" i="4"/>
  <c r="O96" i="4"/>
  <c r="O84" i="4"/>
  <c r="O80" i="4"/>
  <c r="O68" i="4"/>
  <c r="O64" i="4"/>
  <c r="O60" i="4"/>
  <c r="O52" i="4"/>
  <c r="O48" i="4"/>
  <c r="N108" i="5"/>
  <c r="N172" i="5"/>
  <c r="L110" i="5"/>
  <c r="L126" i="5"/>
  <c r="L142" i="5"/>
  <c r="L158" i="5"/>
  <c r="L174" i="5"/>
  <c r="N156" i="5"/>
  <c r="L116" i="5"/>
  <c r="L148" i="5"/>
  <c r="R148" i="5" s="1"/>
  <c r="L164" i="5"/>
  <c r="N19" i="5"/>
  <c r="L19" i="5"/>
  <c r="N35" i="5"/>
  <c r="L35" i="5"/>
  <c r="N51" i="5"/>
  <c r="M51" i="5"/>
  <c r="L51" i="5"/>
  <c r="R51" i="5" s="1"/>
  <c r="N67" i="5"/>
  <c r="M67" i="5"/>
  <c r="L67" i="5"/>
  <c r="N83" i="5"/>
  <c r="L83" i="5"/>
  <c r="N99" i="5"/>
  <c r="M99" i="5"/>
  <c r="L99" i="5"/>
  <c r="N105" i="5"/>
  <c r="L105" i="5"/>
  <c r="N109" i="5"/>
  <c r="L109" i="5"/>
  <c r="M109" i="5"/>
  <c r="N113" i="5"/>
  <c r="L113" i="5"/>
  <c r="N117" i="5"/>
  <c r="L117" i="5"/>
  <c r="N121" i="5"/>
  <c r="L121" i="5"/>
  <c r="N125" i="5"/>
  <c r="L125" i="5"/>
  <c r="N129" i="5"/>
  <c r="L129" i="5"/>
  <c r="N133" i="5"/>
  <c r="L133" i="5"/>
  <c r="M133" i="5"/>
  <c r="N137" i="5"/>
  <c r="L137" i="5"/>
  <c r="N141" i="5"/>
  <c r="L141" i="5"/>
  <c r="N145" i="5"/>
  <c r="L145" i="5"/>
  <c r="N149" i="5"/>
  <c r="L149" i="5"/>
  <c r="N153" i="5"/>
  <c r="M153" i="5"/>
  <c r="L153" i="5"/>
  <c r="N157" i="5"/>
  <c r="L157" i="5"/>
  <c r="N161" i="5"/>
  <c r="L161" i="5"/>
  <c r="N165" i="5"/>
  <c r="M165" i="5"/>
  <c r="L165" i="5"/>
  <c r="N169" i="5"/>
  <c r="L169" i="5"/>
  <c r="M169" i="5"/>
  <c r="N173" i="5"/>
  <c r="L173" i="5"/>
  <c r="N177" i="5"/>
  <c r="L177" i="5"/>
  <c r="M177" i="5"/>
  <c r="N181" i="5"/>
  <c r="L181" i="5"/>
  <c r="N185" i="5"/>
  <c r="L185" i="5"/>
  <c r="M20" i="5"/>
  <c r="N20" i="5"/>
  <c r="L20" i="5"/>
  <c r="N22" i="5"/>
  <c r="M22" i="5"/>
  <c r="L22" i="5"/>
  <c r="N24" i="5"/>
  <c r="L24" i="5"/>
  <c r="N26" i="5"/>
  <c r="M26" i="5"/>
  <c r="L26" i="5"/>
  <c r="L28" i="5"/>
  <c r="N28" i="5"/>
  <c r="N30" i="5"/>
  <c r="M30" i="5"/>
  <c r="L30" i="5"/>
  <c r="N32" i="5"/>
  <c r="L32" i="5"/>
  <c r="N34" i="5"/>
  <c r="L34" i="5"/>
  <c r="N36" i="5"/>
  <c r="L36" i="5"/>
  <c r="N38" i="5"/>
  <c r="M38" i="5"/>
  <c r="L38" i="5"/>
  <c r="N40" i="5"/>
  <c r="L40" i="5"/>
  <c r="N42" i="5"/>
  <c r="M42" i="5"/>
  <c r="L42" i="5"/>
  <c r="M44" i="5"/>
  <c r="L44" i="5"/>
  <c r="N44" i="5"/>
  <c r="N46" i="5"/>
  <c r="L46" i="5"/>
  <c r="N48" i="5"/>
  <c r="L48" i="5"/>
  <c r="N50" i="5"/>
  <c r="M50" i="5"/>
  <c r="L50" i="5"/>
  <c r="N52" i="5"/>
  <c r="L52" i="5"/>
  <c r="N54" i="5"/>
  <c r="M54" i="5"/>
  <c r="L54" i="5"/>
  <c r="N56" i="5"/>
  <c r="L56" i="5"/>
  <c r="N58" i="5"/>
  <c r="M58" i="5"/>
  <c r="L58" i="5"/>
  <c r="L60" i="5"/>
  <c r="N60" i="5"/>
  <c r="N62" i="5"/>
  <c r="M62" i="5"/>
  <c r="L62" i="5"/>
  <c r="N64" i="5"/>
  <c r="L64" i="5"/>
  <c r="N66" i="5"/>
  <c r="M66" i="5"/>
  <c r="L66" i="5"/>
  <c r="N68" i="5"/>
  <c r="L68" i="5"/>
  <c r="N70" i="5"/>
  <c r="M70" i="5"/>
  <c r="L70" i="5"/>
  <c r="N72" i="5"/>
  <c r="L72" i="5"/>
  <c r="N74" i="5"/>
  <c r="L74" i="5"/>
  <c r="M76" i="5"/>
  <c r="L76" i="5"/>
  <c r="N76" i="5"/>
  <c r="N78" i="5"/>
  <c r="L78" i="5"/>
  <c r="M80" i="5"/>
  <c r="N80" i="5"/>
  <c r="L80" i="5"/>
  <c r="N82" i="5"/>
  <c r="M82" i="5"/>
  <c r="L82" i="5"/>
  <c r="M84" i="5"/>
  <c r="N84" i="5"/>
  <c r="L84" i="5"/>
  <c r="N86" i="5"/>
  <c r="L86" i="5"/>
  <c r="M88" i="5"/>
  <c r="N88" i="5"/>
  <c r="L88" i="5"/>
  <c r="N90" i="5"/>
  <c r="M90" i="5"/>
  <c r="L90" i="5"/>
  <c r="L92" i="5"/>
  <c r="N92" i="5"/>
  <c r="N94" i="5"/>
  <c r="M94" i="5"/>
  <c r="L94" i="5"/>
  <c r="M96" i="5"/>
  <c r="N96" i="5"/>
  <c r="L96" i="5"/>
  <c r="N98" i="5"/>
  <c r="M98" i="5"/>
  <c r="L98" i="5"/>
  <c r="N21" i="5"/>
  <c r="L21" i="5"/>
  <c r="N29" i="5"/>
  <c r="L29" i="5"/>
  <c r="N37" i="5"/>
  <c r="L37" i="5"/>
  <c r="N45" i="5"/>
  <c r="L45" i="5"/>
  <c r="M45" i="5"/>
  <c r="N53" i="5"/>
  <c r="L53" i="5"/>
  <c r="N61" i="5"/>
  <c r="L61" i="5"/>
  <c r="N69" i="5"/>
  <c r="L69" i="5"/>
  <c r="N77" i="5"/>
  <c r="M77" i="5"/>
  <c r="L77" i="5"/>
  <c r="N85" i="5"/>
  <c r="L85" i="5"/>
  <c r="N93" i="5"/>
  <c r="L93" i="5"/>
  <c r="N27" i="5"/>
  <c r="L27" i="5"/>
  <c r="N43" i="5"/>
  <c r="L43" i="5"/>
  <c r="N59" i="5"/>
  <c r="M59" i="5"/>
  <c r="L59" i="5"/>
  <c r="N75" i="5"/>
  <c r="L75" i="5"/>
  <c r="N91" i="5"/>
  <c r="L91" i="5"/>
  <c r="N101" i="5"/>
  <c r="L101" i="5"/>
  <c r="N107" i="5"/>
  <c r="M107" i="5"/>
  <c r="L107" i="5"/>
  <c r="N111" i="5"/>
  <c r="L111" i="5"/>
  <c r="N115" i="5"/>
  <c r="M115" i="5"/>
  <c r="L115" i="5"/>
  <c r="N119" i="5"/>
  <c r="L119" i="5"/>
  <c r="M119" i="5"/>
  <c r="N123" i="5"/>
  <c r="L123" i="5"/>
  <c r="R123" i="5" s="1"/>
  <c r="N127" i="5"/>
  <c r="L127" i="5"/>
  <c r="R127" i="5" s="1"/>
  <c r="N131" i="5"/>
  <c r="L131" i="5"/>
  <c r="M131" i="5"/>
  <c r="N135" i="5"/>
  <c r="L135" i="5"/>
  <c r="M135" i="5"/>
  <c r="N139" i="5"/>
  <c r="L139" i="5"/>
  <c r="R139" i="5" s="1"/>
  <c r="M139" i="5"/>
  <c r="N143" i="5"/>
  <c r="M143" i="5"/>
  <c r="L143" i="5"/>
  <c r="R143" i="5" s="1"/>
  <c r="N147" i="5"/>
  <c r="M147" i="5"/>
  <c r="L147" i="5"/>
  <c r="N151" i="5"/>
  <c r="L151" i="5"/>
  <c r="M151" i="5"/>
  <c r="N155" i="5"/>
  <c r="L155" i="5"/>
  <c r="R155" i="5" s="1"/>
  <c r="M155" i="5"/>
  <c r="N159" i="5"/>
  <c r="M159" i="5"/>
  <c r="L159" i="5"/>
  <c r="N163" i="5"/>
  <c r="L163" i="5"/>
  <c r="M163" i="5"/>
  <c r="N167" i="5"/>
  <c r="M167" i="5"/>
  <c r="L167" i="5"/>
  <c r="N171" i="5"/>
  <c r="L171" i="5"/>
  <c r="R171" i="5" s="1"/>
  <c r="M171" i="5"/>
  <c r="N175" i="5"/>
  <c r="M175" i="5"/>
  <c r="L175" i="5"/>
  <c r="N179" i="5"/>
  <c r="L179" i="5"/>
  <c r="M179" i="5"/>
  <c r="N183" i="5"/>
  <c r="M183" i="5"/>
  <c r="L183" i="5"/>
  <c r="M16" i="5"/>
  <c r="N16" i="5"/>
  <c r="L16" i="5"/>
  <c r="N18" i="5"/>
  <c r="L18" i="5"/>
  <c r="N17" i="5"/>
  <c r="L17" i="5"/>
  <c r="N25" i="5"/>
  <c r="M25" i="5"/>
  <c r="L25" i="5"/>
  <c r="N33" i="5"/>
  <c r="M33" i="5"/>
  <c r="L33" i="5"/>
  <c r="N41" i="5"/>
  <c r="L41" i="5"/>
  <c r="M41" i="5"/>
  <c r="N49" i="5"/>
  <c r="L49" i="5"/>
  <c r="N57" i="5"/>
  <c r="L57" i="5"/>
  <c r="R57" i="5" s="1"/>
  <c r="N65" i="5"/>
  <c r="L65" i="5"/>
  <c r="N73" i="5"/>
  <c r="L73" i="5"/>
  <c r="N81" i="5"/>
  <c r="L81" i="5"/>
  <c r="N89" i="5"/>
  <c r="L89" i="5"/>
  <c r="R89" i="5" s="1"/>
  <c r="N97" i="5"/>
  <c r="L97" i="5"/>
  <c r="R97" i="5" s="1"/>
  <c r="T57" i="9" l="1"/>
  <c r="U57" i="9"/>
  <c r="Y57" i="9"/>
  <c r="W57" i="9"/>
  <c r="T71" i="9"/>
  <c r="Y71" i="9"/>
  <c r="W71" i="9"/>
  <c r="U71" i="9"/>
  <c r="T121" i="9"/>
  <c r="Y121" i="9"/>
  <c r="U121" i="9"/>
  <c r="W121" i="9"/>
  <c r="Y149" i="9"/>
  <c r="W149" i="9"/>
  <c r="T149" i="9"/>
  <c r="U149" i="9"/>
  <c r="T153" i="9"/>
  <c r="W153" i="9"/>
  <c r="Y153" i="9"/>
  <c r="U153" i="9"/>
  <c r="U166" i="9"/>
  <c r="W166" i="9"/>
  <c r="T166" i="9"/>
  <c r="Z166" i="9" s="1"/>
  <c r="AA166" i="9" s="1"/>
  <c r="T176" i="9"/>
  <c r="U176" i="9"/>
  <c r="W176" i="9"/>
  <c r="T51" i="9"/>
  <c r="Y51" i="9"/>
  <c r="W51" i="9"/>
  <c r="U51" i="9"/>
  <c r="T109" i="9"/>
  <c r="Y109" i="9"/>
  <c r="W109" i="9"/>
  <c r="U109" i="9"/>
  <c r="Y111" i="9"/>
  <c r="W111" i="9"/>
  <c r="T111" i="9"/>
  <c r="U111" i="9"/>
  <c r="T151" i="9"/>
  <c r="U151" i="9"/>
  <c r="W151" i="9"/>
  <c r="Z54" i="9"/>
  <c r="AA54" i="9" s="1"/>
  <c r="Z70" i="9"/>
  <c r="AA70" i="9" s="1"/>
  <c r="Z112" i="9"/>
  <c r="AA112" i="9" s="1"/>
  <c r="Z139" i="9"/>
  <c r="AA139" i="9" s="1"/>
  <c r="S144" i="9"/>
  <c r="S158" i="9"/>
  <c r="S161" i="9"/>
  <c r="S179" i="9"/>
  <c r="Z27" i="9"/>
  <c r="AA27" i="9" s="1"/>
  <c r="Z52" i="9"/>
  <c r="AA52" i="9" s="1"/>
  <c r="Z72" i="9"/>
  <c r="AA72" i="9" s="1"/>
  <c r="Z80" i="9"/>
  <c r="AA80" i="9" s="1"/>
  <c r="Z94" i="9"/>
  <c r="AA94" i="9" s="1"/>
  <c r="Z130" i="9"/>
  <c r="AA130" i="9" s="1"/>
  <c r="Z48" i="9"/>
  <c r="AA48" i="9" s="1"/>
  <c r="Z64" i="9"/>
  <c r="AA64" i="9" s="1"/>
  <c r="Z74" i="9"/>
  <c r="AA74" i="9" s="1"/>
  <c r="Z82" i="9"/>
  <c r="AA82" i="9" s="1"/>
  <c r="Z88" i="9"/>
  <c r="AA88" i="9" s="1"/>
  <c r="Z104" i="9"/>
  <c r="AA104" i="9" s="1"/>
  <c r="Z114" i="9"/>
  <c r="AA114" i="9" s="1"/>
  <c r="Z122" i="9"/>
  <c r="AA122" i="9" s="1"/>
  <c r="Z165" i="9"/>
  <c r="AA165" i="9" s="1"/>
  <c r="S173" i="9"/>
  <c r="Z29" i="9"/>
  <c r="AA29" i="9" s="1"/>
  <c r="R118" i="5"/>
  <c r="Z53" i="9"/>
  <c r="AA53" i="9" s="1"/>
  <c r="Y173" i="9"/>
  <c r="W173" i="9"/>
  <c r="U173" i="9"/>
  <c r="T173" i="9"/>
  <c r="Z173" i="9" s="1"/>
  <c r="AA173" i="9" s="1"/>
  <c r="T162" i="9"/>
  <c r="U162" i="9"/>
  <c r="Y162" i="9"/>
  <c r="W162" i="9"/>
  <c r="M191" i="9"/>
  <c r="M189" i="9"/>
  <c r="M187" i="9"/>
  <c r="M190" i="9"/>
  <c r="M188" i="9"/>
  <c r="S15" i="9"/>
  <c r="Z77" i="9"/>
  <c r="AA77" i="9" s="1"/>
  <c r="R25" i="5"/>
  <c r="L187" i="5"/>
  <c r="L191" i="5"/>
  <c r="L190" i="5"/>
  <c r="L189" i="5"/>
  <c r="L188" i="5"/>
  <c r="M191" i="5"/>
  <c r="M190" i="5"/>
  <c r="M189" i="5"/>
  <c r="M188" i="5"/>
  <c r="M187" i="5"/>
  <c r="W120" i="9"/>
  <c r="U120" i="9"/>
  <c r="T120" i="9"/>
  <c r="W150" i="9"/>
  <c r="U150" i="9"/>
  <c r="T150" i="9"/>
  <c r="Z150" i="9" s="1"/>
  <c r="AA150" i="9" s="1"/>
  <c r="Y167" i="9"/>
  <c r="W167" i="9"/>
  <c r="U167" i="9"/>
  <c r="T167" i="9"/>
  <c r="Y169" i="9"/>
  <c r="W169" i="9"/>
  <c r="U169" i="9"/>
  <c r="T169" i="9"/>
  <c r="Z169" i="9" s="1"/>
  <c r="AA169" i="9" s="1"/>
  <c r="Z65" i="9"/>
  <c r="AA65" i="9" s="1"/>
  <c r="Y140" i="9"/>
  <c r="W140" i="9"/>
  <c r="U140" i="9"/>
  <c r="T140" i="9"/>
  <c r="Z125" i="9"/>
  <c r="AA125" i="9" s="1"/>
  <c r="Z149" i="9"/>
  <c r="AA149" i="9" s="1"/>
  <c r="W175" i="9"/>
  <c r="U175" i="9"/>
  <c r="T175" i="9"/>
  <c r="Z175" i="9" s="1"/>
  <c r="AA175" i="9" s="1"/>
  <c r="N187" i="5"/>
  <c r="N191" i="5"/>
  <c r="N190" i="5"/>
  <c r="N189" i="5"/>
  <c r="N188" i="5"/>
  <c r="Z22" i="9"/>
  <c r="AA22" i="9" s="1"/>
  <c r="Y144" i="9"/>
  <c r="W144" i="9"/>
  <c r="U144" i="9"/>
  <c r="T144" i="9"/>
  <c r="Z133" i="9"/>
  <c r="AA133" i="9" s="1"/>
  <c r="Y158" i="9"/>
  <c r="W158" i="9"/>
  <c r="U158" i="9"/>
  <c r="T158" i="9"/>
  <c r="Y161" i="9"/>
  <c r="W161" i="9"/>
  <c r="U161" i="9"/>
  <c r="T161" i="9"/>
  <c r="Y179" i="9"/>
  <c r="W179" i="9"/>
  <c r="U179" i="9"/>
  <c r="T179" i="9"/>
  <c r="Z69" i="9"/>
  <c r="AA69" i="9" s="1"/>
  <c r="Z111" i="9"/>
  <c r="AA111" i="9" s="1"/>
  <c r="Z153" i="9"/>
  <c r="AA153" i="9" s="1"/>
  <c r="Z155" i="9"/>
  <c r="AA155" i="9" s="1"/>
  <c r="Z129" i="9"/>
  <c r="AA129" i="9" s="1"/>
  <c r="Z24" i="9"/>
  <c r="AA24" i="9" s="1"/>
  <c r="Z28" i="9"/>
  <c r="AA28" i="9" s="1"/>
  <c r="Z36" i="9"/>
  <c r="AA36" i="9" s="1"/>
  <c r="Z49" i="9"/>
  <c r="AA49" i="9" s="1"/>
  <c r="Z89" i="9"/>
  <c r="AA89" i="9" s="1"/>
  <c r="Z105" i="9"/>
  <c r="AA105" i="9" s="1"/>
  <c r="Z71" i="9"/>
  <c r="AA71" i="9" s="1"/>
  <c r="Z99" i="9"/>
  <c r="AA99" i="9" s="1"/>
  <c r="Z109" i="9"/>
  <c r="AA109" i="9" s="1"/>
  <c r="Z135" i="9"/>
  <c r="AA135" i="9" s="1"/>
  <c r="Z176" i="9"/>
  <c r="AA176" i="9" s="1"/>
  <c r="Z181" i="9"/>
  <c r="AA181" i="9" s="1"/>
  <c r="Z32" i="9"/>
  <c r="AA32" i="9" s="1"/>
  <c r="Z20" i="9"/>
  <c r="AA20" i="9" s="1"/>
  <c r="Z59" i="9"/>
  <c r="AA59" i="9" s="1"/>
  <c r="Z75" i="9"/>
  <c r="AA75" i="9" s="1"/>
  <c r="Z43" i="9"/>
  <c r="AA43" i="9" s="1"/>
  <c r="Z55" i="9"/>
  <c r="AA55" i="9" s="1"/>
  <c r="Z83" i="9"/>
  <c r="AA83" i="9" s="1"/>
  <c r="Z85" i="9"/>
  <c r="AA85" i="9" s="1"/>
  <c r="Z101" i="9"/>
  <c r="AA101" i="9" s="1"/>
  <c r="Z137" i="9"/>
  <c r="AA137" i="9" s="1"/>
  <c r="Z170" i="9"/>
  <c r="AA170" i="9" s="1"/>
  <c r="R102" i="5"/>
  <c r="R120" i="5"/>
  <c r="R138" i="5"/>
  <c r="R104" i="5"/>
  <c r="S154" i="9"/>
  <c r="S126" i="9"/>
  <c r="S128" i="9"/>
  <c r="S134" i="9"/>
  <c r="S138" i="9"/>
  <c r="S146" i="9"/>
  <c r="Z57" i="9"/>
  <c r="AA57" i="9" s="1"/>
  <c r="Z117" i="9"/>
  <c r="AA117" i="9" s="1"/>
  <c r="Z127" i="9"/>
  <c r="AA127" i="9" s="1"/>
  <c r="Z157" i="9"/>
  <c r="AA157" i="9" s="1"/>
  <c r="Z160" i="9"/>
  <c r="AA160" i="9" s="1"/>
  <c r="Z185" i="9"/>
  <c r="AA185" i="9" s="1"/>
  <c r="Z17" i="9"/>
  <c r="AA17" i="9" s="1"/>
  <c r="Z23" i="9"/>
  <c r="AA23" i="9" s="1"/>
  <c r="Z16" i="9"/>
  <c r="AA16" i="9" s="1"/>
  <c r="Z41" i="9"/>
  <c r="AA41" i="9" s="1"/>
  <c r="Z87" i="9"/>
  <c r="AA87" i="9" s="1"/>
  <c r="S142" i="9"/>
  <c r="N190" i="9"/>
  <c r="N188" i="9"/>
  <c r="N191" i="9"/>
  <c r="N189" i="9"/>
  <c r="N187" i="9"/>
  <c r="O191" i="9"/>
  <c r="O189" i="9"/>
  <c r="O187" i="9"/>
  <c r="O190" i="9"/>
  <c r="O188" i="9"/>
  <c r="Z51" i="9"/>
  <c r="AA51" i="9" s="1"/>
  <c r="Z60" i="9"/>
  <c r="AA60" i="9" s="1"/>
  <c r="Z63" i="9"/>
  <c r="AA63" i="9" s="1"/>
  <c r="Z98" i="9"/>
  <c r="AA98" i="9" s="1"/>
  <c r="Z102" i="9"/>
  <c r="AA102" i="9" s="1"/>
  <c r="Z115" i="9"/>
  <c r="AA115" i="9" s="1"/>
  <c r="Z119" i="9"/>
  <c r="AA119" i="9" s="1"/>
  <c r="Z73" i="9"/>
  <c r="AA73" i="9" s="1"/>
  <c r="Z97" i="9"/>
  <c r="AA97" i="9" s="1"/>
  <c r="Z131" i="9"/>
  <c r="AA131" i="9" s="1"/>
  <c r="Z147" i="9"/>
  <c r="AA147" i="9" s="1"/>
  <c r="Z121" i="9"/>
  <c r="AA121" i="9" s="1"/>
  <c r="Z143" i="9"/>
  <c r="AA143" i="9" s="1"/>
  <c r="Z168" i="9"/>
  <c r="AA168" i="9" s="1"/>
  <c r="Z183" i="9"/>
  <c r="AA183" i="9" s="1"/>
  <c r="Z19" i="9"/>
  <c r="AA19" i="9" s="1"/>
  <c r="Z26" i="9"/>
  <c r="AA26" i="9" s="1"/>
  <c r="Z30" i="9"/>
  <c r="AA30" i="9" s="1"/>
  <c r="Z38" i="9"/>
  <c r="AA38" i="9" s="1"/>
  <c r="Z44" i="9"/>
  <c r="AA44" i="9" s="1"/>
  <c r="Z50" i="9"/>
  <c r="AA50" i="9" s="1"/>
  <c r="Z68" i="9"/>
  <c r="AA68" i="9" s="1"/>
  <c r="Z76" i="9"/>
  <c r="AA76" i="9" s="1"/>
  <c r="Z90" i="9"/>
  <c r="AA90" i="9" s="1"/>
  <c r="Z91" i="9"/>
  <c r="AA91" i="9" s="1"/>
  <c r="Z100" i="9"/>
  <c r="AA100" i="9" s="1"/>
  <c r="Z106" i="9"/>
  <c r="AA106" i="9" s="1"/>
  <c r="Z108" i="9"/>
  <c r="AA108" i="9" s="1"/>
  <c r="Z118" i="9"/>
  <c r="AA118" i="9" s="1"/>
  <c r="Z45" i="9"/>
  <c r="AA45" i="9" s="1"/>
  <c r="Z95" i="9"/>
  <c r="AA95" i="9" s="1"/>
  <c r="Z103" i="9"/>
  <c r="AA103" i="9" s="1"/>
  <c r="Z113" i="9"/>
  <c r="AA113" i="9" s="1"/>
  <c r="Z136" i="9"/>
  <c r="AA136" i="9" s="1"/>
  <c r="Z152" i="9"/>
  <c r="AA152" i="9" s="1"/>
  <c r="Z123" i="9"/>
  <c r="AA123" i="9" s="1"/>
  <c r="Z141" i="9"/>
  <c r="AA141" i="9" s="1"/>
  <c r="Z151" i="9"/>
  <c r="AA151" i="9" s="1"/>
  <c r="Z159" i="9"/>
  <c r="AA159" i="9" s="1"/>
  <c r="Z21" i="9"/>
  <c r="AA21" i="9" s="1"/>
  <c r="Z33" i="9"/>
  <c r="AA33" i="9" s="1"/>
  <c r="Z34" i="9"/>
  <c r="AA34" i="9" s="1"/>
  <c r="Z39" i="9"/>
  <c r="AA39" i="9" s="1"/>
  <c r="Z18" i="9"/>
  <c r="AA18" i="9" s="1"/>
  <c r="Z42" i="9"/>
  <c r="AA42" i="9" s="1"/>
  <c r="Z56" i="9"/>
  <c r="AA56" i="9" s="1"/>
  <c r="Z62" i="9"/>
  <c r="AA62" i="9" s="1"/>
  <c r="Z66" i="9"/>
  <c r="AA66" i="9" s="1"/>
  <c r="Z78" i="9"/>
  <c r="AA78" i="9" s="1"/>
  <c r="Z81" i="9"/>
  <c r="AA81" i="9" s="1"/>
  <c r="Z96" i="9"/>
  <c r="AA96" i="9" s="1"/>
  <c r="Z110" i="9"/>
  <c r="AA110" i="9" s="1"/>
  <c r="Z47" i="9"/>
  <c r="AA47" i="9" s="1"/>
  <c r="Z61" i="9"/>
  <c r="AA61" i="9" s="1"/>
  <c r="Z67" i="9"/>
  <c r="AA67" i="9" s="1"/>
  <c r="Z79" i="9"/>
  <c r="AA79" i="9" s="1"/>
  <c r="Z93" i="9"/>
  <c r="AA93" i="9" s="1"/>
  <c r="Z107" i="9"/>
  <c r="AA107" i="9" s="1"/>
  <c r="Z132" i="9"/>
  <c r="AA132" i="9" s="1"/>
  <c r="Z148" i="9"/>
  <c r="AA148" i="9" s="1"/>
  <c r="Z145" i="9"/>
  <c r="AA145" i="9" s="1"/>
  <c r="Z171" i="9"/>
  <c r="AA171" i="9" s="1"/>
  <c r="Z177" i="9"/>
  <c r="AA177" i="9" s="1"/>
  <c r="Z164" i="9"/>
  <c r="AA164" i="9" s="1"/>
  <c r="Z172" i="9"/>
  <c r="AA172" i="9" s="1"/>
  <c r="Z174" i="9"/>
  <c r="AA174" i="9" s="1"/>
  <c r="Z184" i="9"/>
  <c r="AA184" i="9" s="1"/>
  <c r="R163" i="5"/>
  <c r="X163" i="5" s="1"/>
  <c r="R131" i="5"/>
  <c r="V131" i="5" s="1"/>
  <c r="R137" i="5"/>
  <c r="X137" i="5" s="1"/>
  <c r="R81" i="5"/>
  <c r="X81" i="5" s="1"/>
  <c r="R145" i="5"/>
  <c r="V145" i="5" s="1"/>
  <c r="R65" i="5"/>
  <c r="V65" i="5" s="1"/>
  <c r="R183" i="5"/>
  <c r="X183" i="5" s="1"/>
  <c r="R179" i="5"/>
  <c r="V179" i="5" s="1"/>
  <c r="R159" i="5"/>
  <c r="V159" i="5" s="1"/>
  <c r="R111" i="5"/>
  <c r="V111" i="5" s="1"/>
  <c r="R107" i="5"/>
  <c r="X107" i="5" s="1"/>
  <c r="R43" i="5"/>
  <c r="V43" i="5" s="1"/>
  <c r="R27" i="5"/>
  <c r="S27" i="5" s="1"/>
  <c r="R77" i="5"/>
  <c r="X77" i="5" s="1"/>
  <c r="R37" i="5"/>
  <c r="X37" i="5" s="1"/>
  <c r="R29" i="5"/>
  <c r="T29" i="5" s="1"/>
  <c r="R98" i="5"/>
  <c r="V98" i="5" s="1"/>
  <c r="R94" i="5"/>
  <c r="X94" i="5" s="1"/>
  <c r="R82" i="5"/>
  <c r="V82" i="5" s="1"/>
  <c r="R78" i="5"/>
  <c r="T78" i="5" s="1"/>
  <c r="R66" i="5"/>
  <c r="V66" i="5" s="1"/>
  <c r="R52" i="5"/>
  <c r="X52" i="5" s="1"/>
  <c r="R50" i="5"/>
  <c r="V50" i="5" s="1"/>
  <c r="R44" i="5"/>
  <c r="X44" i="5" s="1"/>
  <c r="R36" i="5"/>
  <c r="V36" i="5" s="1"/>
  <c r="R34" i="5"/>
  <c r="V34" i="5" s="1"/>
  <c r="R28" i="5"/>
  <c r="X28" i="5" s="1"/>
  <c r="R22" i="5"/>
  <c r="X22" i="5" s="1"/>
  <c r="R185" i="5"/>
  <c r="X185" i="5" s="1"/>
  <c r="R181" i="5"/>
  <c r="V181" i="5" s="1"/>
  <c r="R165" i="5"/>
  <c r="V165" i="5" s="1"/>
  <c r="R149" i="5"/>
  <c r="X149" i="5" s="1"/>
  <c r="R105" i="5"/>
  <c r="X105" i="5" s="1"/>
  <c r="R158" i="5"/>
  <c r="V158" i="5" s="1"/>
  <c r="R126" i="5"/>
  <c r="V126" i="5" s="1"/>
  <c r="R178" i="5"/>
  <c r="V178" i="5" s="1"/>
  <c r="R130" i="5"/>
  <c r="V130" i="5" s="1"/>
  <c r="R100" i="5"/>
  <c r="V100" i="5" s="1"/>
  <c r="X184" i="5"/>
  <c r="V184" i="5"/>
  <c r="X162" i="5"/>
  <c r="V162" i="5"/>
  <c r="X160" i="5"/>
  <c r="V160" i="5"/>
  <c r="X130" i="5"/>
  <c r="V106" i="5"/>
  <c r="V118" i="5"/>
  <c r="X102" i="5"/>
  <c r="V102" i="5"/>
  <c r="V23" i="5"/>
  <c r="V39" i="5"/>
  <c r="X55" i="5"/>
  <c r="V55" i="5"/>
  <c r="X71" i="5"/>
  <c r="V71" i="5"/>
  <c r="V87" i="5"/>
  <c r="X103" i="5"/>
  <c r="V103" i="5"/>
  <c r="X180" i="5"/>
  <c r="V180" i="5"/>
  <c r="V132" i="5"/>
  <c r="R144" i="5"/>
  <c r="S144" i="5" s="1"/>
  <c r="V120" i="5"/>
  <c r="X170" i="5"/>
  <c r="V170" i="5"/>
  <c r="X138" i="5"/>
  <c r="V138" i="5"/>
  <c r="X104" i="5"/>
  <c r="V104" i="5"/>
  <c r="V97" i="5"/>
  <c r="X89" i="5"/>
  <c r="V89" i="5"/>
  <c r="R73" i="5"/>
  <c r="S73" i="5" s="1"/>
  <c r="X57" i="5"/>
  <c r="V57" i="5"/>
  <c r="R49" i="5"/>
  <c r="T49" i="5" s="1"/>
  <c r="V25" i="5"/>
  <c r="X179" i="5"/>
  <c r="R175" i="5"/>
  <c r="T175" i="5" s="1"/>
  <c r="V171" i="5"/>
  <c r="R167" i="5"/>
  <c r="S167" i="5" s="1"/>
  <c r="V163" i="5"/>
  <c r="X155" i="5"/>
  <c r="V155" i="5"/>
  <c r="V143" i="5"/>
  <c r="V139" i="5"/>
  <c r="X127" i="5"/>
  <c r="V127" i="5"/>
  <c r="X123" i="5"/>
  <c r="V123" i="5"/>
  <c r="R93" i="5"/>
  <c r="S93" i="5" s="1"/>
  <c r="R85" i="5"/>
  <c r="T85" i="5" s="1"/>
  <c r="R45" i="5"/>
  <c r="T45" i="5" s="1"/>
  <c r="R21" i="5"/>
  <c r="T21" i="5" s="1"/>
  <c r="R92" i="5"/>
  <c r="T92" i="5" s="1"/>
  <c r="R88" i="5"/>
  <c r="T88" i="5" s="1"/>
  <c r="R68" i="5"/>
  <c r="T68" i="5" s="1"/>
  <c r="R58" i="5"/>
  <c r="T58" i="5" s="1"/>
  <c r="R42" i="5"/>
  <c r="T42" i="5" s="1"/>
  <c r="R32" i="5"/>
  <c r="S32" i="5" s="1"/>
  <c r="R30" i="5"/>
  <c r="T30" i="5" s="1"/>
  <c r="R24" i="5"/>
  <c r="T24" i="5" s="1"/>
  <c r="R169" i="5"/>
  <c r="T169" i="5" s="1"/>
  <c r="R141" i="5"/>
  <c r="T141" i="5" s="1"/>
  <c r="V137" i="5"/>
  <c r="R109" i="5"/>
  <c r="T109" i="5" s="1"/>
  <c r="R99" i="5"/>
  <c r="S99" i="5" s="1"/>
  <c r="X51" i="5"/>
  <c r="V51" i="5"/>
  <c r="X148" i="5"/>
  <c r="V148" i="5"/>
  <c r="V136" i="5"/>
  <c r="V146" i="5"/>
  <c r="V114" i="5"/>
  <c r="P190" i="5"/>
  <c r="P188" i="5"/>
  <c r="P189" i="5"/>
  <c r="P191" i="5"/>
  <c r="V31" i="5"/>
  <c r="X47" i="5"/>
  <c r="V47" i="5"/>
  <c r="V63" i="5"/>
  <c r="V79" i="5"/>
  <c r="X95" i="5"/>
  <c r="V95" i="5"/>
  <c r="X124" i="5"/>
  <c r="V124" i="5"/>
  <c r="X182" i="5"/>
  <c r="V182" i="5"/>
  <c r="R112" i="5"/>
  <c r="R41" i="5"/>
  <c r="T41" i="5" s="1"/>
  <c r="R33" i="5"/>
  <c r="T33" i="5" s="1"/>
  <c r="R17" i="5"/>
  <c r="S17" i="5" s="1"/>
  <c r="R18" i="5"/>
  <c r="R16" i="5"/>
  <c r="S16" i="5" s="1"/>
  <c r="R151" i="5"/>
  <c r="R147" i="5"/>
  <c r="T147" i="5" s="1"/>
  <c r="R135" i="5"/>
  <c r="R119" i="5"/>
  <c r="T119" i="5" s="1"/>
  <c r="R115" i="5"/>
  <c r="S115" i="5" s="1"/>
  <c r="R101" i="5"/>
  <c r="T101" i="5" s="1"/>
  <c r="R91" i="5"/>
  <c r="R75" i="5"/>
  <c r="T75" i="5" s="1"/>
  <c r="R59" i="5"/>
  <c r="R69" i="5"/>
  <c r="S69" i="5" s="1"/>
  <c r="R61" i="5"/>
  <c r="R53" i="5"/>
  <c r="S53" i="5" s="1"/>
  <c r="R96" i="5"/>
  <c r="T96" i="5" s="1"/>
  <c r="R90" i="5"/>
  <c r="S90" i="5" s="1"/>
  <c r="R86" i="5"/>
  <c r="R84" i="5"/>
  <c r="S84" i="5" s="1"/>
  <c r="R80" i="5"/>
  <c r="R76" i="5"/>
  <c r="S76" i="5" s="1"/>
  <c r="R74" i="5"/>
  <c r="R72" i="5"/>
  <c r="S72" i="5" s="1"/>
  <c r="R70" i="5"/>
  <c r="T70" i="5" s="1"/>
  <c r="R64" i="5"/>
  <c r="S64" i="5" s="1"/>
  <c r="R62" i="5"/>
  <c r="R60" i="5"/>
  <c r="S60" i="5" s="1"/>
  <c r="R56" i="5"/>
  <c r="R54" i="5"/>
  <c r="S54" i="5" s="1"/>
  <c r="R48" i="5"/>
  <c r="R46" i="5"/>
  <c r="S46" i="5" s="1"/>
  <c r="R40" i="5"/>
  <c r="T40" i="5" s="1"/>
  <c r="R38" i="5"/>
  <c r="T38" i="5" s="1"/>
  <c r="R26" i="5"/>
  <c r="R20" i="5"/>
  <c r="T20" i="5" s="1"/>
  <c r="R177" i="5"/>
  <c r="R173" i="5"/>
  <c r="S173" i="5" s="1"/>
  <c r="R161" i="5"/>
  <c r="R157" i="5"/>
  <c r="S157" i="5" s="1"/>
  <c r="R153" i="5"/>
  <c r="S153" i="5" s="1"/>
  <c r="R133" i="5"/>
  <c r="S133" i="5" s="1"/>
  <c r="R129" i="5"/>
  <c r="R125" i="5"/>
  <c r="S125" i="5" s="1"/>
  <c r="R121" i="5"/>
  <c r="R117" i="5"/>
  <c r="S117" i="5" s="1"/>
  <c r="R113" i="5"/>
  <c r="R83" i="5"/>
  <c r="S83" i="5" s="1"/>
  <c r="R67" i="5"/>
  <c r="S67" i="5" s="1"/>
  <c r="R35" i="5"/>
  <c r="T35" i="5" s="1"/>
  <c r="R19" i="5"/>
  <c r="R164" i="5"/>
  <c r="S164" i="5" s="1"/>
  <c r="R116" i="5"/>
  <c r="R174" i="5"/>
  <c r="S174" i="5" s="1"/>
  <c r="R142" i="5"/>
  <c r="R110" i="5"/>
  <c r="S110" i="5" s="1"/>
  <c r="R172" i="5"/>
  <c r="T172" i="5" s="1"/>
  <c r="R156" i="5"/>
  <c r="S156" i="5" s="1"/>
  <c r="R140" i="5"/>
  <c r="R108" i="5"/>
  <c r="S108" i="5" s="1"/>
  <c r="R166" i="5"/>
  <c r="R150" i="5"/>
  <c r="S150" i="5" s="1"/>
  <c r="R134" i="5"/>
  <c r="R176" i="5"/>
  <c r="S176" i="5" s="1"/>
  <c r="R168" i="5"/>
  <c r="T168" i="5" s="1"/>
  <c r="R152" i="5"/>
  <c r="T152" i="5" s="1"/>
  <c r="R128" i="5"/>
  <c r="R15" i="5"/>
  <c r="T15" i="5" s="1"/>
  <c r="R154" i="5"/>
  <c r="R122" i="5"/>
  <c r="T122" i="5" s="1"/>
  <c r="T16" i="5"/>
  <c r="T162" i="5"/>
  <c r="S162" i="5"/>
  <c r="T146" i="5"/>
  <c r="S146" i="5"/>
  <c r="T114" i="5"/>
  <c r="S114" i="5"/>
  <c r="S31" i="5"/>
  <c r="T31" i="5"/>
  <c r="S47" i="5"/>
  <c r="T47" i="5"/>
  <c r="S63" i="5"/>
  <c r="T63" i="5"/>
  <c r="S79" i="5"/>
  <c r="T79" i="5"/>
  <c r="S95" i="5"/>
  <c r="T95" i="5"/>
  <c r="T124" i="5"/>
  <c r="S124" i="5"/>
  <c r="T182" i="5"/>
  <c r="S182" i="5"/>
  <c r="T97" i="5"/>
  <c r="S97" i="5"/>
  <c r="T89" i="5"/>
  <c r="S89" i="5"/>
  <c r="T57" i="5"/>
  <c r="S57" i="5"/>
  <c r="T25" i="5"/>
  <c r="S25" i="5"/>
  <c r="S171" i="5"/>
  <c r="T171" i="5"/>
  <c r="T163" i="5"/>
  <c r="S155" i="5"/>
  <c r="T155" i="5"/>
  <c r="S143" i="5"/>
  <c r="T143" i="5"/>
  <c r="S139" i="5"/>
  <c r="T139" i="5"/>
  <c r="S127" i="5"/>
  <c r="T127" i="5"/>
  <c r="S123" i="5"/>
  <c r="T123" i="5"/>
  <c r="S37" i="5"/>
  <c r="T137" i="5"/>
  <c r="S51" i="5"/>
  <c r="T51" i="5"/>
  <c r="T148" i="5"/>
  <c r="S148" i="5"/>
  <c r="T118" i="5"/>
  <c r="S118" i="5"/>
  <c r="T102" i="5"/>
  <c r="S102" i="5"/>
  <c r="S23" i="5"/>
  <c r="T23" i="5"/>
  <c r="S39" i="5"/>
  <c r="T39" i="5"/>
  <c r="S55" i="5"/>
  <c r="T55" i="5"/>
  <c r="S71" i="5"/>
  <c r="T71" i="5"/>
  <c r="S87" i="5"/>
  <c r="T87" i="5"/>
  <c r="S103" i="5"/>
  <c r="T103" i="5"/>
  <c r="T180" i="5"/>
  <c r="S180" i="5"/>
  <c r="T132" i="5"/>
  <c r="S132" i="5"/>
  <c r="T170" i="5"/>
  <c r="S170" i="5"/>
  <c r="T138" i="5"/>
  <c r="S138" i="5"/>
  <c r="T160" i="5"/>
  <c r="S160" i="5"/>
  <c r="T120" i="5"/>
  <c r="S120" i="5"/>
  <c r="T184" i="5"/>
  <c r="S184" i="5"/>
  <c r="T136" i="5"/>
  <c r="S136" i="5"/>
  <c r="T104" i="5"/>
  <c r="S104" i="5"/>
  <c r="T106" i="5"/>
  <c r="S106" i="5"/>
  <c r="T145" i="5" l="1"/>
  <c r="Z161" i="9"/>
  <c r="AA161" i="9" s="1"/>
  <c r="Z140" i="9"/>
  <c r="AA140" i="9" s="1"/>
  <c r="Y138" i="9"/>
  <c r="W138" i="9"/>
  <c r="U138" i="9"/>
  <c r="T138" i="9"/>
  <c r="Y128" i="9"/>
  <c r="W128" i="9"/>
  <c r="U128" i="9"/>
  <c r="T128" i="9"/>
  <c r="Y154" i="9"/>
  <c r="W154" i="9"/>
  <c r="U154" i="9"/>
  <c r="T154" i="9"/>
  <c r="Z120" i="9"/>
  <c r="AA120" i="9" s="1"/>
  <c r="S191" i="9"/>
  <c r="S189" i="9"/>
  <c r="S187" i="9"/>
  <c r="S190" i="9"/>
  <c r="S188" i="9"/>
  <c r="Y15" i="9"/>
  <c r="W15" i="9"/>
  <c r="U15" i="9"/>
  <c r="T15" i="9"/>
  <c r="Z162" i="9"/>
  <c r="AA162" i="9" s="1"/>
  <c r="Y142" i="9"/>
  <c r="W142" i="9"/>
  <c r="U142" i="9"/>
  <c r="T142" i="9"/>
  <c r="Z142" i="9" s="1"/>
  <c r="AA142" i="9" s="1"/>
  <c r="W146" i="9"/>
  <c r="U146" i="9"/>
  <c r="T146" i="9"/>
  <c r="Y134" i="9"/>
  <c r="W134" i="9"/>
  <c r="U134" i="9"/>
  <c r="T134" i="9"/>
  <c r="W126" i="9"/>
  <c r="U126" i="9"/>
  <c r="T126" i="9"/>
  <c r="Z179" i="9"/>
  <c r="AA179" i="9" s="1"/>
  <c r="Z158" i="9"/>
  <c r="AA158" i="9" s="1"/>
  <c r="Z144" i="9"/>
  <c r="AA144" i="9" s="1"/>
  <c r="Z167" i="9"/>
  <c r="AA167" i="9" s="1"/>
  <c r="V77" i="5"/>
  <c r="T84" i="5"/>
  <c r="T111" i="5"/>
  <c r="S81" i="5"/>
  <c r="S75" i="5"/>
  <c r="X131" i="5"/>
  <c r="S137" i="5"/>
  <c r="Y137" i="5" s="1"/>
  <c r="Z137" i="5" s="1"/>
  <c r="T50" i="5"/>
  <c r="S163" i="5"/>
  <c r="Y163" i="5" s="1"/>
  <c r="Z163" i="5" s="1"/>
  <c r="S131" i="5"/>
  <c r="X111" i="5"/>
  <c r="T178" i="5"/>
  <c r="T43" i="5"/>
  <c r="T131" i="5"/>
  <c r="T73" i="5"/>
  <c r="X43" i="5"/>
  <c r="X65" i="5"/>
  <c r="V81" i="5"/>
  <c r="T110" i="5"/>
  <c r="S122" i="5"/>
  <c r="S38" i="5"/>
  <c r="S105" i="5"/>
  <c r="T82" i="5"/>
  <c r="T27" i="5"/>
  <c r="S107" i="5"/>
  <c r="T159" i="5"/>
  <c r="X145" i="5"/>
  <c r="S126" i="5"/>
  <c r="S141" i="5"/>
  <c r="S145" i="5"/>
  <c r="T36" i="5"/>
  <c r="T66" i="5"/>
  <c r="S98" i="5"/>
  <c r="T93" i="5"/>
  <c r="S183" i="5"/>
  <c r="V28" i="5"/>
  <c r="X50" i="5"/>
  <c r="V27" i="5"/>
  <c r="V107" i="5"/>
  <c r="V183" i="5"/>
  <c r="T176" i="5"/>
  <c r="T133" i="5"/>
  <c r="T60" i="5"/>
  <c r="S181" i="5"/>
  <c r="T94" i="5"/>
  <c r="T81" i="5"/>
  <c r="Y81" i="5" s="1"/>
  <c r="Z81" i="5" s="1"/>
  <c r="V149" i="5"/>
  <c r="V22" i="5"/>
  <c r="V44" i="5"/>
  <c r="V52" i="5"/>
  <c r="T100" i="5"/>
  <c r="T22" i="5"/>
  <c r="T34" i="5"/>
  <c r="T77" i="5"/>
  <c r="S152" i="5"/>
  <c r="T108" i="5"/>
  <c r="T164" i="5"/>
  <c r="T117" i="5"/>
  <c r="T173" i="5"/>
  <c r="T46" i="5"/>
  <c r="T72" i="5"/>
  <c r="T53" i="5"/>
  <c r="S119" i="5"/>
  <c r="V78" i="5"/>
  <c r="S130" i="5"/>
  <c r="T99" i="5"/>
  <c r="S165" i="5"/>
  <c r="S185" i="5"/>
  <c r="S28" i="5"/>
  <c r="V105" i="5"/>
  <c r="X165" i="5"/>
  <c r="V185" i="5"/>
  <c r="X36" i="5"/>
  <c r="X66" i="5"/>
  <c r="V37" i="5"/>
  <c r="T144" i="5"/>
  <c r="T158" i="5"/>
  <c r="S149" i="5"/>
  <c r="S169" i="5"/>
  <c r="T32" i="5"/>
  <c r="S44" i="5"/>
  <c r="S52" i="5"/>
  <c r="S78" i="5"/>
  <c r="S29" i="5"/>
  <c r="S179" i="5"/>
  <c r="S65" i="5"/>
  <c r="S15" i="5"/>
  <c r="T150" i="5"/>
  <c r="T156" i="5"/>
  <c r="T174" i="5"/>
  <c r="S35" i="5"/>
  <c r="T83" i="5"/>
  <c r="T125" i="5"/>
  <c r="T157" i="5"/>
  <c r="S20" i="5"/>
  <c r="T54" i="5"/>
  <c r="T64" i="5"/>
  <c r="T76" i="5"/>
  <c r="T90" i="5"/>
  <c r="T69" i="5"/>
  <c r="S101" i="5"/>
  <c r="S147" i="5"/>
  <c r="T17" i="5"/>
  <c r="S41" i="5"/>
  <c r="X158" i="5"/>
  <c r="X34" i="5"/>
  <c r="V94" i="5"/>
  <c r="V29" i="5"/>
  <c r="T130" i="5"/>
  <c r="T126" i="5"/>
  <c r="Y126" i="5" s="1"/>
  <c r="Z126" i="5" s="1"/>
  <c r="T105" i="5"/>
  <c r="S109" i="5"/>
  <c r="T165" i="5"/>
  <c r="T185" i="5"/>
  <c r="Y185" i="5" s="1"/>
  <c r="Z185" i="5" s="1"/>
  <c r="T28" i="5"/>
  <c r="S36" i="5"/>
  <c r="S50" i="5"/>
  <c r="S66" i="5"/>
  <c r="Y66" i="5" s="1"/>
  <c r="Z66" i="5" s="1"/>
  <c r="S82" i="5"/>
  <c r="Y82" i="5" s="1"/>
  <c r="Z82" i="5" s="1"/>
  <c r="S88" i="5"/>
  <c r="T98" i="5"/>
  <c r="T37" i="5"/>
  <c r="T107" i="5"/>
  <c r="S159" i="5"/>
  <c r="S175" i="5"/>
  <c r="T183" i="5"/>
  <c r="X100" i="5"/>
  <c r="S178" i="5"/>
  <c r="Y178" i="5" s="1"/>
  <c r="Z178" i="5" s="1"/>
  <c r="S100" i="5"/>
  <c r="S158" i="5"/>
  <c r="T149" i="5"/>
  <c r="T181" i="5"/>
  <c r="Y181" i="5" s="1"/>
  <c r="Z181" i="5" s="1"/>
  <c r="S22" i="5"/>
  <c r="S34" i="5"/>
  <c r="T44" i="5"/>
  <c r="T52" i="5"/>
  <c r="S94" i="5"/>
  <c r="S77" i="5"/>
  <c r="S43" i="5"/>
  <c r="S111" i="5"/>
  <c r="Y123" i="5"/>
  <c r="Z123" i="5" s="1"/>
  <c r="Y127" i="5"/>
  <c r="Z127" i="5" s="1"/>
  <c r="Y139" i="5"/>
  <c r="Z139" i="5" s="1"/>
  <c r="Y143" i="5"/>
  <c r="Z143" i="5" s="1"/>
  <c r="Y155" i="5"/>
  <c r="Z155" i="5" s="1"/>
  <c r="T179" i="5"/>
  <c r="T65" i="5"/>
  <c r="Y182" i="5"/>
  <c r="Z182" i="5" s="1"/>
  <c r="Y124" i="5"/>
  <c r="Z124" i="5" s="1"/>
  <c r="Y95" i="5"/>
  <c r="Z95" i="5" s="1"/>
  <c r="Y79" i="5"/>
  <c r="Z79" i="5" s="1"/>
  <c r="Y63" i="5"/>
  <c r="Z63" i="5" s="1"/>
  <c r="Y47" i="5"/>
  <c r="Z47" i="5" s="1"/>
  <c r="Y31" i="5"/>
  <c r="Z31" i="5" s="1"/>
  <c r="Y103" i="5"/>
  <c r="Z103" i="5" s="1"/>
  <c r="Y87" i="5"/>
  <c r="Z87" i="5" s="1"/>
  <c r="Y71" i="5"/>
  <c r="Z71" i="5" s="1"/>
  <c r="Y55" i="5"/>
  <c r="Z55" i="5" s="1"/>
  <c r="Y39" i="5"/>
  <c r="Z39" i="5" s="1"/>
  <c r="Y23" i="5"/>
  <c r="Z23" i="5" s="1"/>
  <c r="Y51" i="5"/>
  <c r="Z51" i="5" s="1"/>
  <c r="Y171" i="5"/>
  <c r="Z171" i="5" s="1"/>
  <c r="S154" i="5"/>
  <c r="X154" i="5"/>
  <c r="V154" i="5"/>
  <c r="S128" i="5"/>
  <c r="X128" i="5"/>
  <c r="V128" i="5"/>
  <c r="S168" i="5"/>
  <c r="X168" i="5"/>
  <c r="V168" i="5"/>
  <c r="S134" i="5"/>
  <c r="X134" i="5"/>
  <c r="V134" i="5"/>
  <c r="S166" i="5"/>
  <c r="V166" i="5"/>
  <c r="S140" i="5"/>
  <c r="X140" i="5"/>
  <c r="V140" i="5"/>
  <c r="S172" i="5"/>
  <c r="X172" i="5"/>
  <c r="V172" i="5"/>
  <c r="S142" i="5"/>
  <c r="X142" i="5"/>
  <c r="V142" i="5"/>
  <c r="S116" i="5"/>
  <c r="X116" i="5"/>
  <c r="V116" i="5"/>
  <c r="T19" i="5"/>
  <c r="X19" i="5"/>
  <c r="V19" i="5"/>
  <c r="T67" i="5"/>
  <c r="V67" i="5"/>
  <c r="T113" i="5"/>
  <c r="X113" i="5"/>
  <c r="V113" i="5"/>
  <c r="T121" i="5"/>
  <c r="X121" i="5"/>
  <c r="V121" i="5"/>
  <c r="T129" i="5"/>
  <c r="X129" i="5"/>
  <c r="V129" i="5"/>
  <c r="T153" i="5"/>
  <c r="V153" i="5"/>
  <c r="X153" i="5"/>
  <c r="T161" i="5"/>
  <c r="X161" i="5"/>
  <c r="V161" i="5"/>
  <c r="T177" i="5"/>
  <c r="V177" i="5"/>
  <c r="X177" i="5"/>
  <c r="S26" i="5"/>
  <c r="X26" i="5"/>
  <c r="V26" i="5"/>
  <c r="S40" i="5"/>
  <c r="X40" i="5"/>
  <c r="V40" i="5"/>
  <c r="S48" i="5"/>
  <c r="X48" i="5"/>
  <c r="V48" i="5"/>
  <c r="S56" i="5"/>
  <c r="X56" i="5"/>
  <c r="V56" i="5"/>
  <c r="S62" i="5"/>
  <c r="X62" i="5"/>
  <c r="V62" i="5"/>
  <c r="S70" i="5"/>
  <c r="V70" i="5"/>
  <c r="S74" i="5"/>
  <c r="V74" i="5"/>
  <c r="S80" i="5"/>
  <c r="V80" i="5"/>
  <c r="S86" i="5"/>
  <c r="V86" i="5"/>
  <c r="S96" i="5"/>
  <c r="X96" i="5"/>
  <c r="V96" i="5"/>
  <c r="S61" i="5"/>
  <c r="X61" i="5"/>
  <c r="V61" i="5"/>
  <c r="T59" i="5"/>
  <c r="X59" i="5"/>
  <c r="V59" i="5"/>
  <c r="T91" i="5"/>
  <c r="X91" i="5"/>
  <c r="V91" i="5"/>
  <c r="T115" i="5"/>
  <c r="X115" i="5"/>
  <c r="V115" i="5"/>
  <c r="T135" i="5"/>
  <c r="X135" i="5"/>
  <c r="V135" i="5"/>
  <c r="T151" i="5"/>
  <c r="V151" i="5"/>
  <c r="S18" i="5"/>
  <c r="X18" i="5"/>
  <c r="V18" i="5"/>
  <c r="S33" i="5"/>
  <c r="V33" i="5"/>
  <c r="S112" i="5"/>
  <c r="X112" i="5"/>
  <c r="V112" i="5"/>
  <c r="V24" i="5"/>
  <c r="X30" i="5"/>
  <c r="V30" i="5"/>
  <c r="X42" i="5"/>
  <c r="V42" i="5"/>
  <c r="X58" i="5"/>
  <c r="V58" i="5"/>
  <c r="X68" i="5"/>
  <c r="V68" i="5"/>
  <c r="V92" i="5"/>
  <c r="X21" i="5"/>
  <c r="V21" i="5"/>
  <c r="X45" i="5"/>
  <c r="V45" i="5"/>
  <c r="V85" i="5"/>
  <c r="X167" i="5"/>
  <c r="V167" i="5"/>
  <c r="X49" i="5"/>
  <c r="V49" i="5"/>
  <c r="Y106" i="5"/>
  <c r="Z106" i="5" s="1"/>
  <c r="Y104" i="5"/>
  <c r="Z104" i="5" s="1"/>
  <c r="Y136" i="5"/>
  <c r="Z136" i="5" s="1"/>
  <c r="Y184" i="5"/>
  <c r="Z184" i="5" s="1"/>
  <c r="Y120" i="5"/>
  <c r="Z120" i="5" s="1"/>
  <c r="Y160" i="5"/>
  <c r="Z160" i="5" s="1"/>
  <c r="Y138" i="5"/>
  <c r="Z138" i="5" s="1"/>
  <c r="Y170" i="5"/>
  <c r="Z170" i="5" s="1"/>
  <c r="Y132" i="5"/>
  <c r="Z132" i="5" s="1"/>
  <c r="Y180" i="5"/>
  <c r="Z180" i="5" s="1"/>
  <c r="Y102" i="5"/>
  <c r="Z102" i="5" s="1"/>
  <c r="Y118" i="5"/>
  <c r="Z118" i="5" s="1"/>
  <c r="Y148" i="5"/>
  <c r="Z148" i="5" s="1"/>
  <c r="S24" i="5"/>
  <c r="S30" i="5"/>
  <c r="S42" i="5"/>
  <c r="S58" i="5"/>
  <c r="S68" i="5"/>
  <c r="S92" i="5"/>
  <c r="S21" i="5"/>
  <c r="S45" i="5"/>
  <c r="S85" i="5"/>
  <c r="T167" i="5"/>
  <c r="Y25" i="5"/>
  <c r="Z25" i="5" s="1"/>
  <c r="S49" i="5"/>
  <c r="Y57" i="5"/>
  <c r="Z57" i="5" s="1"/>
  <c r="Y89" i="5"/>
  <c r="Z89" i="5" s="1"/>
  <c r="Y97" i="5"/>
  <c r="Z97" i="5" s="1"/>
  <c r="T154" i="5"/>
  <c r="T166" i="5"/>
  <c r="Y114" i="5"/>
  <c r="Z114" i="5" s="1"/>
  <c r="Y146" i="5"/>
  <c r="Z146" i="5" s="1"/>
  <c r="Y162" i="5"/>
  <c r="Z162" i="5" s="1"/>
  <c r="T116" i="5"/>
  <c r="S121" i="5"/>
  <c r="S177" i="5"/>
  <c r="T56" i="5"/>
  <c r="T80" i="5"/>
  <c r="S59" i="5"/>
  <c r="S151" i="5"/>
  <c r="V122" i="5"/>
  <c r="Y122" i="5" s="1"/>
  <c r="Z122" i="5" s="1"/>
  <c r="R190" i="5"/>
  <c r="R188" i="5"/>
  <c r="R187" i="5"/>
  <c r="R189" i="5"/>
  <c r="X15" i="5"/>
  <c r="V15" i="5"/>
  <c r="R191" i="5"/>
  <c r="X152" i="5"/>
  <c r="V152" i="5"/>
  <c r="V176" i="5"/>
  <c r="V150" i="5"/>
  <c r="X108" i="5"/>
  <c r="V108" i="5"/>
  <c r="X156" i="5"/>
  <c r="V156" i="5"/>
  <c r="X110" i="5"/>
  <c r="V110" i="5"/>
  <c r="V174" i="5"/>
  <c r="V164" i="5"/>
  <c r="X35" i="5"/>
  <c r="V35" i="5"/>
  <c r="X83" i="5"/>
  <c r="V83" i="5"/>
  <c r="X117" i="5"/>
  <c r="V117" i="5"/>
  <c r="X125" i="5"/>
  <c r="V125" i="5"/>
  <c r="X133" i="5"/>
  <c r="V133" i="5"/>
  <c r="X157" i="5"/>
  <c r="V157" i="5"/>
  <c r="V173" i="5"/>
  <c r="X173" i="5"/>
  <c r="X20" i="5"/>
  <c r="V20" i="5"/>
  <c r="X38" i="5"/>
  <c r="V38" i="5"/>
  <c r="V46" i="5"/>
  <c r="V54" i="5"/>
  <c r="X60" i="5"/>
  <c r="V60" i="5"/>
  <c r="X64" i="5"/>
  <c r="V64" i="5"/>
  <c r="X72" i="5"/>
  <c r="V72" i="5"/>
  <c r="X76" i="5"/>
  <c r="V76" i="5"/>
  <c r="V84" i="5"/>
  <c r="Y84" i="5" s="1"/>
  <c r="Z84" i="5" s="1"/>
  <c r="V90" i="5"/>
  <c r="X53" i="5"/>
  <c r="V53" i="5"/>
  <c r="X69" i="5"/>
  <c r="V69" i="5"/>
  <c r="X75" i="5"/>
  <c r="V75" i="5"/>
  <c r="X101" i="5"/>
  <c r="V101" i="5"/>
  <c r="V119" i="5"/>
  <c r="V147" i="5"/>
  <c r="V16" i="5"/>
  <c r="Y16" i="5" s="1"/>
  <c r="Z16" i="5" s="1"/>
  <c r="V17" i="5"/>
  <c r="X41" i="5"/>
  <c r="V41" i="5"/>
  <c r="X99" i="5"/>
  <c r="V99" i="5"/>
  <c r="X109" i="5"/>
  <c r="V109" i="5"/>
  <c r="X141" i="5"/>
  <c r="V141" i="5"/>
  <c r="V169" i="5"/>
  <c r="X169" i="5"/>
  <c r="X32" i="5"/>
  <c r="V32" i="5"/>
  <c r="X88" i="5"/>
  <c r="V88" i="5"/>
  <c r="X93" i="5"/>
  <c r="V93" i="5"/>
  <c r="V175" i="5"/>
  <c r="X73" i="5"/>
  <c r="V73" i="5"/>
  <c r="X144" i="5"/>
  <c r="V144" i="5"/>
  <c r="T112" i="5"/>
  <c r="T128" i="5"/>
  <c r="T134" i="5"/>
  <c r="T140" i="5"/>
  <c r="T142" i="5"/>
  <c r="S19" i="5"/>
  <c r="S113" i="5"/>
  <c r="S129" i="5"/>
  <c r="S161" i="5"/>
  <c r="T26" i="5"/>
  <c r="T48" i="5"/>
  <c r="T62" i="5"/>
  <c r="T74" i="5"/>
  <c r="T86" i="5"/>
  <c r="T61" i="5"/>
  <c r="S91" i="5"/>
  <c r="S135" i="5"/>
  <c r="T18" i="5"/>
  <c r="Y159" i="5" l="1"/>
  <c r="Z159" i="5" s="1"/>
  <c r="Y52" i="5"/>
  <c r="Z52" i="5" s="1"/>
  <c r="Y94" i="5"/>
  <c r="Z94" i="5" s="1"/>
  <c r="Y100" i="5"/>
  <c r="Z100" i="5" s="1"/>
  <c r="Z146" i="9"/>
  <c r="AA146" i="9" s="1"/>
  <c r="Z128" i="9"/>
  <c r="AA128" i="9" s="1"/>
  <c r="T190" i="9"/>
  <c r="T188" i="9"/>
  <c r="T191" i="9"/>
  <c r="T189" i="9"/>
  <c r="T187" i="9"/>
  <c r="Z15" i="9"/>
  <c r="W191" i="9"/>
  <c r="W189" i="9"/>
  <c r="W187" i="9"/>
  <c r="W190" i="9"/>
  <c r="W188" i="9"/>
  <c r="Z126" i="9"/>
  <c r="AA126" i="9" s="1"/>
  <c r="Z134" i="9"/>
  <c r="AA134" i="9" s="1"/>
  <c r="U191" i="9"/>
  <c r="U189" i="9"/>
  <c r="U187" i="9"/>
  <c r="U190" i="9"/>
  <c r="U188" i="9"/>
  <c r="Y191" i="9"/>
  <c r="Y189" i="9"/>
  <c r="Y187" i="9"/>
  <c r="Y190" i="9"/>
  <c r="Y188" i="9"/>
  <c r="Z154" i="9"/>
  <c r="AA154" i="9" s="1"/>
  <c r="Z138" i="9"/>
  <c r="AA138" i="9" s="1"/>
  <c r="Y77" i="5"/>
  <c r="Z77" i="5" s="1"/>
  <c r="Y50" i="5"/>
  <c r="Z50" i="5" s="1"/>
  <c r="Y107" i="5"/>
  <c r="Z107" i="5" s="1"/>
  <c r="Y111" i="5"/>
  <c r="Z111" i="5" s="1"/>
  <c r="Y145" i="5"/>
  <c r="Z145" i="5" s="1"/>
  <c r="Y27" i="5"/>
  <c r="Z27" i="5" s="1"/>
  <c r="Y131" i="5"/>
  <c r="Z131" i="5" s="1"/>
  <c r="Y105" i="5"/>
  <c r="Z105" i="5" s="1"/>
  <c r="Y130" i="5"/>
  <c r="Z130" i="5" s="1"/>
  <c r="Y43" i="5"/>
  <c r="Z43" i="5" s="1"/>
  <c r="Y24" i="5"/>
  <c r="Z24" i="5" s="1"/>
  <c r="Y44" i="5"/>
  <c r="Z44" i="5" s="1"/>
  <c r="Y165" i="5"/>
  <c r="Z165" i="5" s="1"/>
  <c r="Y28" i="5"/>
  <c r="Z28" i="5" s="1"/>
  <c r="Y98" i="5"/>
  <c r="Z98" i="5" s="1"/>
  <c r="Y17" i="5"/>
  <c r="Z17" i="5" s="1"/>
  <c r="Y90" i="5"/>
  <c r="Z90" i="5" s="1"/>
  <c r="Y164" i="5"/>
  <c r="Z164" i="5" s="1"/>
  <c r="Y175" i="5"/>
  <c r="Z175" i="5" s="1"/>
  <c r="Y119" i="5"/>
  <c r="Z119" i="5" s="1"/>
  <c r="Y176" i="5"/>
  <c r="Z176" i="5" s="1"/>
  <c r="Y179" i="5"/>
  <c r="Z179" i="5" s="1"/>
  <c r="Y34" i="5"/>
  <c r="Z34" i="5" s="1"/>
  <c r="Y158" i="5"/>
  <c r="Z158" i="5" s="1"/>
  <c r="Y183" i="5"/>
  <c r="Z183" i="5" s="1"/>
  <c r="Y37" i="5"/>
  <c r="Z37" i="5" s="1"/>
  <c r="Y36" i="5"/>
  <c r="Z36" i="5" s="1"/>
  <c r="Y149" i="5"/>
  <c r="Z149" i="5" s="1"/>
  <c r="Y78" i="5"/>
  <c r="Z78" i="5" s="1"/>
  <c r="Y22" i="5"/>
  <c r="Z22" i="5" s="1"/>
  <c r="Y29" i="5"/>
  <c r="Z29" i="5" s="1"/>
  <c r="Y46" i="5"/>
  <c r="Z46" i="5" s="1"/>
  <c r="Y174" i="5"/>
  <c r="Z174" i="5" s="1"/>
  <c r="Y85" i="5"/>
  <c r="Z85" i="5" s="1"/>
  <c r="Y42" i="5"/>
  <c r="Z42" i="5" s="1"/>
  <c r="Y147" i="5"/>
  <c r="Z147" i="5" s="1"/>
  <c r="Y54" i="5"/>
  <c r="Z54" i="5" s="1"/>
  <c r="Y150" i="5"/>
  <c r="Z150" i="5" s="1"/>
  <c r="Y65" i="5"/>
  <c r="Z65" i="5" s="1"/>
  <c r="Y59" i="5"/>
  <c r="Z59" i="5" s="1"/>
  <c r="Y121" i="5"/>
  <c r="Z121" i="5" s="1"/>
  <c r="Y49" i="5"/>
  <c r="Z49" i="5" s="1"/>
  <c r="Y167" i="5"/>
  <c r="Z167" i="5" s="1"/>
  <c r="Y68" i="5"/>
  <c r="Z68" i="5" s="1"/>
  <c r="Y58" i="5"/>
  <c r="Z58" i="5" s="1"/>
  <c r="Y67" i="5"/>
  <c r="Z67" i="5" s="1"/>
  <c r="T190" i="5"/>
  <c r="Y144" i="5"/>
  <c r="Z144" i="5" s="1"/>
  <c r="Y73" i="5"/>
  <c r="Z73" i="5" s="1"/>
  <c r="Y135" i="5"/>
  <c r="Z135" i="5" s="1"/>
  <c r="Y161" i="5"/>
  <c r="Z161" i="5" s="1"/>
  <c r="Y113" i="5"/>
  <c r="Z113" i="5" s="1"/>
  <c r="Y93" i="5"/>
  <c r="Z93" i="5" s="1"/>
  <c r="Y88" i="5"/>
  <c r="Z88" i="5" s="1"/>
  <c r="Y32" i="5"/>
  <c r="Z32" i="5" s="1"/>
  <c r="Y169" i="5"/>
  <c r="Z169" i="5" s="1"/>
  <c r="Y141" i="5"/>
  <c r="Z141" i="5" s="1"/>
  <c r="Y75" i="5"/>
  <c r="Z75" i="5" s="1"/>
  <c r="Y69" i="5"/>
  <c r="Z69" i="5" s="1"/>
  <c r="Y53" i="5"/>
  <c r="Z53" i="5" s="1"/>
  <c r="Y72" i="5"/>
  <c r="Z72" i="5" s="1"/>
  <c r="Y64" i="5"/>
  <c r="Z64" i="5" s="1"/>
  <c r="Y20" i="5"/>
  <c r="Z20" i="5" s="1"/>
  <c r="Y157" i="5"/>
  <c r="Z157" i="5" s="1"/>
  <c r="Y110" i="5"/>
  <c r="Z110" i="5" s="1"/>
  <c r="Y156" i="5"/>
  <c r="Z156" i="5" s="1"/>
  <c r="Y108" i="5"/>
  <c r="Z108" i="5" s="1"/>
  <c r="Y45" i="5"/>
  <c r="Z45" i="5" s="1"/>
  <c r="Y92" i="5"/>
  <c r="Z92" i="5" s="1"/>
  <c r="Y30" i="5"/>
  <c r="Z30" i="5" s="1"/>
  <c r="T188" i="5"/>
  <c r="Y76" i="5"/>
  <c r="Z76" i="5" s="1"/>
  <c r="Y125" i="5"/>
  <c r="Z125" i="5" s="1"/>
  <c r="Y117" i="5"/>
  <c r="Z117" i="5" s="1"/>
  <c r="Y83" i="5"/>
  <c r="Z83" i="5" s="1"/>
  <c r="Y35" i="5"/>
  <c r="Z35" i="5" s="1"/>
  <c r="Y152" i="5"/>
  <c r="Z152" i="5" s="1"/>
  <c r="Y115" i="5"/>
  <c r="Z115" i="5" s="1"/>
  <c r="Y40" i="5"/>
  <c r="Z40" i="5" s="1"/>
  <c r="Y153" i="5"/>
  <c r="Z153" i="5" s="1"/>
  <c r="Y109" i="5"/>
  <c r="Z109" i="5" s="1"/>
  <c r="Y99" i="5"/>
  <c r="Z99" i="5" s="1"/>
  <c r="Y41" i="5"/>
  <c r="Z41" i="5" s="1"/>
  <c r="Y101" i="5"/>
  <c r="Z101" i="5" s="1"/>
  <c r="Y60" i="5"/>
  <c r="Z60" i="5" s="1"/>
  <c r="Y38" i="5"/>
  <c r="Z38" i="5" s="1"/>
  <c r="Y173" i="5"/>
  <c r="Z173" i="5" s="1"/>
  <c r="Y133" i="5"/>
  <c r="Z133" i="5" s="1"/>
  <c r="Y80" i="5"/>
  <c r="Z80" i="5" s="1"/>
  <c r="Y168" i="5"/>
  <c r="Z168" i="5" s="1"/>
  <c r="X190" i="5"/>
  <c r="X188" i="5"/>
  <c r="X187" i="5"/>
  <c r="X191" i="5"/>
  <c r="X189" i="5"/>
  <c r="T191" i="5"/>
  <c r="Y112" i="5"/>
  <c r="Z112" i="5" s="1"/>
  <c r="Y61" i="5"/>
  <c r="Z61" i="5" s="1"/>
  <c r="Y96" i="5"/>
  <c r="Z96" i="5" s="1"/>
  <c r="Y70" i="5"/>
  <c r="Z70" i="5" s="1"/>
  <c r="Y62" i="5"/>
  <c r="Z62" i="5" s="1"/>
  <c r="Y56" i="5"/>
  <c r="Z56" i="5" s="1"/>
  <c r="Y48" i="5"/>
  <c r="Z48" i="5" s="1"/>
  <c r="Y26" i="5"/>
  <c r="Z26" i="5" s="1"/>
  <c r="Y166" i="5"/>
  <c r="Z166" i="5" s="1"/>
  <c r="Y134" i="5"/>
  <c r="Z134" i="5" s="1"/>
  <c r="Y128" i="5"/>
  <c r="Z128" i="5" s="1"/>
  <c r="Y154" i="5"/>
  <c r="Z154" i="5" s="1"/>
  <c r="Y15" i="5"/>
  <c r="S187" i="5"/>
  <c r="S189" i="5"/>
  <c r="Y91" i="5"/>
  <c r="Z91" i="5" s="1"/>
  <c r="Y129" i="5"/>
  <c r="Z129" i="5" s="1"/>
  <c r="Y19" i="5"/>
  <c r="Z19" i="5" s="1"/>
  <c r="V190" i="5"/>
  <c r="V188" i="5"/>
  <c r="V187" i="5"/>
  <c r="V191" i="5"/>
  <c r="V189" i="5"/>
  <c r="Y151" i="5"/>
  <c r="Z151" i="5" s="1"/>
  <c r="Y177" i="5"/>
  <c r="Z177" i="5" s="1"/>
  <c r="T189" i="5"/>
  <c r="T187" i="5"/>
  <c r="Y21" i="5"/>
  <c r="Z21" i="5" s="1"/>
  <c r="Y33" i="5"/>
  <c r="Z33" i="5" s="1"/>
  <c r="Y18" i="5"/>
  <c r="Z18" i="5" s="1"/>
  <c r="Y86" i="5"/>
  <c r="Z86" i="5" s="1"/>
  <c r="Y74" i="5"/>
  <c r="Z74" i="5" s="1"/>
  <c r="Y116" i="5"/>
  <c r="Z116" i="5" s="1"/>
  <c r="Y142" i="5"/>
  <c r="Z142" i="5" s="1"/>
  <c r="Y172" i="5"/>
  <c r="Z172" i="5" s="1"/>
  <c r="Y140" i="5"/>
  <c r="Z140" i="5" s="1"/>
  <c r="S190" i="5"/>
  <c r="S188" i="5"/>
  <c r="S191" i="5"/>
  <c r="Z190" i="9" l="1"/>
  <c r="Z188" i="9"/>
  <c r="Z191" i="9"/>
  <c r="Z189" i="9"/>
  <c r="Z187" i="9"/>
  <c r="AA15" i="9"/>
  <c r="Y191" i="5"/>
  <c r="Y189" i="5"/>
  <c r="Y190" i="5"/>
  <c r="Y188" i="5"/>
  <c r="Y187" i="5"/>
  <c r="Z15" i="5"/>
  <c r="AA191" i="9" l="1"/>
  <c r="AA189" i="9"/>
  <c r="AA187" i="9"/>
  <c r="AA190" i="9"/>
  <c r="AA188" i="9"/>
  <c r="Z190" i="5"/>
  <c r="Z188" i="5"/>
  <c r="Z187" i="5"/>
  <c r="Z189" i="5"/>
  <c r="Z19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ID#AAABigE--6k
Rodrigo    (2025-04-26 04:22:55)
Estos valores son para la práctica de la clase, en la vida real, se calcula a partir de 95 UVT</t>
        </r>
      </text>
    </comment>
    <comment ref="A12" authorId="0" shapeId="0" xr:uid="{385602EA-4618-4F88-99AE-A31A4978C1E9}">
      <text>
        <r>
          <rPr>
            <sz val="11"/>
            <color theme="1"/>
            <rFont val="Calibri"/>
            <scheme val="minor"/>
          </rPr>
          <t>======
ID#AAABigE--6k
Rodrigo    (2025-04-26 04:22:55)
Estos valores son para la práctica de la clase, en la vida real, se calcula a partir de 95 UVT</t>
        </r>
      </text>
    </comment>
  </commentList>
</comments>
</file>

<file path=xl/sharedStrings.xml><?xml version="1.0" encoding="utf-8"?>
<sst xmlns="http://schemas.openxmlformats.org/spreadsheetml/2006/main" count="2140" uniqueCount="317">
  <si>
    <t>VALORES LEGALES VIGENTES</t>
  </si>
  <si>
    <t>Conceptos</t>
  </si>
  <si>
    <t>Empleado</t>
  </si>
  <si>
    <t>Salario Mínimo</t>
  </si>
  <si>
    <t>Subsidio de Transporte</t>
  </si>
  <si>
    <t>% Aporte a Salud Empleado</t>
  </si>
  <si>
    <t>Valor Incremento Horas Extras</t>
  </si>
  <si>
    <t>% Aporte a Pensión Empleado</t>
  </si>
  <si>
    <t>% Aporte a Salud Empresa</t>
  </si>
  <si>
    <t>% Aporte a Pensión Empresa</t>
  </si>
  <si>
    <t>% Hora Extra Diurna</t>
  </si>
  <si>
    <t>% Hora Extra Nocturna</t>
  </si>
  <si>
    <t>% Hora Extra Dom-Festivo Diurna</t>
  </si>
  <si>
    <t>% Hora Extra Dom-Festivo Nocturna</t>
  </si>
  <si>
    <t>Recargo Nocturno</t>
  </si>
  <si>
    <t>PAGOS PARAFISCALES</t>
  </si>
  <si>
    <t>Sena</t>
  </si>
  <si>
    <t>ICBF</t>
  </si>
  <si>
    <t>Caja de Compensación</t>
  </si>
  <si>
    <t>CARGAS PRESTACIONALES</t>
  </si>
  <si>
    <t>Cesantías</t>
  </si>
  <si>
    <t>Prima de Servicios</t>
  </si>
  <si>
    <t>Vacaciones</t>
  </si>
  <si>
    <t>Intereses Sobre Cesantías</t>
  </si>
  <si>
    <t>ADMINISTRADORA DE RIESGOS LABORALES</t>
  </si>
  <si>
    <t>Administradora de Riesgos Laborales</t>
  </si>
  <si>
    <t>SALARIOS</t>
  </si>
  <si>
    <t>ÁREAS DE TRABAJO</t>
  </si>
  <si>
    <t>CATEGORÍA</t>
  </si>
  <si>
    <t>CARGO</t>
  </si>
  <si>
    <t>VALOR SALARIO</t>
  </si>
  <si>
    <t>VENTAS</t>
  </si>
  <si>
    <t>AUXILIAR ADMON</t>
  </si>
  <si>
    <t>COMPRAS</t>
  </si>
  <si>
    <t>ASISTENTES</t>
  </si>
  <si>
    <t>ADMON</t>
  </si>
  <si>
    <t>SECRETARIAS</t>
  </si>
  <si>
    <t>MERCADEO</t>
  </si>
  <si>
    <t>TÉCNICO PROFESIONAL</t>
  </si>
  <si>
    <t>FACTURACION</t>
  </si>
  <si>
    <t>ASESOR VENTAS</t>
  </si>
  <si>
    <t>JURIDICA</t>
  </si>
  <si>
    <t>PROFESIONAL</t>
  </si>
  <si>
    <t>FINANCIERO</t>
  </si>
  <si>
    <t>COORDINADOR</t>
  </si>
  <si>
    <t>PERSONAL</t>
  </si>
  <si>
    <t>ASESOR</t>
  </si>
  <si>
    <t>PUBLICIDAD</t>
  </si>
  <si>
    <t>JEFE ÁREA</t>
  </si>
  <si>
    <t>CARTERA</t>
  </si>
  <si>
    <t>GERENTE</t>
  </si>
  <si>
    <t>TESORERIA</t>
  </si>
  <si>
    <t>RETE_FUENTE</t>
  </si>
  <si>
    <t>SALARIO</t>
  </si>
  <si>
    <t>VALOR A RETENER</t>
  </si>
  <si>
    <t>NOMBRE DEL EMPLEADO</t>
  </si>
  <si>
    <t>CODIGO CARGO</t>
  </si>
  <si>
    <t>SALARIO ASIGNADO</t>
  </si>
  <si>
    <t>N° HORAS EXTRAS DIURNAS TRABAJADAS</t>
  </si>
  <si>
    <t>VALOR HORAS EXTRAS DIURNAS TRABAJADAS</t>
  </si>
  <si>
    <t>N° HORAS EXTRAS NOCTURNAS TRABAJADAS</t>
  </si>
  <si>
    <t>VALOR HORAS EXTRAS NOCTURNAS TRABAJADAS</t>
  </si>
  <si>
    <t>N° HORAS EXTRAS DOM-FESTIVAS DIURNAS TRABAJADAS</t>
  </si>
  <si>
    <t>VALOR HORAS EXTRAS DOM-FESTIVAS DIURNAS TRABAJADAS</t>
  </si>
  <si>
    <t>N° TOTAL HORAS EXTRAS DOM-FESTIVAS NOCTURNAS TRABAJADAS</t>
  </si>
  <si>
    <t>VALOR TOTAL HORAS EXTRAS DOM-FESTIVAS NOTURNAS TRABAJADAS</t>
  </si>
  <si>
    <t xml:space="preserve">ACERO LOZANO GERARDO </t>
  </si>
  <si>
    <t>ALARCÓN GONZALEZ DIGNAEL AUGUSTO</t>
  </si>
  <si>
    <t>ARIAS MALDONADO MARTHA ISABEL</t>
  </si>
  <si>
    <t>AVILA PERDOMO LUZ BIBIANA</t>
  </si>
  <si>
    <t xml:space="preserve">YOPASA CAMACHO MAURICIO </t>
  </si>
  <si>
    <t>CAMACHO GAMBA LEYDY VIVIANA</t>
  </si>
  <si>
    <t>CAÑON VARGAS AURA MARYORI</t>
  </si>
  <si>
    <t>CAÑON HERNANDEZ DEICY ROCIO</t>
  </si>
  <si>
    <t xml:space="preserve">DIAZ CARDOZO ELIANA </t>
  </si>
  <si>
    <t xml:space="preserve">QUIROGA CARRILLO JENNIFER </t>
  </si>
  <si>
    <t>CARVAJAL ARISTIZABAL JORGE ENRIQUE</t>
  </si>
  <si>
    <t>CARVAJAL RODRÍGUEZ LINA MARÍA</t>
  </si>
  <si>
    <t>CASTELLANOS CORTES LILIANA ALEXANDRA</t>
  </si>
  <si>
    <t>CASTELLANOS ANGULO MIGUEL ANGEL</t>
  </si>
  <si>
    <t>CASTILLEJO LOPEZ DIANA CAROLINA</t>
  </si>
  <si>
    <t>CORREDOR OJEDA OLGA NANCY</t>
  </si>
  <si>
    <t>DELGADO RINCON ANA MILENA</t>
  </si>
  <si>
    <t>DIAZ ALVAREZ JOHN HARVYN</t>
  </si>
  <si>
    <t>DIAZ  LEIDY MILENA</t>
  </si>
  <si>
    <t>FORIGUA ORJUELA LUZ STELLA</t>
  </si>
  <si>
    <t>GARCIA PORRAS EDIL ALIRIO</t>
  </si>
  <si>
    <t>GARCIA JIMENEZ INGRID PAMELA</t>
  </si>
  <si>
    <t>GARZON ROJAS STEFANY CAROLINA</t>
  </si>
  <si>
    <t>GIL CORTES YENNY ROCIO</t>
  </si>
  <si>
    <t>GODOY BARBOSA MAGDA LILIANA</t>
  </si>
  <si>
    <t>GOMEZ RUIZ VIVIANA CAROLINA</t>
  </si>
  <si>
    <t>GONZALEZ LIEVANO JOHANNA ALEXANDRA</t>
  </si>
  <si>
    <t xml:space="preserve">HOYOS GONZÁLEZ KATHERINE </t>
  </si>
  <si>
    <t>GONZÁLEZ GARCIA SERGIO ANTONIO</t>
  </si>
  <si>
    <t>GUARNIZO VALENZUELA SANDRA PATRICIA</t>
  </si>
  <si>
    <t>GUERRA BARRIOS CARLOS ALBERTO</t>
  </si>
  <si>
    <t>GUIJO GOMEZ LUIS FERNANDO</t>
  </si>
  <si>
    <t>GUZMÁN RODRÍGUEZ OLGA LUCÍA</t>
  </si>
  <si>
    <t>LAGUNA LAMILLA HARRIS WRANDON</t>
  </si>
  <si>
    <t>LAVERDE GUTIERREZ JHON JAIRO</t>
  </si>
  <si>
    <t xml:space="preserve">NIÑO LEDESMA ELISEO </t>
  </si>
  <si>
    <t>LENIS OCHOA NAYIBE JOHANNA</t>
  </si>
  <si>
    <t>LUGO LOZANO YENY CAROLINA</t>
  </si>
  <si>
    <t>MARTINEZ PEREZ GERMAN ANTONY</t>
  </si>
  <si>
    <t>MARTINEZ CEBALLOS YELA LILIANA</t>
  </si>
  <si>
    <t>MONCADA COLINA ANA CONSUELO</t>
  </si>
  <si>
    <t>MONTOYA SALAZAR ANA MILVIA</t>
  </si>
  <si>
    <t>MORENO REY DANIEL STIVEN</t>
  </si>
  <si>
    <t>OCAMPO ESPINOZA MARY LUZ</t>
  </si>
  <si>
    <t>OSORIO MENESES JHON RAUL</t>
  </si>
  <si>
    <t xml:space="preserve">BALLEN PAJARITO ANDRES </t>
  </si>
  <si>
    <t xml:space="preserve">TORREJANO PALOMARES NANCY </t>
  </si>
  <si>
    <t>PARDO GARCIA DIANA MILENA</t>
  </si>
  <si>
    <t>PERALTA PIERNAGORDA JENNY CAROLINA</t>
  </si>
  <si>
    <t>PINILLA PINILLA MARCO ANTONIO</t>
  </si>
  <si>
    <t>PINTO CASAS JAVIER PAUL</t>
  </si>
  <si>
    <t>PINZÓN CASTRO LADY DIANA</t>
  </si>
  <si>
    <t>POVEDA MONTAÑO IVI ANDREA</t>
  </si>
  <si>
    <t>PRECIADO ALFEREZ ANGELA MILENA</t>
  </si>
  <si>
    <t xml:space="preserve">VÁSQUEZ PULIDO LILIANA </t>
  </si>
  <si>
    <t>RAMIREZ CHOACHI JULIO CENON</t>
  </si>
  <si>
    <t xml:space="preserve">ALVAREZ RAMIREZ AMALIA </t>
  </si>
  <si>
    <t>RIVAS JARAMILLO ELIZABETH JOHANA</t>
  </si>
  <si>
    <t>RODRIGUEZ PAEZ ANGELA ANAYIBE</t>
  </si>
  <si>
    <t>RODRIGUEZ GUZMAN SANDRA PATRICIA</t>
  </si>
  <si>
    <t>RODRIGUEZ PEDREROS LADY ODILIA</t>
  </si>
  <si>
    <t>RODRIGUEZ PEREIRA CAROLINA ANDREA</t>
  </si>
  <si>
    <t>ROJAS BOHORQUEZ SANDRA MILENA</t>
  </si>
  <si>
    <t>ROLDAN BUITRAGO WILLIAN ANDRES</t>
  </si>
  <si>
    <t>RUBIO CABEZA ANDREA JOHANNA</t>
  </si>
  <si>
    <t>RUIZ CORREDOR LUIS HERNANDO</t>
  </si>
  <si>
    <t>RUIZ GONZALEZ ETHEL ADRIANA</t>
  </si>
  <si>
    <t>SARMIENTO MORENO DILIA IVONNE</t>
  </si>
  <si>
    <t xml:space="preserve">CRUZ SUAREZ JOHANA </t>
  </si>
  <si>
    <t>SUÁREZ RÍOS MARIBEL CAROLINA</t>
  </si>
  <si>
    <t xml:space="preserve">MARTINEZ SUPELANO CARMENZA </t>
  </si>
  <si>
    <t>TENJO RODRÍGUEZ JORGE GUILLERMO</t>
  </si>
  <si>
    <t xml:space="preserve">MORENO TINOCO NATALIA </t>
  </si>
  <si>
    <t xml:space="preserve">NIÑO TORRES MAURICIO </t>
  </si>
  <si>
    <t>TRUJILLO ROJAS LINA MARIA</t>
  </si>
  <si>
    <t>VARGAS LEYVA SANDRA MILENA</t>
  </si>
  <si>
    <t>VELANDIA RINCON FREDY FRANCISCO</t>
  </si>
  <si>
    <t>VELASQUEZ GORDILLO LUZ YANETH</t>
  </si>
  <si>
    <t>VERA CASTILLO FRANCISCO ORLANDO</t>
  </si>
  <si>
    <t>ZAMUDIO MONROY MARÍA DEL  PILAR</t>
  </si>
  <si>
    <t>ZORRO TAMAYO ANDREA JOHANNA</t>
  </si>
  <si>
    <t>TORRES ACERO INGRID TATIANA</t>
  </si>
  <si>
    <t xml:space="preserve">GONZALEZ ALARCÓN STEFANY </t>
  </si>
  <si>
    <t>MALDONADO ARIAS YENNY PAOLA</t>
  </si>
  <si>
    <t>PERDOMO AVILA MAGDA LILIANA</t>
  </si>
  <si>
    <t>ARCHILA BAEZ VIVIANA ANDREA</t>
  </si>
  <si>
    <t>VASQUEZ BARACALDO JOHANNA MILENA</t>
  </si>
  <si>
    <t xml:space="preserve">MENDOZA BECERRA KATHERINE </t>
  </si>
  <si>
    <t xml:space="preserve">DIAZ BENITEZ SERGIO </t>
  </si>
  <si>
    <t>SANCHEZ CALA SANDRA MARCELA</t>
  </si>
  <si>
    <t xml:space="preserve">SOLER CAMACHO CARLOS </t>
  </si>
  <si>
    <t>GAMBA CAMACHO LUIS JORGE</t>
  </si>
  <si>
    <t>VARGAS CAÑON OLGA LUCIA</t>
  </si>
  <si>
    <t xml:space="preserve">HERNANDEZ CAÑON JAIRO </t>
  </si>
  <si>
    <t>PINTO CARDONA ANNGE MILENA</t>
  </si>
  <si>
    <t>GUIO CARDOZO ALBA LUCIA</t>
  </si>
  <si>
    <t xml:space="preserve">GUIO CARRILLO HARRIS </t>
  </si>
  <si>
    <t xml:space="preserve">ARISTIZABAL CARVAJAL JHON </t>
  </si>
  <si>
    <t xml:space="preserve">RODRÍGUEZ CARVAJAL ELISEO </t>
  </si>
  <si>
    <t xml:space="preserve">CORTES CASTELLANOS NAYIBE </t>
  </si>
  <si>
    <t xml:space="preserve">ANGULO CASTELLANOS YENY </t>
  </si>
  <si>
    <t xml:space="preserve">LOPEZ CASTILLEJO GERMAN </t>
  </si>
  <si>
    <t xml:space="preserve">OJEDA CORREDOR YELA </t>
  </si>
  <si>
    <t>RINCON DELGADO ANA MARIA</t>
  </si>
  <si>
    <t>ALVAREZ DIAZ ANA ROCIO</t>
  </si>
  <si>
    <t xml:space="preserve">PEREZ DIAZ DANIEL </t>
  </si>
  <si>
    <t>ORJUELA FORIGUA MARY CECILIA</t>
  </si>
  <si>
    <t xml:space="preserve">PORRAS GARCIA JHON </t>
  </si>
  <si>
    <t>JIMENEZ GARCIA ANDRES CAMILO</t>
  </si>
  <si>
    <t xml:space="preserve">ROJAS GARZON NANCY </t>
  </si>
  <si>
    <t>CORTES GIL DIANA MIREYA</t>
  </si>
  <si>
    <t xml:space="preserve">BARBOSA GODOY JENNY </t>
  </si>
  <si>
    <t xml:space="preserve">RUIZ GOMEZ GERARDO </t>
  </si>
  <si>
    <t xml:space="preserve">LIEVANO GONZALEZ ARIEL </t>
  </si>
  <si>
    <t xml:space="preserve">RUEDA GONZÁLEZ MARTHA </t>
  </si>
  <si>
    <t>GARCIA GONZÁLEZ LUZ MARY</t>
  </si>
  <si>
    <t>VALENZUELA GUARNIZO LUZ STELLA</t>
  </si>
  <si>
    <t xml:space="preserve">BARRIOS GUERRA PATRICIA </t>
  </si>
  <si>
    <t xml:space="preserve">GOMEZ GUIJO YIMMY </t>
  </si>
  <si>
    <t xml:space="preserve">RODRÍGUEZ GUZMÁN WILSON </t>
  </si>
  <si>
    <t xml:space="preserve">PÉREZ HERNÁNDEZ LEONARDO </t>
  </si>
  <si>
    <t xml:space="preserve">REINA HERNÁNDEZ MAURICIO </t>
  </si>
  <si>
    <t xml:space="preserve">BECCA JIMENEZ LEYDY </t>
  </si>
  <si>
    <t xml:space="preserve">LAMILLA LAGUNA AURA </t>
  </si>
  <si>
    <t xml:space="preserve">GUTIERREZ LAVERDE DEICY </t>
  </si>
  <si>
    <t xml:space="preserve">OCHOA LENIS ELIANA </t>
  </si>
  <si>
    <t xml:space="preserve">LOZANO LUGO JENNIFER </t>
  </si>
  <si>
    <t xml:space="preserve">PEREZ MARTINEZ JORGE </t>
  </si>
  <si>
    <t xml:space="preserve">CEBALLOS MARTINEZ LINA </t>
  </si>
  <si>
    <t xml:space="preserve">COLINA MONCADA LILIANA </t>
  </si>
  <si>
    <t xml:space="preserve">SALAZAR MONTOYA MIGUEL </t>
  </si>
  <si>
    <t xml:space="preserve">REY MORENO DIANA </t>
  </si>
  <si>
    <t xml:space="preserve">ESPINOZA OCAMPO OLGA </t>
  </si>
  <si>
    <t xml:space="preserve">MENESES OSORIO ANA </t>
  </si>
  <si>
    <t xml:space="preserve">ARIAS PAJARITO JOHN </t>
  </si>
  <si>
    <t xml:space="preserve">CALDERON PALOMARES LEIDY </t>
  </si>
  <si>
    <t>GARCIA PARDO LUZ ADRIANA</t>
  </si>
  <si>
    <t xml:space="preserve">PIERNAGORDA PERALTA EDITH </t>
  </si>
  <si>
    <t xml:space="preserve">PINILLA PINILLA MARCO </t>
  </si>
  <si>
    <t xml:space="preserve">CASTRO PINZÓN LADY </t>
  </si>
  <si>
    <t>MONTAÑO POVEDA IVIS ROCIO</t>
  </si>
  <si>
    <t xml:space="preserve">ALFEREZ PRECIADO ANGELA </t>
  </si>
  <si>
    <t xml:space="preserve">CALDERON PULIDO LILIANA </t>
  </si>
  <si>
    <t xml:space="preserve">CHOACHI RAMIREZ JULIO </t>
  </si>
  <si>
    <t xml:space="preserve">CASTRO RAMIREZ OSCAR </t>
  </si>
  <si>
    <t xml:space="preserve">DUQUE RAMIREZ AMALIA </t>
  </si>
  <si>
    <t xml:space="preserve">JARAMILLO RIVAS ELIZABETH </t>
  </si>
  <si>
    <t xml:space="preserve">PAEZ RODRIGUEZ ANGELA </t>
  </si>
  <si>
    <t xml:space="preserve">GUZMAN RODRIGUEZ SANDRA </t>
  </si>
  <si>
    <t xml:space="preserve">GONZALEZ RUIZ ETHEL </t>
  </si>
  <si>
    <t xml:space="preserve">MORENO SARMIENTO DILIA </t>
  </si>
  <si>
    <t xml:space="preserve">DUQUE TORRES MAURICIO </t>
  </si>
  <si>
    <t xml:space="preserve">CAMPOS TORRES MARIA </t>
  </si>
  <si>
    <t xml:space="preserve">ROJAS TRUJILLO LINA </t>
  </si>
  <si>
    <t xml:space="preserve">LEYVA VARGAS SANDRA </t>
  </si>
  <si>
    <t xml:space="preserve">RINCON VELANDIA FREDY </t>
  </si>
  <si>
    <t xml:space="preserve">GORDILLO VELASQUEZ LUZ </t>
  </si>
  <si>
    <t xml:space="preserve">CASTILLO VERA FRANCISCO </t>
  </si>
  <si>
    <t>AMIN DE GONZALEZ NOHORA</t>
  </si>
  <si>
    <t xml:space="preserve">ARANGO LOPEZ BETSY </t>
  </si>
  <si>
    <t>AGATHON FORERO LUZ ANGELA</t>
  </si>
  <si>
    <t>ALEGRIA RODRIGUEZ ALIX JUDIT</t>
  </si>
  <si>
    <t xml:space="preserve">APARICIO MEJIA YANETH </t>
  </si>
  <si>
    <t>ABELLO FORERO CLAUDIA MILENA</t>
  </si>
  <si>
    <t xml:space="preserve">ALDANA PARRA ROBERTO </t>
  </si>
  <si>
    <t xml:space="preserve">ARIAS OSPITIA CESAR </t>
  </si>
  <si>
    <t xml:space="preserve">ACOSTA PINEDA GUSTAVO </t>
  </si>
  <si>
    <t xml:space="preserve">ALIPIO NUÑEZ EDGAR </t>
  </si>
  <si>
    <t>ACOSTA GONZALEZ OSCAR ENRIQUE</t>
  </si>
  <si>
    <t>ARIZA PEÑA WILLIAM HERNAN</t>
  </si>
  <si>
    <t>ACUÑA CORDERO FANNY LUCERO</t>
  </si>
  <si>
    <t>LIQUIDACION NOMINA</t>
  </si>
  <si>
    <t>Aportes Parafiscales</t>
  </si>
  <si>
    <t>Valor</t>
  </si>
  <si>
    <t>Otras Apropiaciones</t>
  </si>
  <si>
    <t>Salud</t>
  </si>
  <si>
    <t>Cesantia</t>
  </si>
  <si>
    <t>Fondo de Pensiones</t>
  </si>
  <si>
    <t>Int. S/Cesantia</t>
  </si>
  <si>
    <t>Riesgos Laborales</t>
  </si>
  <si>
    <t>SENA</t>
  </si>
  <si>
    <t>Caja Compensación</t>
  </si>
  <si>
    <t>Subtotal</t>
  </si>
  <si>
    <t xml:space="preserve"> </t>
  </si>
  <si>
    <t>DATOS DEL EMPLEADO</t>
  </si>
  <si>
    <t>CONCEPTOS DE  DEVENGADOS</t>
  </si>
  <si>
    <t>CONCEPTOS  DE DEDUCCIONES</t>
  </si>
  <si>
    <t>GENERO</t>
  </si>
  <si>
    <t>AFILIADO
COOPERAT</t>
  </si>
  <si>
    <t>AFILIADO
FONDO EMPL.</t>
  </si>
  <si>
    <t>AREA DE TRABAJO</t>
  </si>
  <si>
    <t>DIAS LABORADOS</t>
  </si>
  <si>
    <t xml:space="preserve">SUELDO MENSUAL </t>
  </si>
  <si>
    <t>SUBSIDIO TRANSPORTE</t>
  </si>
  <si>
    <t>BONIFICACION</t>
  </si>
  <si>
    <t>COMISION</t>
  </si>
  <si>
    <t>AUXILIO ALIMENTACION</t>
  </si>
  <si>
    <t>N° TOTAL HORAS EXTRAS TRABAJADAS</t>
  </si>
  <si>
    <t>VALOR TOTAL HORAS EXTRAS TRABAJADAS</t>
  </si>
  <si>
    <t>GASTOS DE REPRESENTACION</t>
  </si>
  <si>
    <t>TOTAL DEVENGADO</t>
  </si>
  <si>
    <t>SALUD</t>
  </si>
  <si>
    <t>PENSIÓN</t>
  </si>
  <si>
    <t>FONDO SOLIDARIDAD</t>
  </si>
  <si>
    <t>RETEFUENTE</t>
  </si>
  <si>
    <t>COOPERATIVA</t>
  </si>
  <si>
    <t>FONDO EMPLEADOS</t>
  </si>
  <si>
    <t>TOTAL DEDUCIDO</t>
  </si>
  <si>
    <t>TOTAL A PAGAR</t>
  </si>
  <si>
    <t>M</t>
  </si>
  <si>
    <t>SI</t>
  </si>
  <si>
    <t>NO</t>
  </si>
  <si>
    <t>F</t>
  </si>
  <si>
    <t>INFORME  DE NOMINA</t>
  </si>
  <si>
    <t xml:space="preserve"> TOTALES GENERADOS </t>
  </si>
  <si>
    <t>CONCEPTO</t>
  </si>
  <si>
    <t>VALOR TOTAL</t>
  </si>
  <si>
    <t>VALOR PROMEDIO</t>
  </si>
  <si>
    <t>VALOR TOTAL HORAS EXT. TRABAJADAS</t>
  </si>
  <si>
    <t>RELACION DE EMPLEADOS POR CARGO</t>
  </si>
  <si>
    <t>FECHA</t>
  </si>
  <si>
    <t>ITEM</t>
  </si>
  <si>
    <t>NETO A PAGAR</t>
  </si>
  <si>
    <t>ALVAREZ ALVAREZ ALBA LUCIA</t>
  </si>
  <si>
    <t>ACERO LÒPEZ YURY PAOLA</t>
  </si>
  <si>
    <t>SUMA</t>
  </si>
  <si>
    <t>PROMEDIO</t>
  </si>
  <si>
    <t>MAXIMO</t>
  </si>
  <si>
    <t>MINIMO</t>
  </si>
  <si>
    <t>CONTAR</t>
  </si>
  <si>
    <t>N° HORAS EXTRAS DOM-FESTIVAS NOCTURNAS TRABAJADAS</t>
  </si>
  <si>
    <t>VALOR HORAS EXTRAS DOM-FESTIVAS NOCTURNAS TRABAJADAS</t>
  </si>
  <si>
    <t>N° HORAS EXTRAS CON RECARGO NOCTURNO TRABAJADAS</t>
  </si>
  <si>
    <t>N° TOTAL HORAS EXTRAS CON RECARGO NOCTURNO TRABAJADAS</t>
  </si>
  <si>
    <t>CONSECUTIVO</t>
  </si>
  <si>
    <t>COMPROBANTE DE PAGO</t>
  </si>
  <si>
    <t>NOMBRE COMPLETO</t>
  </si>
  <si>
    <t>Total general</t>
  </si>
  <si>
    <t>SUMA VALOR TOTAL</t>
  </si>
  <si>
    <t>PROMEDIO VALOR TOTAL</t>
  </si>
  <si>
    <t>CIUDAD DE TRABAJO</t>
  </si>
  <si>
    <t>BOGOTÁ</t>
  </si>
  <si>
    <t>DETALLE DE PAGO</t>
  </si>
  <si>
    <t>DEVENGADOS</t>
  </si>
  <si>
    <t>DEDUCIDOS</t>
  </si>
  <si>
    <t>DESCRIPCION</t>
  </si>
  <si>
    <t>VALOR</t>
  </si>
  <si>
    <t>DIAS TRABAJADOS</t>
  </si>
  <si>
    <t>SUELDO DEVENGADO</t>
  </si>
  <si>
    <t>AUXILIO DE TRANSPORTE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</si>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</sst>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0.000%"/>
    <numFmt numFmtId="165" formatCode="_-&quot;$&quot;\ * #,##0_-;\-&quot;$&quot;\ * #,##0_-;_-&quot;$&quot;\ * &quot;-&quot;_-;_-@"/>
    <numFmt numFmtId="166" formatCode="[$$-240A]\ #,##0_);\([$$-240A]\ #,##0\)"/>
    <numFmt numFmtId="167" formatCode="&quot;$&quot;\ #,##0"/>
    <numFmt numFmtId="168" formatCode="&quot;Total Apropiaciones &quot;[$$-240A]\ #,##0"/>
    <numFmt numFmtId="169" formatCode="_-&quot;$&quot;\ * #,##0_-;\-&quot;$&quot;\ * #,##0_-;_-&quot;$&quot;\ * &quot;-&quot;??_-;_-@_-"/>
  </numFmts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1"/>
      <color theme="4"/>
      <name val="Calibri"/>
      <family val="2"/>
    </font>
    <font>
      <b/>
      <sz val="11"/>
      <color theme="4"/>
      <name val="Calibri"/>
      <family val="2"/>
    </font>
    <font>
      <b/>
      <i/>
      <sz val="12"/>
      <color theme="4"/>
      <name val="Calibri"/>
      <family val="2"/>
    </font>
    <font>
      <b/>
      <sz val="16"/>
      <color theme="4"/>
      <name val="Calibri"/>
      <family val="2"/>
    </font>
    <font>
      <sz val="10"/>
      <color theme="4"/>
      <name val="Calibri"/>
      <family val="2"/>
    </font>
    <font>
      <sz val="16"/>
      <color theme="4"/>
      <name val="Calibri"/>
      <family val="2"/>
    </font>
    <font>
      <b/>
      <sz val="10"/>
      <color theme="4"/>
      <name val="Calibri"/>
      <family val="2"/>
    </font>
    <font>
      <b/>
      <sz val="11"/>
      <color theme="4"/>
      <name val="Calibri"/>
      <family val="2"/>
      <scheme val="minor"/>
    </font>
    <font>
      <b/>
      <sz val="18"/>
      <color theme="4"/>
      <name val="Calibri"/>
      <family val="2"/>
    </font>
    <font>
      <i/>
      <sz val="12"/>
      <color theme="4"/>
      <name val="Calibri"/>
      <family val="2"/>
    </font>
    <font>
      <b/>
      <sz val="12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Arial Narrow"/>
      <family val="2"/>
    </font>
    <font>
      <b/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2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6" fontId="9" fillId="0" borderId="0" xfId="0" applyNumberFormat="1" applyFont="1" applyAlignment="1">
      <alignment horizontal="right"/>
    </xf>
    <xf numFmtId="167" fontId="9" fillId="0" borderId="0" xfId="0" applyNumberFormat="1" applyFont="1" applyAlignment="1">
      <alignment horizontal="right"/>
    </xf>
    <xf numFmtId="166" fontId="8" fillId="0" borderId="0" xfId="0" applyNumberFormat="1" applyFont="1"/>
    <xf numFmtId="166" fontId="8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center" wrapText="1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0" fillId="0" borderId="7" xfId="0" applyBorder="1"/>
    <xf numFmtId="0" fontId="3" fillId="0" borderId="7" xfId="0" applyFont="1" applyBorder="1"/>
    <xf numFmtId="0" fontId="2" fillId="2" borderId="7" xfId="0" applyFont="1" applyFill="1" applyBorder="1"/>
    <xf numFmtId="0" fontId="3" fillId="0" borderId="7" xfId="0" applyFont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169" fontId="3" fillId="0" borderId="7" xfId="0" applyNumberFormat="1" applyFont="1" applyBorder="1"/>
    <xf numFmtId="0" fontId="13" fillId="2" borderId="7" xfId="0" applyFont="1" applyFill="1" applyBorder="1"/>
    <xf numFmtId="167" fontId="3" fillId="0" borderId="7" xfId="0" applyNumberFormat="1" applyFont="1" applyBorder="1"/>
    <xf numFmtId="0" fontId="14" fillId="2" borderId="7" xfId="0" applyFont="1" applyFill="1" applyBorder="1" applyAlignment="1">
      <alignment horizontal="center"/>
    </xf>
    <xf numFmtId="165" fontId="3" fillId="0" borderId="7" xfId="0" applyNumberFormat="1" applyFont="1" applyBorder="1"/>
    <xf numFmtId="0" fontId="18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169" fontId="0" fillId="0" borderId="0" xfId="0" applyNumberFormat="1"/>
    <xf numFmtId="0" fontId="3" fillId="0" borderId="7" xfId="0" applyFont="1" applyFill="1" applyBorder="1"/>
    <xf numFmtId="169" fontId="0" fillId="0" borderId="7" xfId="0" applyNumberFormat="1" applyBorder="1"/>
    <xf numFmtId="165" fontId="0" fillId="0" borderId="7" xfId="0" applyNumberFormat="1" applyBorder="1"/>
    <xf numFmtId="0" fontId="19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textRotation="90" wrapText="1"/>
    </xf>
    <xf numFmtId="0" fontId="20" fillId="2" borderId="7" xfId="0" applyFont="1" applyFill="1" applyBorder="1"/>
    <xf numFmtId="0" fontId="19" fillId="2" borderId="12" xfId="0" applyFont="1" applyFill="1" applyBorder="1" applyAlignment="1">
      <alignment vertical="center" wrapText="1"/>
    </xf>
    <xf numFmtId="167" fontId="0" fillId="0" borderId="7" xfId="0" applyNumberFormat="1" applyBorder="1"/>
    <xf numFmtId="1" fontId="0" fillId="0" borderId="7" xfId="0" applyNumberFormat="1" applyBorder="1"/>
    <xf numFmtId="0" fontId="3" fillId="0" borderId="7" xfId="0" applyFont="1" applyBorder="1" applyAlignment="1">
      <alignment horizontal="left" vertical="center" wrapText="1"/>
    </xf>
    <xf numFmtId="0" fontId="2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top"/>
    </xf>
    <xf numFmtId="0" fontId="6" fillId="0" borderId="7" xfId="0" applyFont="1" applyBorder="1" applyAlignment="1">
      <alignment vertical="top"/>
    </xf>
    <xf numFmtId="0" fontId="11" fillId="0" borderId="7" xfId="0" applyFont="1" applyBorder="1" applyAlignment="1">
      <alignment horizontal="right" vertical="top"/>
    </xf>
    <xf numFmtId="14" fontId="3" fillId="0" borderId="7" xfId="0" applyNumberFormat="1" applyFont="1" applyBorder="1"/>
    <xf numFmtId="0" fontId="11" fillId="0" borderId="7" xfId="0" applyFont="1" applyBorder="1" applyAlignment="1">
      <alignment vertical="top"/>
    </xf>
    <xf numFmtId="4" fontId="11" fillId="0" borderId="7" xfId="0" applyNumberFormat="1" applyFont="1" applyBorder="1" applyAlignment="1">
      <alignment vertical="top"/>
    </xf>
    <xf numFmtId="0" fontId="12" fillId="0" borderId="7" xfId="0" applyFont="1" applyBorder="1" applyAlignment="1">
      <alignment vertical="top"/>
    </xf>
    <xf numFmtId="44" fontId="6" fillId="0" borderId="7" xfId="0" applyNumberFormat="1" applyFont="1" applyBorder="1" applyAlignment="1">
      <alignment vertical="top"/>
    </xf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2" fontId="0" fillId="0" borderId="7" xfId="0" applyNumberFormat="1" applyBorder="1"/>
    <xf numFmtId="0" fontId="0" fillId="0" borderId="7" xfId="0" applyNumberFormat="1" applyBorder="1"/>
    <xf numFmtId="166" fontId="9" fillId="0" borderId="7" xfId="0" applyNumberFormat="1" applyFont="1" applyBorder="1" applyAlignment="1">
      <alignment horizontal="right"/>
    </xf>
    <xf numFmtId="167" fontId="9" fillId="0" borderId="7" xfId="0" applyNumberFormat="1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25" fillId="4" borderId="7" xfId="0" applyFont="1" applyFill="1" applyBorder="1" applyAlignment="1">
      <alignment horizontal="center"/>
    </xf>
    <xf numFmtId="166" fontId="25" fillId="4" borderId="7" xfId="0" applyNumberFormat="1" applyFont="1" applyFill="1" applyBorder="1"/>
    <xf numFmtId="166" fontId="25" fillId="4" borderId="7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168" fontId="8" fillId="0" borderId="0" xfId="0" applyNumberFormat="1" applyFont="1" applyAlignment="1">
      <alignment horizontal="center" vertical="center"/>
    </xf>
    <xf numFmtId="0" fontId="20" fillId="2" borderId="7" xfId="0" applyFont="1" applyFill="1" applyBorder="1"/>
    <xf numFmtId="0" fontId="25" fillId="4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0" fillId="0" borderId="7" xfId="0" applyBorder="1"/>
    <xf numFmtId="0" fontId="23" fillId="4" borderId="7" xfId="0" applyFont="1" applyFill="1" applyBorder="1" applyAlignment="1">
      <alignment horizontal="center"/>
    </xf>
    <xf numFmtId="0" fontId="24" fillId="4" borderId="7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textRotation="90" wrapText="1"/>
    </xf>
    <xf numFmtId="0" fontId="0" fillId="2" borderId="7" xfId="0" applyFill="1" applyBorder="1"/>
    <xf numFmtId="0" fontId="15" fillId="3" borderId="7" xfId="0" applyFont="1" applyFill="1" applyBorder="1" applyAlignment="1">
      <alignment horizontal="center"/>
    </xf>
    <xf numFmtId="0" fontId="13" fillId="2" borderId="7" xfId="0" applyFont="1" applyFill="1" applyBorder="1"/>
    <xf numFmtId="164" fontId="3" fillId="0" borderId="7" xfId="0" applyNumberFormat="1" applyFont="1" applyBorder="1" applyAlignment="1">
      <alignment horizontal="center"/>
    </xf>
    <xf numFmtId="0" fontId="4" fillId="0" borderId="7" xfId="0" applyFont="1" applyBorder="1"/>
    <xf numFmtId="169" fontId="2" fillId="0" borderId="7" xfId="0" applyNumberFormat="1" applyFont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1" fillId="2" borderId="7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 vertical="top"/>
    </xf>
    <xf numFmtId="0" fontId="27" fillId="4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0" fillId="4" borderId="7" xfId="0" applyFill="1" applyBorder="1"/>
    <xf numFmtId="0" fontId="1" fillId="4" borderId="7" xfId="0" applyFont="1" applyFill="1" applyBorder="1"/>
    <xf numFmtId="0" fontId="28" fillId="4" borderId="7" xfId="0" applyFont="1" applyFill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26" fillId="4" borderId="7" xfId="0" applyFont="1" applyFill="1" applyBorder="1"/>
    <xf numFmtId="169" fontId="26" fillId="4" borderId="7" xfId="0" applyNumberFormat="1" applyFont="1" applyFill="1" applyBorder="1"/>
    <xf numFmtId="0" fontId="0" fillId="5" borderId="7" xfId="0" applyFill="1" applyBorder="1"/>
    <xf numFmtId="169" fontId="0" fillId="0" borderId="12" xfId="0" applyNumberFormat="1" applyBorder="1"/>
  </cellXfs>
  <cellStyles count="1">
    <cellStyle name="Normal" xfId="0" builtinId="0"/>
  </cellStyles>
  <dxfs count="2">
    <dxf>
      <numFmt numFmtId="167" formatCode="&quot;$&quot;\ #,##0"/>
    </dxf>
    <dxf>
      <numFmt numFmtId="167" formatCode="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[LIQUIDACION NOMINA lorena.xlsx]GRAFICOS!TablaDinámica1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INFORME DE NOMINA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GRAFICOS!$B$4</c:f>
              <c:strCache>
                <c:ptCount val="1"/>
                <c:pt idx="0">
                  <c:v>SUMA VALOR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GRAFICOS!$A$5:$A$24</c:f>
              <c:strCache>
                <c:ptCount val="19"/>
                <c:pt idx="0">
                  <c:v>AUXILIO ALIMENTACION</c:v>
                </c:pt>
                <c:pt idx="1">
                  <c:v>BONIFICACION</c:v>
                </c:pt>
                <c:pt idx="2">
                  <c:v>COMISION</c:v>
                </c:pt>
                <c:pt idx="3">
                  <c:v>COOPERATIVA</c:v>
                </c:pt>
                <c:pt idx="4">
                  <c:v>DIAS LABORADOS</c:v>
                </c:pt>
                <c:pt idx="5">
                  <c:v>FONDO EMPLEADOS</c:v>
                </c:pt>
                <c:pt idx="6">
                  <c:v>FONDO SOLIDARIDAD</c:v>
                </c:pt>
                <c:pt idx="7">
                  <c:v>GASTOS DE REPRESENTACION</c:v>
                </c:pt>
                <c:pt idx="8">
                  <c:v>N° TOTAL HORAS EXTRAS TRABAJADAS</c:v>
                </c:pt>
                <c:pt idx="9">
                  <c:v>PENSIÓN</c:v>
                </c:pt>
                <c:pt idx="10">
                  <c:v>RETEFUENTE</c:v>
                </c:pt>
                <c:pt idx="11">
                  <c:v>SALARIO</c:v>
                </c:pt>
                <c:pt idx="12">
                  <c:v>SALUD</c:v>
                </c:pt>
                <c:pt idx="13">
                  <c:v>SUBSIDIO TRANSPORTE</c:v>
                </c:pt>
                <c:pt idx="14">
                  <c:v>SUELDO MENSUAL </c:v>
                </c:pt>
                <c:pt idx="15">
                  <c:v>TOTAL A PAGAR</c:v>
                </c:pt>
                <c:pt idx="16">
                  <c:v>TOTAL DEDUCIDO</c:v>
                </c:pt>
                <c:pt idx="17">
                  <c:v>TOTAL DEVENGADO</c:v>
                </c:pt>
                <c:pt idx="18">
                  <c:v>VALOR TOTAL HORAS EXT. TRABAJADAS</c:v>
                </c:pt>
              </c:strCache>
            </c:strRef>
          </c:cat>
          <c:val>
            <c:numRef>
              <c:f>GRAFICOS!$B$5:$B$24</c:f>
              <c:numCache>
                <c:formatCode>"$"\ #,##0</c:formatCode>
                <c:ptCount val="19"/>
                <c:pt idx="0">
                  <c:v>7800413.9166666679</c:v>
                </c:pt>
                <c:pt idx="1">
                  <c:v>6607682.25</c:v>
                </c:pt>
                <c:pt idx="2">
                  <c:v>6454712.8333333349</c:v>
                </c:pt>
                <c:pt idx="3">
                  <c:v>9888975</c:v>
                </c:pt>
                <c:pt idx="4">
                  <c:v>4682</c:v>
                </c:pt>
                <c:pt idx="5">
                  <c:v>8206245.0122727295</c:v>
                </c:pt>
                <c:pt idx="6">
                  <c:v>125000</c:v>
                </c:pt>
                <c:pt idx="7">
                  <c:v>1875000</c:v>
                </c:pt>
                <c:pt idx="8">
                  <c:v>7778</c:v>
                </c:pt>
                <c:pt idx="9">
                  <c:v>22634274.191818189</c:v>
                </c:pt>
                <c:pt idx="10">
                  <c:v>4039000</c:v>
                </c:pt>
                <c:pt idx="11">
                  <c:v>435978000</c:v>
                </c:pt>
                <c:pt idx="12">
                  <c:v>22634274.191818189</c:v>
                </c:pt>
                <c:pt idx="13">
                  <c:v>19206666.666666664</c:v>
                </c:pt>
                <c:pt idx="14">
                  <c:v>398106816.66666669</c:v>
                </c:pt>
                <c:pt idx="15">
                  <c:v>520603484.73287868</c:v>
                </c:pt>
                <c:pt idx="16">
                  <c:v>67527768.395909101</c:v>
                </c:pt>
                <c:pt idx="17">
                  <c:v>588131253.12878811</c:v>
                </c:pt>
                <c:pt idx="18">
                  <c:v>148079960.79545459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E7-4807-BC19-DC927C0319CE}"/>
            </c:ext>
          </c:extLst>
        </c:ser>
        <c:ser>
          <c:idx val="1"/>
          <c:order val="1"/>
          <c:tx>
            <c:strRef>
              <c:f>GRAFICOS!$C$4</c:f>
              <c:strCache>
                <c:ptCount val="1"/>
                <c:pt idx="0">
                  <c:v>PROMEDIO VALOR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GRAFICOS!$A$5:$A$24</c:f>
              <c:strCache>
                <c:ptCount val="19"/>
                <c:pt idx="0">
                  <c:v>AUXILIO ALIMENTACION</c:v>
                </c:pt>
                <c:pt idx="1">
                  <c:v>BONIFICACION</c:v>
                </c:pt>
                <c:pt idx="2">
                  <c:v>COMISION</c:v>
                </c:pt>
                <c:pt idx="3">
                  <c:v>COOPERATIVA</c:v>
                </c:pt>
                <c:pt idx="4">
                  <c:v>DIAS LABORADOS</c:v>
                </c:pt>
                <c:pt idx="5">
                  <c:v>FONDO EMPLEADOS</c:v>
                </c:pt>
                <c:pt idx="6">
                  <c:v>FONDO SOLIDARIDAD</c:v>
                </c:pt>
                <c:pt idx="7">
                  <c:v>GASTOS DE REPRESENTACION</c:v>
                </c:pt>
                <c:pt idx="8">
                  <c:v>N° TOTAL HORAS EXTRAS TRABAJADAS</c:v>
                </c:pt>
                <c:pt idx="9">
                  <c:v>PENSIÓN</c:v>
                </c:pt>
                <c:pt idx="10">
                  <c:v>RETEFUENTE</c:v>
                </c:pt>
                <c:pt idx="11">
                  <c:v>SALARIO</c:v>
                </c:pt>
                <c:pt idx="12">
                  <c:v>SALUD</c:v>
                </c:pt>
                <c:pt idx="13">
                  <c:v>SUBSIDIO TRANSPORTE</c:v>
                </c:pt>
                <c:pt idx="14">
                  <c:v>SUELDO MENSUAL </c:v>
                </c:pt>
                <c:pt idx="15">
                  <c:v>TOTAL A PAGAR</c:v>
                </c:pt>
                <c:pt idx="16">
                  <c:v>TOTAL DEDUCIDO</c:v>
                </c:pt>
                <c:pt idx="17">
                  <c:v>TOTAL DEVENGADO</c:v>
                </c:pt>
                <c:pt idx="18">
                  <c:v>VALOR TOTAL HORAS EXT. TRABAJADAS</c:v>
                </c:pt>
              </c:strCache>
            </c:strRef>
          </c:cat>
          <c:val>
            <c:numRef>
              <c:f>GRAFICOS!$C$5:$C$24</c:f>
              <c:numCache>
                <c:formatCode>"$"\ #,##0</c:formatCode>
                <c:ptCount val="19"/>
                <c:pt idx="0">
                  <c:v>45616.455653021447</c:v>
                </c:pt>
                <c:pt idx="1">
                  <c:v>38641.416666666664</c:v>
                </c:pt>
                <c:pt idx="2">
                  <c:v>37746.858674463947</c:v>
                </c:pt>
                <c:pt idx="3">
                  <c:v>57830.26315789474</c:v>
                </c:pt>
                <c:pt idx="4">
                  <c:v>27.380116959064328</c:v>
                </c:pt>
                <c:pt idx="5">
                  <c:v>47989.736913875611</c:v>
                </c:pt>
                <c:pt idx="6">
                  <c:v>730.9941520467836</c:v>
                </c:pt>
                <c:pt idx="7">
                  <c:v>10964.912280701754</c:v>
                </c:pt>
                <c:pt idx="8">
                  <c:v>45.485380116959064</c:v>
                </c:pt>
                <c:pt idx="9">
                  <c:v>132364.17656034027</c:v>
                </c:pt>
                <c:pt idx="10">
                  <c:v>23619.883040935674</c:v>
                </c:pt>
                <c:pt idx="11">
                  <c:v>2549578.9473684211</c:v>
                </c:pt>
                <c:pt idx="12">
                  <c:v>132364.17656034027</c:v>
                </c:pt>
                <c:pt idx="13">
                  <c:v>112319.68810916178</c:v>
                </c:pt>
                <c:pt idx="14">
                  <c:v>2328110.0389863551</c:v>
                </c:pt>
                <c:pt idx="15">
                  <c:v>3044464.8229992907</c:v>
                </c:pt>
                <c:pt idx="16">
                  <c:v>394899.23038543336</c:v>
                </c:pt>
                <c:pt idx="17">
                  <c:v>3439364.0533847259</c:v>
                </c:pt>
                <c:pt idx="18">
                  <c:v>865964.68301435432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E7-4807-BC19-DC927C031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7118207"/>
        <c:axId val="1151552351"/>
      </c:barChart>
      <c:catAx>
        <c:axId val="116711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1552351"/>
        <c:crosses val="autoZero"/>
        <c:auto val="1"/>
        <c:lblAlgn val="ctr"/>
        <c:lblOffset val="100"/>
        <c:noMultiLvlLbl val="0"/>
      </c:catAx>
      <c:valAx>
        <c:axId val="11515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711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133350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7F0DB2-2040-4482-9A56-7EA651480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457199</xdr:colOff>
      <xdr:row>0</xdr:row>
      <xdr:rowOff>76201</xdr:rowOff>
    </xdr:from>
    <xdr:to>
      <xdr:col>11</xdr:col>
      <xdr:colOff>161924</xdr:colOff>
      <xdr:row>3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ONCEPTO">
              <a:extLst>
                <a:ext uri="{FF2B5EF4-FFF2-40B4-BE49-F238E27FC236}">
                  <a16:creationId xmlns:a16="http://schemas.microsoft.com/office/drawing/2014/main" id="{34F2A9E3-7C5B-46DC-98F7-434834E54F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99" y="76201"/>
              <a:ext cx="5191125" cy="619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ALONSO~1/AppData/Local/Temp/Rar$DI00.012/talleres%20de%20exc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OS/125/E&amp;T%20Escuela%20Especializacion%20en%20Ciencias%20y%20Telecomunicaciones/TALLER%20RESUMEN%20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s"/>
      <sheetName val="funiones trigono"/>
      <sheetName val="mov. ventas"/>
      <sheetName val="produccion"/>
      <sheetName val="ventas"/>
      <sheetName val="notas y sueldos"/>
      <sheetName val="ventas de boletas"/>
      <sheetName val="reetin"/>
      <sheetName val="datos de personal "/>
      <sheetName val="fecha de prestamo"/>
      <sheetName val="productos"/>
      <sheetName val="INVEN"/>
      <sheetName val="CARROS"/>
      <sheetName val="PERSONAL"/>
      <sheetName val="funcion si"/>
      <sheetName val="Hoja8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FORMA PAGO"/>
      <sheetName val="T. NOMINA"/>
      <sheetName val="Hoja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21.422328009263" createdVersion="6" refreshedVersion="6" minRefreshableVersion="3" recordCount="19" xr:uid="{B114E464-342A-4804-86F6-4182B0981DC0}">
  <cacheSource type="worksheet">
    <worksheetSource ref="B5:D24" sheet="Resumen Nómina"/>
  </cacheSource>
  <cacheFields count="3">
    <cacheField name="CONCEPTO" numFmtId="0">
      <sharedItems count="19">
        <s v="SALARIO"/>
        <s v="DIAS LABORADOS"/>
        <s v="SUELDO MENSUAL "/>
        <s v="SUBSIDIO TRANSPORTE"/>
        <s v="BONIFICACION"/>
        <s v="COMISION"/>
        <s v="AUXILIO ALIMENTACION"/>
        <s v="N° TOTAL HORAS EXTRAS TRABAJADAS"/>
        <s v="VALOR TOTAL HORAS EXT. TRABAJADAS"/>
        <s v="GASTOS DE REPRESENTACION"/>
        <s v="TOTAL DEVENGADO"/>
        <s v="SALUD"/>
        <s v="PENSIÓN"/>
        <s v="FONDO SOLIDARIDAD"/>
        <s v="RETEFUENTE"/>
        <s v="COOPERATIVA"/>
        <s v="FONDO EMPLEADOS"/>
        <s v="TOTAL DEDUCIDO"/>
        <s v="TOTAL A PAGAR"/>
      </sharedItems>
    </cacheField>
    <cacheField name="VALOR TOTAL" numFmtId="169">
      <sharedItems containsSemiMixedTypes="0" containsString="0" containsNumber="1" minValue="4682" maxValue="588131253.12878811" count="18">
        <n v="435978000"/>
        <n v="4682"/>
        <n v="398106816.66666669"/>
        <n v="19206666.666666664"/>
        <n v="6607682.25"/>
        <n v="6454712.8333333349"/>
        <n v="7800413.9166666679"/>
        <n v="7778"/>
        <n v="148079960.79545459"/>
        <n v="1875000"/>
        <n v="588131253.12878811"/>
        <n v="22634274.191818189"/>
        <n v="125000"/>
        <n v="4039000"/>
        <n v="9888975"/>
        <n v="8206245.0122727295"/>
        <n v="67527768.395909101"/>
        <n v="520603484.73287868"/>
      </sharedItems>
    </cacheField>
    <cacheField name="VALOR PROMEDIO" numFmtId="169">
      <sharedItems containsSemiMixedTypes="0" containsString="0" containsNumber="1" minValue="27.380116959064328" maxValue="3439364.0533847259" count="18">
        <n v="2549578.9473684211"/>
        <n v="27.380116959064328"/>
        <n v="2328110.0389863551"/>
        <n v="112319.68810916178"/>
        <n v="38641.416666666664"/>
        <n v="37746.858674463947"/>
        <n v="45616.455653021447"/>
        <n v="45.485380116959064"/>
        <n v="865964.68301435432"/>
        <n v="10964.912280701754"/>
        <n v="3439364.0533847259"/>
        <n v="132364.17656034027"/>
        <n v="730.9941520467836"/>
        <n v="23619.883040935674"/>
        <n v="57830.26315789474"/>
        <n v="47989.736913875611"/>
        <n v="394899.23038543336"/>
        <n v="3044464.8229992907"/>
      </sharedItems>
    </cacheField>
  </cacheFields>
  <extLst>
    <ext xmlns:x14="http://schemas.microsoft.com/office/spreadsheetml/2009/9/main" uri="{725AE2AE-9491-48be-B2B4-4EB974FC3084}">
      <x14:pivotCacheDefinition pivotCacheId="5186158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1"/>
    <x v="11"/>
  </r>
  <r>
    <x v="13"/>
    <x v="12"/>
    <x v="12"/>
  </r>
  <r>
    <x v="14"/>
    <x v="13"/>
    <x v="13"/>
  </r>
  <r>
    <x v="15"/>
    <x v="14"/>
    <x v="14"/>
  </r>
  <r>
    <x v="16"/>
    <x v="15"/>
    <x v="15"/>
  </r>
  <r>
    <x v="17"/>
    <x v="16"/>
    <x v="16"/>
  </r>
  <r>
    <x v="18"/>
    <x v="17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9F2D6-F774-407B-9488-D1C83CAE644C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CONCEPTO">
  <location ref="A4:C24" firstHeaderRow="0" firstDataRow="1" firstDataCol="1"/>
  <pivotFields count="3">
    <pivotField axis="axisRow" showAll="0">
      <items count="20">
        <item x="6"/>
        <item x="4"/>
        <item x="5"/>
        <item x="15"/>
        <item x="1"/>
        <item x="16"/>
        <item x="13"/>
        <item x="9"/>
        <item x="7"/>
        <item x="12"/>
        <item x="14"/>
        <item x="0"/>
        <item x="11"/>
        <item x="3"/>
        <item x="2"/>
        <item x="18"/>
        <item x="17"/>
        <item x="10"/>
        <item x="8"/>
        <item t="default"/>
      </items>
    </pivotField>
    <pivotField dataField="1" numFmtId="169" showAll="0">
      <items count="19">
        <item x="1"/>
        <item x="7"/>
        <item x="12"/>
        <item x="9"/>
        <item x="13"/>
        <item x="5"/>
        <item x="4"/>
        <item x="6"/>
        <item x="15"/>
        <item x="14"/>
        <item x="3"/>
        <item x="11"/>
        <item x="16"/>
        <item x="8"/>
        <item x="2"/>
        <item x="0"/>
        <item x="17"/>
        <item x="10"/>
        <item t="default"/>
      </items>
    </pivotField>
    <pivotField dataField="1" numFmtId="169" showAll="0">
      <items count="19">
        <item x="1"/>
        <item x="7"/>
        <item x="12"/>
        <item x="9"/>
        <item x="13"/>
        <item x="5"/>
        <item x="4"/>
        <item x="6"/>
        <item x="15"/>
        <item x="14"/>
        <item x="3"/>
        <item x="11"/>
        <item x="16"/>
        <item x="8"/>
        <item x="2"/>
        <item x="0"/>
        <item x="17"/>
        <item x="1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VALOR TOTAL" fld="1" baseField="0" baseItem="0" numFmtId="167"/>
    <dataField name="PROMEDIO VALOR TOTAL" fld="2" subtotal="average" baseField="0" baseItem="0" numFmtId="167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CEPTO" xr10:uid="{771F36EC-BBBC-48FA-AFE3-D5AFC825CE93}" sourceName="CONCEPTO">
  <pivotTables>
    <pivotTable tabId="10" name="TablaDinámica1"/>
  </pivotTables>
  <data>
    <tabular pivotCacheId="518615896">
      <items count="19">
        <i x="6" s="1"/>
        <i x="4" s="1"/>
        <i x="5" s="1"/>
        <i x="15" s="1"/>
        <i x="1" s="1"/>
        <i x="16" s="1"/>
        <i x="13" s="1"/>
        <i x="9" s="1"/>
        <i x="7" s="1"/>
        <i x="12" s="1"/>
        <i x="14" s="1"/>
        <i x="0" s="1"/>
        <i x="11" s="1"/>
        <i x="3" s="1"/>
        <i x="2" s="1"/>
        <i x="18" s="1"/>
        <i x="17" s="1"/>
        <i x="10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CEPTO" xr10:uid="{3AE57484-AE86-4BE0-AE7A-B7A51E67F4DA}" cache="SegmentaciónDeDatos_CONCEPTO" caption="CONCEPTO" columnCount="6" style="SlicerStyleLight2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C4A4-58A8-4743-A3DF-7FD2B511B2C0}">
  <dimension ref="A2:AB1000"/>
  <sheetViews>
    <sheetView topLeftCell="A12" workbookViewId="0">
      <pane xSplit="2" topLeftCell="C1" activePane="topRight" state="frozen"/>
      <selection activeCell="A151" sqref="A151"/>
      <selection pane="topRight" activeCell="A16" sqref="A16"/>
    </sheetView>
  </sheetViews>
  <sheetFormatPr baseColWidth="10" defaultColWidth="14.42578125" defaultRowHeight="15" customHeight="1" x14ac:dyDescent="0.25"/>
  <cols>
    <col min="2" max="2" width="39.7109375" customWidth="1"/>
    <col min="3" max="3" width="10.85546875" customWidth="1"/>
    <col min="4" max="4" width="10.5703125" customWidth="1"/>
    <col min="5" max="5" width="5.28515625" customWidth="1"/>
    <col min="6" max="6" width="8.140625" customWidth="1"/>
    <col min="7" max="7" width="15" customWidth="1"/>
    <col min="8" max="8" width="21.7109375" bestFit="1" customWidth="1"/>
    <col min="9" max="9" width="13.7109375" customWidth="1"/>
    <col min="10" max="10" width="18.85546875" customWidth="1"/>
    <col min="11" max="11" width="19.7109375" customWidth="1"/>
    <col min="12" max="12" width="23.85546875" customWidth="1"/>
    <col min="13" max="13" width="21.28515625" customWidth="1"/>
    <col min="14" max="14" width="26.5703125" customWidth="1"/>
    <col min="15" max="15" width="19.7109375" customWidth="1"/>
    <col min="16" max="16" width="18.28515625" customWidth="1"/>
    <col min="17" max="17" width="18.85546875" customWidth="1"/>
    <col min="18" max="18" width="16.42578125" customWidth="1"/>
    <col min="19" max="20" width="15.140625" customWidth="1"/>
    <col min="21" max="21" width="15.5703125" bestFit="1" customWidth="1"/>
    <col min="22" max="22" width="13.28515625" customWidth="1"/>
    <col min="23" max="23" width="11.85546875" customWidth="1"/>
    <col min="24" max="25" width="13.7109375" customWidth="1"/>
    <col min="26" max="26" width="16.42578125" customWidth="1"/>
    <col min="27" max="27" width="16.7109375" bestFit="1" customWidth="1"/>
    <col min="28" max="28" width="10.7109375" customWidth="1"/>
  </cols>
  <sheetData>
    <row r="2" spans="1:28" ht="15.75" x14ac:dyDescent="0.25">
      <c r="V2" s="62" t="s">
        <v>237</v>
      </c>
      <c r="W2" s="61"/>
      <c r="X2" s="61"/>
      <c r="Y2" s="61"/>
      <c r="Z2" s="61"/>
      <c r="AA2" s="61"/>
    </row>
    <row r="3" spans="1:28" ht="16.5" x14ac:dyDescent="0.3">
      <c r="V3" s="63" t="s">
        <v>238</v>
      </c>
      <c r="W3" s="61"/>
      <c r="X3" s="2" t="s">
        <v>239</v>
      </c>
      <c r="Y3" s="63" t="s">
        <v>240</v>
      </c>
      <c r="Z3" s="61"/>
      <c r="AA3" s="2" t="s">
        <v>239</v>
      </c>
    </row>
    <row r="4" spans="1:28" ht="16.5" x14ac:dyDescent="0.3">
      <c r="V4" s="60" t="s">
        <v>241</v>
      </c>
      <c r="W4" s="61"/>
      <c r="X4" s="4">
        <v>0</v>
      </c>
      <c r="Y4" s="3" t="s">
        <v>242</v>
      </c>
      <c r="Z4" s="3"/>
      <c r="AA4" s="5">
        <v>0</v>
      </c>
    </row>
    <row r="5" spans="1:28" ht="16.5" x14ac:dyDescent="0.3">
      <c r="V5" s="60" t="s">
        <v>243</v>
      </c>
      <c r="W5" s="61"/>
      <c r="X5" s="4">
        <v>0</v>
      </c>
      <c r="Y5" s="3" t="s">
        <v>244</v>
      </c>
      <c r="Z5" s="3"/>
      <c r="AA5" s="5">
        <v>0</v>
      </c>
    </row>
    <row r="6" spans="1:28" ht="16.5" x14ac:dyDescent="0.3">
      <c r="V6" s="60" t="s">
        <v>245</v>
      </c>
      <c r="W6" s="61"/>
      <c r="X6" s="4">
        <v>0</v>
      </c>
      <c r="Y6" s="3" t="s">
        <v>21</v>
      </c>
      <c r="Z6" s="3"/>
      <c r="AA6" s="5">
        <v>0</v>
      </c>
    </row>
    <row r="7" spans="1:28" ht="16.5" x14ac:dyDescent="0.3">
      <c r="V7" s="60" t="s">
        <v>17</v>
      </c>
      <c r="W7" s="61"/>
      <c r="X7" s="4">
        <v>0</v>
      </c>
      <c r="Y7" s="3" t="s">
        <v>22</v>
      </c>
      <c r="Z7" s="3"/>
      <c r="AA7" s="5">
        <v>0</v>
      </c>
    </row>
    <row r="8" spans="1:28" ht="16.5" x14ac:dyDescent="0.3">
      <c r="V8" s="60" t="s">
        <v>246</v>
      </c>
      <c r="W8" s="61"/>
      <c r="X8" s="4">
        <v>0</v>
      </c>
      <c r="Y8" s="3"/>
      <c r="Z8" s="3"/>
      <c r="AA8" s="5"/>
    </row>
    <row r="9" spans="1:28" ht="16.5" x14ac:dyDescent="0.3">
      <c r="V9" s="60" t="s">
        <v>247</v>
      </c>
      <c r="W9" s="61"/>
      <c r="X9" s="4">
        <v>0</v>
      </c>
      <c r="Y9" s="3"/>
      <c r="Z9" s="3"/>
      <c r="AA9" s="5"/>
    </row>
    <row r="10" spans="1:28" ht="16.5" x14ac:dyDescent="0.3">
      <c r="V10" s="63" t="s">
        <v>248</v>
      </c>
      <c r="W10" s="61"/>
      <c r="X10" s="6">
        <v>0</v>
      </c>
      <c r="Y10" s="2" t="s">
        <v>248</v>
      </c>
      <c r="Z10" s="2"/>
      <c r="AA10" s="7">
        <v>0</v>
      </c>
    </row>
    <row r="11" spans="1:28" x14ac:dyDescent="0.25">
      <c r="V11" s="8"/>
      <c r="W11" s="8"/>
      <c r="X11" s="8"/>
      <c r="Y11" s="8"/>
      <c r="Z11" s="8"/>
      <c r="AA11" s="8"/>
    </row>
    <row r="12" spans="1:28" ht="16.5" x14ac:dyDescent="0.25">
      <c r="V12" s="67" t="s">
        <v>249</v>
      </c>
      <c r="W12" s="61"/>
      <c r="X12" s="61"/>
      <c r="Y12" s="61"/>
      <c r="Z12" s="61"/>
      <c r="AA12" s="61"/>
    </row>
    <row r="13" spans="1:28" ht="15" customHeight="1" x14ac:dyDescent="0.25">
      <c r="A13" s="64" t="s">
        <v>250</v>
      </c>
      <c r="B13" s="64"/>
      <c r="C13" s="64"/>
      <c r="D13" s="64"/>
      <c r="E13" s="64"/>
      <c r="F13" s="64"/>
      <c r="G13" s="64"/>
      <c r="H13" s="64"/>
      <c r="I13" s="64"/>
      <c r="J13" s="64"/>
      <c r="K13" s="64" t="s">
        <v>251</v>
      </c>
      <c r="L13" s="68"/>
      <c r="M13" s="68"/>
      <c r="N13" s="68"/>
      <c r="O13" s="68"/>
      <c r="P13" s="68"/>
      <c r="Q13" s="68"/>
      <c r="R13" s="68"/>
      <c r="S13" s="68"/>
      <c r="T13" s="65" t="s">
        <v>252</v>
      </c>
      <c r="U13" s="66"/>
      <c r="V13" s="66"/>
      <c r="W13" s="66"/>
      <c r="X13" s="66"/>
      <c r="Y13" s="66"/>
      <c r="Z13" s="66"/>
      <c r="AA13" s="66"/>
    </row>
    <row r="14" spans="1:28" ht="47.25" customHeight="1" x14ac:dyDescent="0.25">
      <c r="A14" s="32" t="s">
        <v>300</v>
      </c>
      <c r="B14" s="32" t="s">
        <v>55</v>
      </c>
      <c r="C14" s="32" t="s">
        <v>253</v>
      </c>
      <c r="D14" s="32" t="s">
        <v>56</v>
      </c>
      <c r="E14" s="33" t="s">
        <v>254</v>
      </c>
      <c r="F14" s="33" t="s">
        <v>255</v>
      </c>
      <c r="G14" s="32" t="s">
        <v>256</v>
      </c>
      <c r="H14" s="32" t="s">
        <v>29</v>
      </c>
      <c r="I14" s="32" t="s">
        <v>53</v>
      </c>
      <c r="J14" s="32" t="s">
        <v>257</v>
      </c>
      <c r="K14" s="32" t="s">
        <v>258</v>
      </c>
      <c r="L14" s="32" t="s">
        <v>259</v>
      </c>
      <c r="M14" s="32" t="s">
        <v>260</v>
      </c>
      <c r="N14" s="32" t="s">
        <v>261</v>
      </c>
      <c r="O14" s="32" t="s">
        <v>262</v>
      </c>
      <c r="P14" s="32" t="s">
        <v>263</v>
      </c>
      <c r="Q14" s="32" t="s">
        <v>264</v>
      </c>
      <c r="R14" s="32" t="s">
        <v>265</v>
      </c>
      <c r="S14" s="32" t="s">
        <v>266</v>
      </c>
      <c r="T14" s="32" t="s">
        <v>267</v>
      </c>
      <c r="U14" s="32" t="s">
        <v>268</v>
      </c>
      <c r="V14" s="32" t="s">
        <v>269</v>
      </c>
      <c r="W14" s="32" t="s">
        <v>270</v>
      </c>
      <c r="X14" s="32" t="s">
        <v>271</v>
      </c>
      <c r="Y14" s="32" t="s">
        <v>272</v>
      </c>
      <c r="Z14" s="32" t="s">
        <v>273</v>
      </c>
      <c r="AA14" s="35" t="s">
        <v>274</v>
      </c>
      <c r="AB14" s="9"/>
    </row>
    <row r="15" spans="1:28" x14ac:dyDescent="0.25">
      <c r="A15" s="16" t="str">
        <f>CONCATENATE(G15,COUNTIF($G$14:G15,G15))</f>
        <v>VENTAS1</v>
      </c>
      <c r="B15" s="17" t="s">
        <v>66</v>
      </c>
      <c r="C15" s="17" t="s">
        <v>275</v>
      </c>
      <c r="D15" s="17">
        <v>7</v>
      </c>
      <c r="E15" s="17" t="s">
        <v>276</v>
      </c>
      <c r="F15" s="17" t="s">
        <v>276</v>
      </c>
      <c r="G15" s="17" t="s">
        <v>31</v>
      </c>
      <c r="H15" s="17" t="str">
        <f t="shared" ref="H15:H46" si="0">VLOOKUP(D15,SALARIOSACTUALES,2,0)</f>
        <v>COORDINADOR</v>
      </c>
      <c r="I15" s="30">
        <f t="shared" ref="I15:I46" si="1">VLOOKUP(D15,SALARIOSACTUALES,3,0)</f>
        <v>3250000</v>
      </c>
      <c r="J15" s="16">
        <v>26</v>
      </c>
      <c r="K15" s="30">
        <f>I15/30*J15</f>
        <v>2816666.6666666665</v>
      </c>
      <c r="L15" s="36">
        <f>IF(I15&lt;='Valores Vigentes'!D$4*2,'Valores Vigentes'!$D$5/30*J15,0)</f>
        <v>0</v>
      </c>
      <c r="M15" s="36">
        <f>IF(J15=30,K15*2.5%,K15*1.5%)</f>
        <v>42249.999999999993</v>
      </c>
      <c r="N15" s="36">
        <f>IF(G15="VENTAS",K15*3.5%,0)</f>
        <v>98583.333333333343</v>
      </c>
      <c r="O15" s="36">
        <f>IF(AND(E15="SI",F15="SI"),K15*2.5%,IF(OR(E15="SI",F15="SI"),K15*1.5%,K15*1%))</f>
        <v>70416.666666666672</v>
      </c>
      <c r="P15" s="16">
        <f t="shared" ref="P15:P46" si="2">VLOOKUP(B15,HORASEXTRAS,10,0)</f>
        <v>295454.54545454541</v>
      </c>
      <c r="Q15" s="36">
        <f t="shared" ref="Q15:Q46" si="3">VLOOKUP(B15,HORASEXTRAS,11,0)</f>
        <v>8</v>
      </c>
      <c r="R15" s="36">
        <f>IF(OR(D15=9,D15=10),I15*15%,0)</f>
        <v>0</v>
      </c>
      <c r="S15" s="30">
        <f>SUM(K15:R15)-P15</f>
        <v>3027924.6666666665</v>
      </c>
      <c r="T15" s="30">
        <f>(S15-L15+M15-O15-R15)*'Valores Vigentes'!$D$6</f>
        <v>119990.32</v>
      </c>
      <c r="U15" s="30">
        <f>(S15-L15+M15-O15-R15)*'Valores Vigentes'!$D$7</f>
        <v>119990.32</v>
      </c>
      <c r="V15" s="36">
        <f>IF(I15&gt;'Valores Vigentes'!$D$4*4,I15*1%,0)</f>
        <v>0</v>
      </c>
      <c r="W15" s="36">
        <f t="shared" ref="W15:W46" si="4">HLOOKUP(S15,RETEFUENTE,2,1)</f>
        <v>0</v>
      </c>
      <c r="X15" s="36">
        <f>IF(E15="SI",I15*3%,0)</f>
        <v>97500</v>
      </c>
      <c r="Y15" s="36">
        <f>IF(F15="SI",S15*2%,0)</f>
        <v>60558.493333333332</v>
      </c>
      <c r="Z15" s="30">
        <f>SUM(T15:Y15)</f>
        <v>398039.13333333336</v>
      </c>
      <c r="AA15" s="30">
        <f>S15-Z15</f>
        <v>2629885.5333333332</v>
      </c>
    </row>
    <row r="16" spans="1:28" x14ac:dyDescent="0.25">
      <c r="A16" s="16" t="str">
        <f>CONCATENATE(G16,COUNTIF($G$14:G16,G16))</f>
        <v>VENTAS2</v>
      </c>
      <c r="B16" s="17" t="s">
        <v>67</v>
      </c>
      <c r="C16" s="17" t="s">
        <v>275</v>
      </c>
      <c r="D16" s="17">
        <v>7</v>
      </c>
      <c r="E16" s="17" t="s">
        <v>276</v>
      </c>
      <c r="F16" s="17" t="s">
        <v>277</v>
      </c>
      <c r="G16" s="17" t="s">
        <v>31</v>
      </c>
      <c r="H16" s="17" t="str">
        <f t="shared" si="0"/>
        <v>COORDINADOR</v>
      </c>
      <c r="I16" s="30">
        <f t="shared" si="1"/>
        <v>3250000</v>
      </c>
      <c r="J16" s="16">
        <v>25</v>
      </c>
      <c r="K16" s="30">
        <f t="shared" ref="K16:K79" si="5">I16/30*J16</f>
        <v>2708333.333333333</v>
      </c>
      <c r="L16" s="36">
        <f>IF(I16&lt;='Valores Vigentes'!D$4*2,'Valores Vigentes'!$D$5/30*J16,0)</f>
        <v>0</v>
      </c>
      <c r="M16" s="36">
        <f t="shared" ref="M16:M79" si="6">IF(J16=30,K16*2.5%,K16*1.5%)</f>
        <v>40624.999999999993</v>
      </c>
      <c r="N16" s="36">
        <f t="shared" ref="N16:N79" si="7">IF(G16="VENTAS",K16*3.5%,0)</f>
        <v>94791.666666666672</v>
      </c>
      <c r="O16" s="36">
        <f t="shared" ref="O16:O79" si="8">IF(AND(E16="SI",F16="SI"),K16*2.5%,IF(OR(E16="SI",F16="SI"),K16*1.5%,K16*1%))</f>
        <v>40624.999999999993</v>
      </c>
      <c r="P16" s="16">
        <f t="shared" si="2"/>
        <v>590909.09090909082</v>
      </c>
      <c r="Q16" s="36">
        <f t="shared" si="3"/>
        <v>16</v>
      </c>
      <c r="R16" s="36">
        <f t="shared" ref="R16:R79" si="9">IF(OR(D16=9,D16=10),I16*15%,0)</f>
        <v>0</v>
      </c>
      <c r="S16" s="30">
        <f t="shared" ref="S16:S79" si="10">SUM(K16:R16)-P16</f>
        <v>2884390.9999999995</v>
      </c>
      <c r="T16" s="30">
        <f>(S16-L16+M16-O16-R16)*'Valores Vigentes'!$D$6</f>
        <v>115375.63999999998</v>
      </c>
      <c r="U16" s="30">
        <f>(S16-L16+M16-O16-R16)*'Valores Vigentes'!$D$7</f>
        <v>115375.63999999998</v>
      </c>
      <c r="V16" s="36">
        <f>IF(I16&gt;'Valores Vigentes'!$D$4*4,I16*1%,0)</f>
        <v>0</v>
      </c>
      <c r="W16" s="36">
        <f t="shared" si="4"/>
        <v>0</v>
      </c>
      <c r="X16" s="36">
        <f t="shared" ref="X16:X79" si="11">IF(E16="SI",I16*3%,0)</f>
        <v>97500</v>
      </c>
      <c r="Y16" s="36">
        <f t="shared" ref="Y16:Y79" si="12">IF(F16="SI",S16*2%,0)</f>
        <v>0</v>
      </c>
      <c r="Z16" s="30">
        <f t="shared" ref="Z16:Z79" si="13">SUM(T16:Y16)</f>
        <v>328251.27999999997</v>
      </c>
      <c r="AA16" s="30">
        <f t="shared" ref="AA16:AA79" si="14">S16-Z16</f>
        <v>2556139.7199999997</v>
      </c>
    </row>
    <row r="17" spans="1:27" x14ac:dyDescent="0.25">
      <c r="A17" s="16" t="str">
        <f>CONCATENATE(G17,COUNTIF($G$14:G17,G17))</f>
        <v>COMPRAS1</v>
      </c>
      <c r="B17" s="17" t="s">
        <v>68</v>
      </c>
      <c r="C17" s="17" t="s">
        <v>278</v>
      </c>
      <c r="D17" s="17">
        <v>5</v>
      </c>
      <c r="E17" s="17" t="s">
        <v>276</v>
      </c>
      <c r="F17" s="17" t="s">
        <v>277</v>
      </c>
      <c r="G17" s="17" t="s">
        <v>33</v>
      </c>
      <c r="H17" s="17" t="str">
        <f t="shared" si="0"/>
        <v>ASESOR VENTAS</v>
      </c>
      <c r="I17" s="30">
        <f t="shared" si="1"/>
        <v>2650000</v>
      </c>
      <c r="J17" s="16">
        <v>30</v>
      </c>
      <c r="K17" s="30">
        <f t="shared" si="5"/>
        <v>2650000</v>
      </c>
      <c r="L17" s="36">
        <f>IF(I17&lt;='Valores Vigentes'!D$4*2,'Valores Vigentes'!$D$5/30*J17,0)</f>
        <v>200000</v>
      </c>
      <c r="M17" s="36">
        <f t="shared" si="6"/>
        <v>66250</v>
      </c>
      <c r="N17" s="36">
        <f t="shared" si="7"/>
        <v>0</v>
      </c>
      <c r="O17" s="36">
        <f t="shared" si="8"/>
        <v>39750</v>
      </c>
      <c r="P17" s="16">
        <f t="shared" si="2"/>
        <v>421590.90909090912</v>
      </c>
      <c r="Q17" s="36">
        <f t="shared" si="3"/>
        <v>14</v>
      </c>
      <c r="R17" s="36">
        <f t="shared" si="9"/>
        <v>0</v>
      </c>
      <c r="S17" s="30">
        <f t="shared" si="10"/>
        <v>2956014</v>
      </c>
      <c r="T17" s="30">
        <f>(S17-L17+M17-O17-R17)*'Valores Vigentes'!$D$6</f>
        <v>111300.56</v>
      </c>
      <c r="U17" s="30">
        <f>(S17-L17+M17-O17-R17)*'Valores Vigentes'!$D$7</f>
        <v>111300.56</v>
      </c>
      <c r="V17" s="36">
        <f>IF(I17&gt;'Valores Vigentes'!$D$4*4,I17*1%,0)</f>
        <v>0</v>
      </c>
      <c r="W17" s="36">
        <f t="shared" si="4"/>
        <v>0</v>
      </c>
      <c r="X17" s="36">
        <f t="shared" si="11"/>
        <v>79500</v>
      </c>
      <c r="Y17" s="36">
        <f t="shared" si="12"/>
        <v>0</v>
      </c>
      <c r="Z17" s="30">
        <f t="shared" si="13"/>
        <v>302101.12</v>
      </c>
      <c r="AA17" s="30">
        <f t="shared" si="14"/>
        <v>2653912.88</v>
      </c>
    </row>
    <row r="18" spans="1:27" x14ac:dyDescent="0.25">
      <c r="A18" s="16" t="str">
        <f>CONCATENATE(G18,COUNTIF($G$14:G18,G18))</f>
        <v>ADMON1</v>
      </c>
      <c r="B18" s="17" t="s">
        <v>69</v>
      </c>
      <c r="C18" s="17" t="s">
        <v>278</v>
      </c>
      <c r="D18" s="17">
        <v>9</v>
      </c>
      <c r="E18" s="17" t="s">
        <v>277</v>
      </c>
      <c r="F18" s="17" t="s">
        <v>276</v>
      </c>
      <c r="G18" s="17" t="s">
        <v>35</v>
      </c>
      <c r="H18" s="17" t="str">
        <f t="shared" si="0"/>
        <v>JEFE ÁREA</v>
      </c>
      <c r="I18" s="30">
        <f t="shared" si="1"/>
        <v>6000000</v>
      </c>
      <c r="J18" s="16">
        <v>29</v>
      </c>
      <c r="K18" s="30">
        <f t="shared" si="5"/>
        <v>5800000</v>
      </c>
      <c r="L18" s="36">
        <f>IF(I18&lt;='Valores Vigentes'!D$4*2,'Valores Vigentes'!$D$5/30*J18,0)</f>
        <v>0</v>
      </c>
      <c r="M18" s="36">
        <f t="shared" si="6"/>
        <v>87000</v>
      </c>
      <c r="N18" s="36">
        <f t="shared" si="7"/>
        <v>0</v>
      </c>
      <c r="O18" s="36">
        <f t="shared" si="8"/>
        <v>87000</v>
      </c>
      <c r="P18" s="16">
        <f t="shared" si="2"/>
        <v>750000</v>
      </c>
      <c r="Q18" s="36">
        <f t="shared" si="3"/>
        <v>11</v>
      </c>
      <c r="R18" s="36">
        <f t="shared" si="9"/>
        <v>900000</v>
      </c>
      <c r="S18" s="30">
        <f t="shared" si="10"/>
        <v>6874011</v>
      </c>
      <c r="T18" s="30">
        <f>(S18-L18+M18-O18-R18)*'Valores Vigentes'!$D$6</f>
        <v>238960.44</v>
      </c>
      <c r="U18" s="30">
        <f>(S18-L18+M18-O18-R18)*'Valores Vigentes'!$D$7</f>
        <v>238960.44</v>
      </c>
      <c r="V18" s="36">
        <f>IF(I18&gt;'Valores Vigentes'!$D$4*4,I18*1%,0)</f>
        <v>60000</v>
      </c>
      <c r="W18" s="36">
        <f t="shared" si="4"/>
        <v>85000</v>
      </c>
      <c r="X18" s="36">
        <f t="shared" si="11"/>
        <v>0</v>
      </c>
      <c r="Y18" s="36">
        <f t="shared" si="12"/>
        <v>137480.22</v>
      </c>
      <c r="Z18" s="30">
        <f t="shared" si="13"/>
        <v>760401.1</v>
      </c>
      <c r="AA18" s="30">
        <f t="shared" si="14"/>
        <v>6113609.9000000004</v>
      </c>
    </row>
    <row r="19" spans="1:27" x14ac:dyDescent="0.25">
      <c r="A19" s="16" t="str">
        <f>CONCATENATE(G19,COUNTIF($G$14:G19,G19))</f>
        <v>MERCADEO1</v>
      </c>
      <c r="B19" s="17" t="s">
        <v>70</v>
      </c>
      <c r="C19" s="17" t="s">
        <v>275</v>
      </c>
      <c r="D19" s="17">
        <v>4</v>
      </c>
      <c r="E19" s="17" t="s">
        <v>276</v>
      </c>
      <c r="F19" s="17" t="s">
        <v>276</v>
      </c>
      <c r="G19" s="17" t="s">
        <v>37</v>
      </c>
      <c r="H19" s="17" t="str">
        <f t="shared" si="0"/>
        <v>TÉCNICO PROFESIONAL</v>
      </c>
      <c r="I19" s="30">
        <f t="shared" si="1"/>
        <v>2450000</v>
      </c>
      <c r="J19" s="16">
        <v>26</v>
      </c>
      <c r="K19" s="30">
        <f t="shared" si="5"/>
        <v>2123333.3333333335</v>
      </c>
      <c r="L19" s="36">
        <f>IF(I19&lt;='Valores Vigentes'!D$4*2,'Valores Vigentes'!$D$5/30*J19,0)</f>
        <v>173333.33333333334</v>
      </c>
      <c r="M19" s="36">
        <f t="shared" si="6"/>
        <v>31850</v>
      </c>
      <c r="N19" s="36">
        <f t="shared" si="7"/>
        <v>0</v>
      </c>
      <c r="O19" s="36">
        <f t="shared" si="8"/>
        <v>53083.333333333343</v>
      </c>
      <c r="P19" s="16">
        <f t="shared" si="2"/>
        <v>361931.81818181812</v>
      </c>
      <c r="Q19" s="36">
        <f t="shared" si="3"/>
        <v>13</v>
      </c>
      <c r="R19" s="36">
        <f t="shared" si="9"/>
        <v>0</v>
      </c>
      <c r="S19" s="30">
        <f t="shared" si="10"/>
        <v>2381613</v>
      </c>
      <c r="T19" s="30">
        <f>(S19-L19+M19-O19-R19)*'Valores Vigentes'!$D$6</f>
        <v>87481.853333333318</v>
      </c>
      <c r="U19" s="30">
        <f>(S19-L19+M19-O19-R19)*'Valores Vigentes'!$D$7</f>
        <v>87481.853333333318</v>
      </c>
      <c r="V19" s="36">
        <f>IF(I19&gt;'Valores Vigentes'!$D$4*4,I19*1%,0)</f>
        <v>0</v>
      </c>
      <c r="W19" s="36">
        <f t="shared" si="4"/>
        <v>0</v>
      </c>
      <c r="X19" s="36">
        <f t="shared" si="11"/>
        <v>73500</v>
      </c>
      <c r="Y19" s="36">
        <f t="shared" si="12"/>
        <v>47632.26</v>
      </c>
      <c r="Z19" s="30">
        <f t="shared" si="13"/>
        <v>296095.96666666662</v>
      </c>
      <c r="AA19" s="30">
        <f t="shared" si="14"/>
        <v>2085517.0333333334</v>
      </c>
    </row>
    <row r="20" spans="1:27" x14ac:dyDescent="0.25">
      <c r="A20" s="16" t="str">
        <f>CONCATENATE(G20,COUNTIF($G$14:G20,G20))</f>
        <v>VENTAS3</v>
      </c>
      <c r="B20" s="17" t="s">
        <v>71</v>
      </c>
      <c r="C20" s="17" t="s">
        <v>278</v>
      </c>
      <c r="D20" s="17">
        <v>4</v>
      </c>
      <c r="E20" s="17" t="s">
        <v>276</v>
      </c>
      <c r="F20" s="17" t="s">
        <v>276</v>
      </c>
      <c r="G20" s="17" t="s">
        <v>31</v>
      </c>
      <c r="H20" s="17" t="str">
        <f t="shared" si="0"/>
        <v>TÉCNICO PROFESIONAL</v>
      </c>
      <c r="I20" s="30">
        <f t="shared" si="1"/>
        <v>2450000</v>
      </c>
      <c r="J20" s="16">
        <v>28</v>
      </c>
      <c r="K20" s="30">
        <f t="shared" si="5"/>
        <v>2286666.666666667</v>
      </c>
      <c r="L20" s="36">
        <f>IF(I20&lt;='Valores Vigentes'!D$4*2,'Valores Vigentes'!$D$5/30*J20,0)</f>
        <v>186666.66666666669</v>
      </c>
      <c r="M20" s="36">
        <f t="shared" si="6"/>
        <v>34300</v>
      </c>
      <c r="N20" s="36">
        <f t="shared" si="7"/>
        <v>80033.333333333358</v>
      </c>
      <c r="O20" s="36">
        <f t="shared" si="8"/>
        <v>57166.666666666679</v>
      </c>
      <c r="P20" s="16">
        <f t="shared" si="2"/>
        <v>835227.27272727271</v>
      </c>
      <c r="Q20" s="36">
        <f t="shared" si="3"/>
        <v>30</v>
      </c>
      <c r="R20" s="36">
        <f t="shared" si="9"/>
        <v>0</v>
      </c>
      <c r="S20" s="30">
        <f t="shared" si="10"/>
        <v>2644863.333333334</v>
      </c>
      <c r="T20" s="30">
        <f>(S20-L20+M20-O20-R20)*'Valores Vigentes'!$D$6</f>
        <v>97413.200000000041</v>
      </c>
      <c r="U20" s="30">
        <f>(S20-L20+M20-O20-R20)*'Valores Vigentes'!$D$7</f>
        <v>97413.200000000041</v>
      </c>
      <c r="V20" s="36">
        <f>IF(I20&gt;'Valores Vigentes'!$D$4*4,I20*1%,0)</f>
        <v>0</v>
      </c>
      <c r="W20" s="36">
        <f t="shared" si="4"/>
        <v>0</v>
      </c>
      <c r="X20" s="36">
        <f t="shared" si="11"/>
        <v>73500</v>
      </c>
      <c r="Y20" s="36">
        <f t="shared" si="12"/>
        <v>52897.266666666677</v>
      </c>
      <c r="Z20" s="30">
        <f t="shared" si="13"/>
        <v>321223.66666666674</v>
      </c>
      <c r="AA20" s="30">
        <f t="shared" si="14"/>
        <v>2323639.666666667</v>
      </c>
    </row>
    <row r="21" spans="1:27" ht="15.75" customHeight="1" x14ac:dyDescent="0.25">
      <c r="A21" s="16" t="str">
        <f>CONCATENATE(G21,COUNTIF($G$14:G21,G21))</f>
        <v>ADMON2</v>
      </c>
      <c r="B21" s="17" t="s">
        <v>72</v>
      </c>
      <c r="C21" s="17" t="s">
        <v>278</v>
      </c>
      <c r="D21" s="17">
        <v>2</v>
      </c>
      <c r="E21" s="17" t="s">
        <v>277</v>
      </c>
      <c r="F21" s="17" t="s">
        <v>276</v>
      </c>
      <c r="G21" s="17" t="s">
        <v>35</v>
      </c>
      <c r="H21" s="17" t="str">
        <f t="shared" si="0"/>
        <v>ASISTENTES</v>
      </c>
      <c r="I21" s="30">
        <f t="shared" si="1"/>
        <v>1626000</v>
      </c>
      <c r="J21" s="16">
        <v>26</v>
      </c>
      <c r="K21" s="30">
        <f t="shared" si="5"/>
        <v>1409200</v>
      </c>
      <c r="L21" s="36">
        <f>IF(I21&lt;='Valores Vigentes'!D$4*2,'Valores Vigentes'!$D$5/30*J21,0)</f>
        <v>173333.33333333334</v>
      </c>
      <c r="M21" s="36">
        <f t="shared" si="6"/>
        <v>21138</v>
      </c>
      <c r="N21" s="36">
        <f t="shared" si="7"/>
        <v>0</v>
      </c>
      <c r="O21" s="36">
        <f t="shared" si="8"/>
        <v>21138</v>
      </c>
      <c r="P21" s="16">
        <f t="shared" si="2"/>
        <v>0</v>
      </c>
      <c r="Q21" s="36">
        <f t="shared" si="3"/>
        <v>0</v>
      </c>
      <c r="R21" s="36">
        <f t="shared" si="9"/>
        <v>0</v>
      </c>
      <c r="S21" s="30">
        <f t="shared" si="10"/>
        <v>1624809.3333333333</v>
      </c>
      <c r="T21" s="30">
        <f>(S21-L21+M21-O21-R21)*'Valores Vigentes'!$D$6</f>
        <v>58059.040000000001</v>
      </c>
      <c r="U21" s="30">
        <f>(S21-L21+M21-O21-R21)*'Valores Vigentes'!$D$7</f>
        <v>58059.040000000001</v>
      </c>
      <c r="V21" s="36">
        <f>IF(I21&gt;'Valores Vigentes'!$D$4*4,I21*1%,0)</f>
        <v>0</v>
      </c>
      <c r="W21" s="36">
        <f t="shared" si="4"/>
        <v>0</v>
      </c>
      <c r="X21" s="36">
        <f t="shared" si="11"/>
        <v>0</v>
      </c>
      <c r="Y21" s="36">
        <f t="shared" si="12"/>
        <v>32496.186666666665</v>
      </c>
      <c r="Z21" s="30">
        <f t="shared" si="13"/>
        <v>148614.26666666666</v>
      </c>
      <c r="AA21" s="30">
        <f t="shared" si="14"/>
        <v>1476195.0666666667</v>
      </c>
    </row>
    <row r="22" spans="1:27" ht="15.75" customHeight="1" x14ac:dyDescent="0.25">
      <c r="A22" s="16" t="str">
        <f>CONCATENATE(G22,COUNTIF($G$14:G22,G22))</f>
        <v>VENTAS4</v>
      </c>
      <c r="B22" s="17" t="s">
        <v>73</v>
      </c>
      <c r="C22" s="17" t="s">
        <v>278</v>
      </c>
      <c r="D22" s="17">
        <v>7</v>
      </c>
      <c r="E22" s="17" t="s">
        <v>277</v>
      </c>
      <c r="F22" s="17" t="s">
        <v>276</v>
      </c>
      <c r="G22" s="17" t="s">
        <v>31</v>
      </c>
      <c r="H22" s="17" t="str">
        <f t="shared" si="0"/>
        <v>COORDINADOR</v>
      </c>
      <c r="I22" s="30">
        <f t="shared" si="1"/>
        <v>3250000</v>
      </c>
      <c r="J22" s="16">
        <v>28</v>
      </c>
      <c r="K22" s="30">
        <f t="shared" si="5"/>
        <v>3033333.333333333</v>
      </c>
      <c r="L22" s="36">
        <f>IF(I22&lt;='Valores Vigentes'!D$4*2,'Valores Vigentes'!$D$5/30*J22,0)</f>
        <v>0</v>
      </c>
      <c r="M22" s="36">
        <f t="shared" si="6"/>
        <v>45499.999999999993</v>
      </c>
      <c r="N22" s="36">
        <f t="shared" si="7"/>
        <v>106166.66666666667</v>
      </c>
      <c r="O22" s="36">
        <f t="shared" si="8"/>
        <v>45499.999999999993</v>
      </c>
      <c r="P22" s="16">
        <f t="shared" si="2"/>
        <v>627840.90909090894</v>
      </c>
      <c r="Q22" s="36">
        <f t="shared" si="3"/>
        <v>17</v>
      </c>
      <c r="R22" s="36">
        <f t="shared" si="9"/>
        <v>0</v>
      </c>
      <c r="S22" s="30">
        <f t="shared" si="10"/>
        <v>3230516.9999999991</v>
      </c>
      <c r="T22" s="30">
        <f>(S22-L22+M22-O22-R22)*'Valores Vigentes'!$D$6</f>
        <v>129220.67999999996</v>
      </c>
      <c r="U22" s="30">
        <f>(S22-L22+M22-O22-R22)*'Valores Vigentes'!$D$7</f>
        <v>129220.67999999996</v>
      </c>
      <c r="V22" s="36">
        <f>IF(I22&gt;'Valores Vigentes'!$D$4*4,I22*1%,0)</f>
        <v>0</v>
      </c>
      <c r="W22" s="36">
        <f t="shared" si="4"/>
        <v>0</v>
      </c>
      <c r="X22" s="36">
        <f t="shared" si="11"/>
        <v>0</v>
      </c>
      <c r="Y22" s="36">
        <f t="shared" si="12"/>
        <v>64610.339999999982</v>
      </c>
      <c r="Z22" s="30">
        <f t="shared" si="13"/>
        <v>323051.6999999999</v>
      </c>
      <c r="AA22" s="30">
        <f t="shared" si="14"/>
        <v>2907465.2999999993</v>
      </c>
    </row>
    <row r="23" spans="1:27" ht="15.75" customHeight="1" x14ac:dyDescent="0.25">
      <c r="A23" s="16" t="str">
        <f>CONCATENATE(G23,COUNTIF($G$14:G23,G23))</f>
        <v>COMPRAS2</v>
      </c>
      <c r="B23" s="17" t="s">
        <v>74</v>
      </c>
      <c r="C23" s="17" t="s">
        <v>278</v>
      </c>
      <c r="D23" s="17">
        <v>1</v>
      </c>
      <c r="E23" s="17" t="s">
        <v>276</v>
      </c>
      <c r="F23" s="17" t="s">
        <v>277</v>
      </c>
      <c r="G23" s="17" t="s">
        <v>33</v>
      </c>
      <c r="H23" s="17" t="str">
        <f t="shared" si="0"/>
        <v>AUXILIAR ADMON</v>
      </c>
      <c r="I23" s="30">
        <f t="shared" si="1"/>
        <v>1423500</v>
      </c>
      <c r="J23" s="16">
        <v>28</v>
      </c>
      <c r="K23" s="30">
        <f t="shared" si="5"/>
        <v>1328600</v>
      </c>
      <c r="L23" s="36">
        <f>IF(I23&lt;='Valores Vigentes'!D$4*2,'Valores Vigentes'!$D$5/30*J23,0)</f>
        <v>186666.66666666669</v>
      </c>
      <c r="M23" s="36">
        <f t="shared" si="6"/>
        <v>19929</v>
      </c>
      <c r="N23" s="36">
        <f t="shared" si="7"/>
        <v>0</v>
      </c>
      <c r="O23" s="36">
        <f t="shared" si="8"/>
        <v>19929</v>
      </c>
      <c r="P23" s="16">
        <f t="shared" si="2"/>
        <v>242642.04545454544</v>
      </c>
      <c r="Q23" s="36">
        <f t="shared" si="3"/>
        <v>15</v>
      </c>
      <c r="R23" s="36">
        <f t="shared" si="9"/>
        <v>0</v>
      </c>
      <c r="S23" s="30">
        <f t="shared" si="10"/>
        <v>1555139.6666666667</v>
      </c>
      <c r="T23" s="30">
        <f>(S23-L23+M23-O23-R23)*'Valores Vigentes'!$D$6</f>
        <v>54738.92</v>
      </c>
      <c r="U23" s="30">
        <f>(S23-L23+M23-O23-R23)*'Valores Vigentes'!$D$7</f>
        <v>54738.92</v>
      </c>
      <c r="V23" s="36">
        <f>IF(I23&gt;'Valores Vigentes'!$D$4*4,I23*1%,0)</f>
        <v>0</v>
      </c>
      <c r="W23" s="36">
        <f t="shared" si="4"/>
        <v>0</v>
      </c>
      <c r="X23" s="36">
        <f t="shared" si="11"/>
        <v>42705</v>
      </c>
      <c r="Y23" s="36">
        <f t="shared" si="12"/>
        <v>0</v>
      </c>
      <c r="Z23" s="30">
        <f t="shared" si="13"/>
        <v>152182.84</v>
      </c>
      <c r="AA23" s="30">
        <f t="shared" si="14"/>
        <v>1402956.8266666667</v>
      </c>
    </row>
    <row r="24" spans="1:27" ht="15.75" customHeight="1" x14ac:dyDescent="0.25">
      <c r="A24" s="16" t="str">
        <f>CONCATENATE(G24,COUNTIF($G$14:G24,G24))</f>
        <v>ADMON3</v>
      </c>
      <c r="B24" s="17" t="s">
        <v>75</v>
      </c>
      <c r="C24" s="17" t="s">
        <v>278</v>
      </c>
      <c r="D24" s="17">
        <v>5</v>
      </c>
      <c r="E24" s="17" t="s">
        <v>276</v>
      </c>
      <c r="F24" s="17" t="s">
        <v>277</v>
      </c>
      <c r="G24" s="17" t="s">
        <v>35</v>
      </c>
      <c r="H24" s="17" t="str">
        <f t="shared" si="0"/>
        <v>ASESOR VENTAS</v>
      </c>
      <c r="I24" s="30">
        <f t="shared" si="1"/>
        <v>2650000</v>
      </c>
      <c r="J24" s="16">
        <v>30</v>
      </c>
      <c r="K24" s="30">
        <f t="shared" si="5"/>
        <v>2650000</v>
      </c>
      <c r="L24" s="36">
        <f>IF(I24&lt;='Valores Vigentes'!D$4*2,'Valores Vigentes'!$D$5/30*J24,0)</f>
        <v>200000</v>
      </c>
      <c r="M24" s="36">
        <f t="shared" si="6"/>
        <v>66250</v>
      </c>
      <c r="N24" s="36">
        <f t="shared" si="7"/>
        <v>0</v>
      </c>
      <c r="O24" s="36">
        <f t="shared" si="8"/>
        <v>39750</v>
      </c>
      <c r="P24" s="16">
        <f t="shared" si="2"/>
        <v>632386.36363636365</v>
      </c>
      <c r="Q24" s="36">
        <f t="shared" si="3"/>
        <v>21</v>
      </c>
      <c r="R24" s="36">
        <f t="shared" si="9"/>
        <v>0</v>
      </c>
      <c r="S24" s="30">
        <f t="shared" si="10"/>
        <v>2956021</v>
      </c>
      <c r="T24" s="30">
        <f>(S24-L24+M24-O24-R24)*'Valores Vigentes'!$D$6</f>
        <v>111300.84</v>
      </c>
      <c r="U24" s="30">
        <f>(S24-L24+M24-O24-R24)*'Valores Vigentes'!$D$7</f>
        <v>111300.84</v>
      </c>
      <c r="V24" s="36">
        <f>IF(I24&gt;'Valores Vigentes'!$D$4*4,I24*1%,0)</f>
        <v>0</v>
      </c>
      <c r="W24" s="36">
        <f t="shared" si="4"/>
        <v>0</v>
      </c>
      <c r="X24" s="36">
        <f t="shared" si="11"/>
        <v>79500</v>
      </c>
      <c r="Y24" s="36">
        <f t="shared" si="12"/>
        <v>0</v>
      </c>
      <c r="Z24" s="30">
        <f t="shared" si="13"/>
        <v>302101.68</v>
      </c>
      <c r="AA24" s="30">
        <f t="shared" si="14"/>
        <v>2653919.3199999998</v>
      </c>
    </row>
    <row r="25" spans="1:27" ht="15.75" customHeight="1" x14ac:dyDescent="0.25">
      <c r="A25" s="16" t="str">
        <f>CONCATENATE(G25,COUNTIF($G$14:G25,G25))</f>
        <v>VENTAS5</v>
      </c>
      <c r="B25" s="17" t="s">
        <v>76</v>
      </c>
      <c r="C25" s="17" t="s">
        <v>275</v>
      </c>
      <c r="D25" s="17">
        <v>7</v>
      </c>
      <c r="E25" s="17" t="s">
        <v>276</v>
      </c>
      <c r="F25" s="17" t="s">
        <v>277</v>
      </c>
      <c r="G25" s="17" t="s">
        <v>31</v>
      </c>
      <c r="H25" s="17" t="str">
        <f t="shared" si="0"/>
        <v>COORDINADOR</v>
      </c>
      <c r="I25" s="30">
        <f t="shared" si="1"/>
        <v>3250000</v>
      </c>
      <c r="J25" s="16">
        <v>27</v>
      </c>
      <c r="K25" s="30">
        <f t="shared" si="5"/>
        <v>2925000</v>
      </c>
      <c r="L25" s="36">
        <f>IF(I25&lt;='Valores Vigentes'!D$4*2,'Valores Vigentes'!$D$5/30*J25,0)</f>
        <v>0</v>
      </c>
      <c r="M25" s="36">
        <f t="shared" si="6"/>
        <v>43875</v>
      </c>
      <c r="N25" s="36">
        <f t="shared" si="7"/>
        <v>102375.00000000001</v>
      </c>
      <c r="O25" s="36">
        <f t="shared" si="8"/>
        <v>43875</v>
      </c>
      <c r="P25" s="16">
        <f t="shared" si="2"/>
        <v>221590.90909090906</v>
      </c>
      <c r="Q25" s="36">
        <f t="shared" si="3"/>
        <v>6</v>
      </c>
      <c r="R25" s="36">
        <f t="shared" si="9"/>
        <v>0</v>
      </c>
      <c r="S25" s="30">
        <f t="shared" si="10"/>
        <v>3115131</v>
      </c>
      <c r="T25" s="30">
        <f>(S25-L25+M25-O25-R25)*'Valores Vigentes'!$D$6</f>
        <v>124605.24</v>
      </c>
      <c r="U25" s="30">
        <f>(S25-L25+M25-O25-R25)*'Valores Vigentes'!$D$7</f>
        <v>124605.24</v>
      </c>
      <c r="V25" s="36">
        <f>IF(I25&gt;'Valores Vigentes'!$D$4*4,I25*1%,0)</f>
        <v>0</v>
      </c>
      <c r="W25" s="36">
        <f t="shared" si="4"/>
        <v>0</v>
      </c>
      <c r="X25" s="36">
        <f t="shared" si="11"/>
        <v>97500</v>
      </c>
      <c r="Y25" s="36">
        <f t="shared" si="12"/>
        <v>0</v>
      </c>
      <c r="Z25" s="30">
        <f t="shared" si="13"/>
        <v>346710.48</v>
      </c>
      <c r="AA25" s="30">
        <f t="shared" si="14"/>
        <v>2768420.52</v>
      </c>
    </row>
    <row r="26" spans="1:27" ht="15.75" customHeight="1" x14ac:dyDescent="0.25">
      <c r="A26" s="16" t="str">
        <f>CONCATENATE(G26,COUNTIF($G$14:G26,G26))</f>
        <v>VENTAS6</v>
      </c>
      <c r="B26" s="17" t="s">
        <v>77</v>
      </c>
      <c r="C26" s="17" t="s">
        <v>278</v>
      </c>
      <c r="D26" s="17">
        <v>2</v>
      </c>
      <c r="E26" s="17" t="s">
        <v>276</v>
      </c>
      <c r="F26" s="17" t="s">
        <v>276</v>
      </c>
      <c r="G26" s="17" t="s">
        <v>31</v>
      </c>
      <c r="H26" s="17" t="str">
        <f t="shared" si="0"/>
        <v>ASISTENTES</v>
      </c>
      <c r="I26" s="30">
        <f t="shared" si="1"/>
        <v>1626000</v>
      </c>
      <c r="J26" s="16">
        <v>29</v>
      </c>
      <c r="K26" s="30">
        <f t="shared" si="5"/>
        <v>1571800</v>
      </c>
      <c r="L26" s="36">
        <f>IF(I26&lt;='Valores Vigentes'!D$4*2,'Valores Vigentes'!$D$5/30*J26,0)</f>
        <v>193333.33333333334</v>
      </c>
      <c r="M26" s="36">
        <f t="shared" si="6"/>
        <v>23577</v>
      </c>
      <c r="N26" s="36">
        <f t="shared" si="7"/>
        <v>55013.000000000007</v>
      </c>
      <c r="O26" s="36">
        <f t="shared" si="8"/>
        <v>39295</v>
      </c>
      <c r="P26" s="16">
        <f t="shared" si="2"/>
        <v>406500</v>
      </c>
      <c r="Q26" s="36">
        <f t="shared" si="3"/>
        <v>22</v>
      </c>
      <c r="R26" s="36">
        <f t="shared" si="9"/>
        <v>0</v>
      </c>
      <c r="S26" s="30">
        <f t="shared" si="10"/>
        <v>1883040.333333333</v>
      </c>
      <c r="T26" s="30">
        <f>(S26-L26+M26-O26-R26)*'Valores Vigentes'!$D$6</f>
        <v>66959.56</v>
      </c>
      <c r="U26" s="30">
        <f>(S26-L26+M26-O26-R26)*'Valores Vigentes'!$D$7</f>
        <v>66959.56</v>
      </c>
      <c r="V26" s="36">
        <f>IF(I26&gt;'Valores Vigentes'!$D$4*4,I26*1%,0)</f>
        <v>0</v>
      </c>
      <c r="W26" s="36">
        <f t="shared" si="4"/>
        <v>0</v>
      </c>
      <c r="X26" s="36">
        <f t="shared" si="11"/>
        <v>48780</v>
      </c>
      <c r="Y26" s="36">
        <f t="shared" si="12"/>
        <v>37660.806666666664</v>
      </c>
      <c r="Z26" s="30">
        <f t="shared" si="13"/>
        <v>220359.92666666667</v>
      </c>
      <c r="AA26" s="30">
        <f t="shared" si="14"/>
        <v>1662680.4066666663</v>
      </c>
    </row>
    <row r="27" spans="1:27" ht="15.75" customHeight="1" x14ac:dyDescent="0.25">
      <c r="A27" s="16" t="str">
        <f>CONCATENATE(G27,COUNTIF($G$14:G27,G27))</f>
        <v>COMPRAS3</v>
      </c>
      <c r="B27" s="17" t="s">
        <v>78</v>
      </c>
      <c r="C27" s="17" t="s">
        <v>278</v>
      </c>
      <c r="D27" s="17">
        <v>7</v>
      </c>
      <c r="E27" s="17" t="s">
        <v>276</v>
      </c>
      <c r="F27" s="17" t="s">
        <v>277</v>
      </c>
      <c r="G27" s="17" t="s">
        <v>33</v>
      </c>
      <c r="H27" s="17" t="str">
        <f t="shared" si="0"/>
        <v>COORDINADOR</v>
      </c>
      <c r="I27" s="30">
        <f t="shared" si="1"/>
        <v>3250000</v>
      </c>
      <c r="J27" s="16">
        <v>25</v>
      </c>
      <c r="K27" s="30">
        <f t="shared" si="5"/>
        <v>2708333.333333333</v>
      </c>
      <c r="L27" s="36">
        <f>IF(I27&lt;='Valores Vigentes'!D$4*2,'Valores Vigentes'!$D$5/30*J27,0)</f>
        <v>0</v>
      </c>
      <c r="M27" s="36">
        <f t="shared" si="6"/>
        <v>40624.999999999993</v>
      </c>
      <c r="N27" s="36">
        <f t="shared" si="7"/>
        <v>0</v>
      </c>
      <c r="O27" s="36">
        <f t="shared" si="8"/>
        <v>40624.999999999993</v>
      </c>
      <c r="P27" s="16">
        <f t="shared" si="2"/>
        <v>110795.45454545453</v>
      </c>
      <c r="Q27" s="36">
        <f t="shared" si="3"/>
        <v>3</v>
      </c>
      <c r="R27" s="36">
        <f t="shared" si="9"/>
        <v>0</v>
      </c>
      <c r="S27" s="30">
        <f t="shared" si="10"/>
        <v>2789586.333333333</v>
      </c>
      <c r="T27" s="30">
        <f>(S27-L27+M27-O27-R27)*'Valores Vigentes'!$D$6</f>
        <v>111583.45333333332</v>
      </c>
      <c r="U27" s="30">
        <f>(S27-L27+M27-O27-R27)*'Valores Vigentes'!$D$7</f>
        <v>111583.45333333332</v>
      </c>
      <c r="V27" s="36">
        <f>IF(I27&gt;'Valores Vigentes'!$D$4*4,I27*1%,0)</f>
        <v>0</v>
      </c>
      <c r="W27" s="36">
        <f t="shared" si="4"/>
        <v>0</v>
      </c>
      <c r="X27" s="36">
        <f t="shared" si="11"/>
        <v>97500</v>
      </c>
      <c r="Y27" s="36">
        <f t="shared" si="12"/>
        <v>0</v>
      </c>
      <c r="Z27" s="30">
        <f t="shared" si="13"/>
        <v>320666.90666666662</v>
      </c>
      <c r="AA27" s="30">
        <f t="shared" si="14"/>
        <v>2468919.4266666663</v>
      </c>
    </row>
    <row r="28" spans="1:27" ht="15.75" customHeight="1" x14ac:dyDescent="0.25">
      <c r="A28" s="16" t="str">
        <f>CONCATENATE(G28,COUNTIF($G$14:G28,G28))</f>
        <v>FACTURACION1</v>
      </c>
      <c r="B28" s="17" t="s">
        <v>79</v>
      </c>
      <c r="C28" s="17" t="s">
        <v>275</v>
      </c>
      <c r="D28" s="17">
        <v>7</v>
      </c>
      <c r="E28" s="17" t="s">
        <v>276</v>
      </c>
      <c r="F28" s="17" t="s">
        <v>276</v>
      </c>
      <c r="G28" s="17" t="s">
        <v>39</v>
      </c>
      <c r="H28" s="17" t="str">
        <f t="shared" si="0"/>
        <v>COORDINADOR</v>
      </c>
      <c r="I28" s="30">
        <f t="shared" si="1"/>
        <v>3250000</v>
      </c>
      <c r="J28" s="16">
        <v>26</v>
      </c>
      <c r="K28" s="30">
        <f t="shared" si="5"/>
        <v>2816666.6666666665</v>
      </c>
      <c r="L28" s="36">
        <f>IF(I28&lt;='Valores Vigentes'!D$4*2,'Valores Vigentes'!$D$5/30*J28,0)</f>
        <v>0</v>
      </c>
      <c r="M28" s="36">
        <f t="shared" si="6"/>
        <v>42249.999999999993</v>
      </c>
      <c r="N28" s="36">
        <f t="shared" si="7"/>
        <v>0</v>
      </c>
      <c r="O28" s="36">
        <f t="shared" si="8"/>
        <v>70416.666666666672</v>
      </c>
      <c r="P28" s="16">
        <f t="shared" si="2"/>
        <v>627840.90909090894</v>
      </c>
      <c r="Q28" s="36">
        <f t="shared" si="3"/>
        <v>17</v>
      </c>
      <c r="R28" s="36">
        <f t="shared" si="9"/>
        <v>0</v>
      </c>
      <c r="S28" s="30">
        <f t="shared" si="10"/>
        <v>2929350.333333333</v>
      </c>
      <c r="T28" s="30">
        <f>(S28-L28+M28-O28-R28)*'Valores Vigentes'!$D$6</f>
        <v>116047.34666666666</v>
      </c>
      <c r="U28" s="30">
        <f>(S28-L28+M28-O28-R28)*'Valores Vigentes'!$D$7</f>
        <v>116047.34666666666</v>
      </c>
      <c r="V28" s="36">
        <f>IF(I28&gt;'Valores Vigentes'!$D$4*4,I28*1%,0)</f>
        <v>0</v>
      </c>
      <c r="W28" s="36">
        <f t="shared" si="4"/>
        <v>0</v>
      </c>
      <c r="X28" s="36">
        <f t="shared" si="11"/>
        <v>97500</v>
      </c>
      <c r="Y28" s="36">
        <f t="shared" si="12"/>
        <v>58587.006666666661</v>
      </c>
      <c r="Z28" s="30">
        <f t="shared" si="13"/>
        <v>388181.7</v>
      </c>
      <c r="AA28" s="30">
        <f t="shared" si="14"/>
        <v>2541168.6333333328</v>
      </c>
    </row>
    <row r="29" spans="1:27" ht="15.75" customHeight="1" x14ac:dyDescent="0.25">
      <c r="A29" s="16" t="str">
        <f>CONCATENATE(G29,COUNTIF($G$14:G29,G29))</f>
        <v>MERCADEO2</v>
      </c>
      <c r="B29" s="17" t="s">
        <v>80</v>
      </c>
      <c r="C29" s="17" t="s">
        <v>278</v>
      </c>
      <c r="D29" s="17">
        <v>5</v>
      </c>
      <c r="E29" s="17" t="s">
        <v>276</v>
      </c>
      <c r="F29" s="17" t="s">
        <v>277</v>
      </c>
      <c r="G29" s="17" t="s">
        <v>37</v>
      </c>
      <c r="H29" s="17" t="str">
        <f t="shared" si="0"/>
        <v>ASESOR VENTAS</v>
      </c>
      <c r="I29" s="30">
        <f t="shared" si="1"/>
        <v>2650000</v>
      </c>
      <c r="J29" s="16">
        <v>26</v>
      </c>
      <c r="K29" s="30">
        <f t="shared" si="5"/>
        <v>2296666.6666666665</v>
      </c>
      <c r="L29" s="36">
        <f>IF(I29&lt;='Valores Vigentes'!D$4*2,'Valores Vigentes'!$D$5/30*J29,0)</f>
        <v>173333.33333333334</v>
      </c>
      <c r="M29" s="36">
        <f t="shared" si="6"/>
        <v>34450</v>
      </c>
      <c r="N29" s="36">
        <f t="shared" si="7"/>
        <v>0</v>
      </c>
      <c r="O29" s="36">
        <f t="shared" si="8"/>
        <v>34450</v>
      </c>
      <c r="P29" s="16">
        <f t="shared" si="2"/>
        <v>813068.18181818188</v>
      </c>
      <c r="Q29" s="36">
        <f t="shared" si="3"/>
        <v>27</v>
      </c>
      <c r="R29" s="36">
        <f t="shared" si="9"/>
        <v>0</v>
      </c>
      <c r="S29" s="30">
        <f t="shared" si="10"/>
        <v>2538927</v>
      </c>
      <c r="T29" s="30">
        <f>(S29-L29+M29-O29-R29)*'Valores Vigentes'!$D$6</f>
        <v>94623.746666666659</v>
      </c>
      <c r="U29" s="30">
        <f>(S29-L29+M29-O29-R29)*'Valores Vigentes'!$D$7</f>
        <v>94623.746666666659</v>
      </c>
      <c r="V29" s="36">
        <f>IF(I29&gt;'Valores Vigentes'!$D$4*4,I29*1%,0)</f>
        <v>0</v>
      </c>
      <c r="W29" s="36">
        <f t="shared" si="4"/>
        <v>0</v>
      </c>
      <c r="X29" s="36">
        <f t="shared" si="11"/>
        <v>79500</v>
      </c>
      <c r="Y29" s="36">
        <f t="shared" si="12"/>
        <v>0</v>
      </c>
      <c r="Z29" s="30">
        <f t="shared" si="13"/>
        <v>268747.49333333329</v>
      </c>
      <c r="AA29" s="30">
        <f t="shared" si="14"/>
        <v>2270179.5066666668</v>
      </c>
    </row>
    <row r="30" spans="1:27" ht="15.75" customHeight="1" x14ac:dyDescent="0.25">
      <c r="A30" s="16" t="str">
        <f>CONCATENATE(G30,COUNTIF($G$14:G30,G30))</f>
        <v>VENTAS7</v>
      </c>
      <c r="B30" s="17" t="s">
        <v>81</v>
      </c>
      <c r="C30" s="17" t="s">
        <v>278</v>
      </c>
      <c r="D30" s="17">
        <v>4</v>
      </c>
      <c r="E30" s="17" t="s">
        <v>277</v>
      </c>
      <c r="F30" s="17" t="s">
        <v>276</v>
      </c>
      <c r="G30" s="17" t="s">
        <v>31</v>
      </c>
      <c r="H30" s="17" t="str">
        <f t="shared" si="0"/>
        <v>TÉCNICO PROFESIONAL</v>
      </c>
      <c r="I30" s="30">
        <f t="shared" si="1"/>
        <v>2450000</v>
      </c>
      <c r="J30" s="16">
        <v>26</v>
      </c>
      <c r="K30" s="30">
        <f t="shared" si="5"/>
        <v>2123333.3333333335</v>
      </c>
      <c r="L30" s="36">
        <f>IF(I30&lt;='Valores Vigentes'!D$4*2,'Valores Vigentes'!$D$5/30*J30,0)</f>
        <v>173333.33333333334</v>
      </c>
      <c r="M30" s="36">
        <f t="shared" si="6"/>
        <v>31850</v>
      </c>
      <c r="N30" s="36">
        <f t="shared" si="7"/>
        <v>74316.666666666686</v>
      </c>
      <c r="O30" s="36">
        <f t="shared" si="8"/>
        <v>31850</v>
      </c>
      <c r="P30" s="16">
        <f t="shared" si="2"/>
        <v>807386.36363636353</v>
      </c>
      <c r="Q30" s="36">
        <f t="shared" si="3"/>
        <v>29</v>
      </c>
      <c r="R30" s="36">
        <f t="shared" si="9"/>
        <v>0</v>
      </c>
      <c r="S30" s="30">
        <f t="shared" si="10"/>
        <v>2434712.333333334</v>
      </c>
      <c r="T30" s="30">
        <f>(S30-L30+M30-O30-R30)*'Valores Vigentes'!$D$6</f>
        <v>90455.160000000018</v>
      </c>
      <c r="U30" s="30">
        <f>(S30-L30+M30-O30-R30)*'Valores Vigentes'!$D$7</f>
        <v>90455.160000000018</v>
      </c>
      <c r="V30" s="36">
        <f>IF(I30&gt;'Valores Vigentes'!$D$4*4,I30*1%,0)</f>
        <v>0</v>
      </c>
      <c r="W30" s="36">
        <f t="shared" si="4"/>
        <v>0</v>
      </c>
      <c r="X30" s="36">
        <f t="shared" si="11"/>
        <v>0</v>
      </c>
      <c r="Y30" s="36">
        <f t="shared" si="12"/>
        <v>48694.246666666681</v>
      </c>
      <c r="Z30" s="30">
        <f t="shared" si="13"/>
        <v>229604.56666666671</v>
      </c>
      <c r="AA30" s="30">
        <f t="shared" si="14"/>
        <v>2205107.7666666671</v>
      </c>
    </row>
    <row r="31" spans="1:27" ht="15.75" customHeight="1" x14ac:dyDescent="0.25">
      <c r="A31" s="16" t="str">
        <f>CONCATENATE(G31,COUNTIF($G$14:G31,G31))</f>
        <v>COMPRAS4</v>
      </c>
      <c r="B31" s="17" t="s">
        <v>82</v>
      </c>
      <c r="C31" s="17" t="s">
        <v>278</v>
      </c>
      <c r="D31" s="17">
        <v>1</v>
      </c>
      <c r="E31" s="17" t="s">
        <v>276</v>
      </c>
      <c r="F31" s="17" t="s">
        <v>277</v>
      </c>
      <c r="G31" s="17" t="s">
        <v>33</v>
      </c>
      <c r="H31" s="17" t="str">
        <f t="shared" si="0"/>
        <v>AUXILIAR ADMON</v>
      </c>
      <c r="I31" s="30">
        <f t="shared" si="1"/>
        <v>1423500</v>
      </c>
      <c r="J31" s="16">
        <v>30</v>
      </c>
      <c r="K31" s="30">
        <f t="shared" si="5"/>
        <v>1423500</v>
      </c>
      <c r="L31" s="36">
        <f>IF(I31&lt;='Valores Vigentes'!D$4*2,'Valores Vigentes'!$D$5/30*J31,0)</f>
        <v>200000</v>
      </c>
      <c r="M31" s="36">
        <f t="shared" si="6"/>
        <v>35587.5</v>
      </c>
      <c r="N31" s="36">
        <f t="shared" si="7"/>
        <v>0</v>
      </c>
      <c r="O31" s="36">
        <f t="shared" si="8"/>
        <v>21352.5</v>
      </c>
      <c r="P31" s="16">
        <f t="shared" si="2"/>
        <v>32352.272727272724</v>
      </c>
      <c r="Q31" s="36">
        <f t="shared" si="3"/>
        <v>2</v>
      </c>
      <c r="R31" s="36">
        <f t="shared" si="9"/>
        <v>0</v>
      </c>
      <c r="S31" s="30">
        <f t="shared" si="10"/>
        <v>1680442</v>
      </c>
      <c r="T31" s="30">
        <f>(S31-L31+M31-O31-R31)*'Valores Vigentes'!$D$6</f>
        <v>59787.08</v>
      </c>
      <c r="U31" s="30">
        <f>(S31-L31+M31-O31-R31)*'Valores Vigentes'!$D$7</f>
        <v>59787.08</v>
      </c>
      <c r="V31" s="36">
        <f>IF(I31&gt;'Valores Vigentes'!$D$4*4,I31*1%,0)</f>
        <v>0</v>
      </c>
      <c r="W31" s="36">
        <f t="shared" si="4"/>
        <v>0</v>
      </c>
      <c r="X31" s="36">
        <f t="shared" si="11"/>
        <v>42705</v>
      </c>
      <c r="Y31" s="36">
        <f t="shared" si="12"/>
        <v>0</v>
      </c>
      <c r="Z31" s="30">
        <f t="shared" si="13"/>
        <v>162279.16</v>
      </c>
      <c r="AA31" s="30">
        <f t="shared" si="14"/>
        <v>1518162.84</v>
      </c>
    </row>
    <row r="32" spans="1:27" ht="15.75" customHeight="1" x14ac:dyDescent="0.25">
      <c r="A32" s="16" t="str">
        <f>CONCATENATE(G32,COUNTIF($G$14:G32,G32))</f>
        <v>ADMON4</v>
      </c>
      <c r="B32" s="17" t="s">
        <v>83</v>
      </c>
      <c r="C32" s="17" t="s">
        <v>275</v>
      </c>
      <c r="D32" s="17">
        <v>8</v>
      </c>
      <c r="E32" s="17" t="s">
        <v>276</v>
      </c>
      <c r="F32" s="17" t="s">
        <v>276</v>
      </c>
      <c r="G32" s="17" t="s">
        <v>35</v>
      </c>
      <c r="H32" s="17" t="str">
        <f t="shared" si="0"/>
        <v>ASESOR</v>
      </c>
      <c r="I32" s="30">
        <f t="shared" si="1"/>
        <v>3900000</v>
      </c>
      <c r="J32" s="16">
        <v>30</v>
      </c>
      <c r="K32" s="30">
        <f t="shared" si="5"/>
        <v>3900000</v>
      </c>
      <c r="L32" s="36">
        <f>IF(I32&lt;='Valores Vigentes'!D$4*2,'Valores Vigentes'!$D$5/30*J32,0)</f>
        <v>0</v>
      </c>
      <c r="M32" s="36">
        <f t="shared" si="6"/>
        <v>97500</v>
      </c>
      <c r="N32" s="36">
        <f t="shared" si="7"/>
        <v>0</v>
      </c>
      <c r="O32" s="36">
        <f t="shared" si="8"/>
        <v>97500</v>
      </c>
      <c r="P32" s="16">
        <f t="shared" si="2"/>
        <v>265909.09090909094</v>
      </c>
      <c r="Q32" s="36">
        <f t="shared" si="3"/>
        <v>6</v>
      </c>
      <c r="R32" s="36">
        <f t="shared" si="9"/>
        <v>0</v>
      </c>
      <c r="S32" s="30">
        <f t="shared" si="10"/>
        <v>4095006</v>
      </c>
      <c r="T32" s="30">
        <f>(S32-L32+M32-O32-R32)*'Valores Vigentes'!$D$6</f>
        <v>163800.24</v>
      </c>
      <c r="U32" s="30">
        <f>(S32-L32+M32-O32-R32)*'Valores Vigentes'!$D$7</f>
        <v>163800.24</v>
      </c>
      <c r="V32" s="36">
        <f>IF(I32&gt;'Valores Vigentes'!$D$4*4,I32*1%,0)</f>
        <v>0</v>
      </c>
      <c r="W32" s="36">
        <f t="shared" si="4"/>
        <v>65000</v>
      </c>
      <c r="X32" s="36">
        <f t="shared" si="11"/>
        <v>117000</v>
      </c>
      <c r="Y32" s="36">
        <f t="shared" si="12"/>
        <v>81900.12</v>
      </c>
      <c r="Z32" s="30">
        <f t="shared" si="13"/>
        <v>591500.6</v>
      </c>
      <c r="AA32" s="30">
        <f t="shared" si="14"/>
        <v>3503505.4</v>
      </c>
    </row>
    <row r="33" spans="1:27" ht="15.75" customHeight="1" x14ac:dyDescent="0.25">
      <c r="A33" s="16" t="str">
        <f>CONCATENATE(G33,COUNTIF($G$14:G33,G33))</f>
        <v>VENTAS8</v>
      </c>
      <c r="B33" s="17" t="s">
        <v>84</v>
      </c>
      <c r="C33" s="17" t="s">
        <v>278</v>
      </c>
      <c r="D33" s="17">
        <v>5</v>
      </c>
      <c r="E33" s="17" t="s">
        <v>276</v>
      </c>
      <c r="F33" s="17" t="s">
        <v>277</v>
      </c>
      <c r="G33" s="17" t="s">
        <v>31</v>
      </c>
      <c r="H33" s="17" t="str">
        <f t="shared" si="0"/>
        <v>ASESOR VENTAS</v>
      </c>
      <c r="I33" s="30">
        <f t="shared" si="1"/>
        <v>2650000</v>
      </c>
      <c r="J33" s="16">
        <v>28</v>
      </c>
      <c r="K33" s="30">
        <f t="shared" si="5"/>
        <v>2473333.333333333</v>
      </c>
      <c r="L33" s="36">
        <f>IF(I33&lt;='Valores Vigentes'!D$4*2,'Valores Vigentes'!$D$5/30*J33,0)</f>
        <v>186666.66666666669</v>
      </c>
      <c r="M33" s="36">
        <f t="shared" si="6"/>
        <v>37099.999999999993</v>
      </c>
      <c r="N33" s="36">
        <f t="shared" si="7"/>
        <v>86566.666666666657</v>
      </c>
      <c r="O33" s="36">
        <f t="shared" si="8"/>
        <v>37099.999999999993</v>
      </c>
      <c r="P33" s="16">
        <f t="shared" si="2"/>
        <v>180681.81818181818</v>
      </c>
      <c r="Q33" s="36">
        <f t="shared" si="3"/>
        <v>6</v>
      </c>
      <c r="R33" s="36">
        <f t="shared" si="9"/>
        <v>0</v>
      </c>
      <c r="S33" s="30">
        <f t="shared" si="10"/>
        <v>2820772.666666666</v>
      </c>
      <c r="T33" s="30">
        <f>(S33-L33+M33-O33-R33)*'Valores Vigentes'!$D$6</f>
        <v>105364.23999999999</v>
      </c>
      <c r="U33" s="30">
        <f>(S33-L33+M33-O33-R33)*'Valores Vigentes'!$D$7</f>
        <v>105364.23999999999</v>
      </c>
      <c r="V33" s="36">
        <f>IF(I33&gt;'Valores Vigentes'!$D$4*4,I33*1%,0)</f>
        <v>0</v>
      </c>
      <c r="W33" s="36">
        <f t="shared" si="4"/>
        <v>0</v>
      </c>
      <c r="X33" s="36">
        <f t="shared" si="11"/>
        <v>79500</v>
      </c>
      <c r="Y33" s="36">
        <f t="shared" si="12"/>
        <v>0</v>
      </c>
      <c r="Z33" s="30">
        <f t="shared" si="13"/>
        <v>290228.47999999998</v>
      </c>
      <c r="AA33" s="30">
        <f t="shared" si="14"/>
        <v>2530544.1866666661</v>
      </c>
    </row>
    <row r="34" spans="1:27" ht="15.75" customHeight="1" x14ac:dyDescent="0.25">
      <c r="A34" s="16" t="str">
        <f>CONCATENATE(G34,COUNTIF($G$14:G34,G34))</f>
        <v>MERCADEO3</v>
      </c>
      <c r="B34" s="17" t="s">
        <v>85</v>
      </c>
      <c r="C34" s="17" t="s">
        <v>278</v>
      </c>
      <c r="D34" s="17">
        <v>3</v>
      </c>
      <c r="E34" s="17" t="s">
        <v>277</v>
      </c>
      <c r="F34" s="17" t="s">
        <v>276</v>
      </c>
      <c r="G34" s="17" t="s">
        <v>37</v>
      </c>
      <c r="H34" s="17" t="str">
        <f t="shared" si="0"/>
        <v>SECRETARIAS</v>
      </c>
      <c r="I34" s="30">
        <f t="shared" si="1"/>
        <v>1813000</v>
      </c>
      <c r="J34" s="16">
        <v>30</v>
      </c>
      <c r="K34" s="30">
        <f t="shared" si="5"/>
        <v>1813000</v>
      </c>
      <c r="L34" s="36">
        <f>IF(I34&lt;='Valores Vigentes'!D$4*2,'Valores Vigentes'!$D$5/30*J34,0)</f>
        <v>200000</v>
      </c>
      <c r="M34" s="36">
        <f t="shared" si="6"/>
        <v>45325</v>
      </c>
      <c r="N34" s="36">
        <f t="shared" si="7"/>
        <v>0</v>
      </c>
      <c r="O34" s="36">
        <f t="shared" si="8"/>
        <v>27195</v>
      </c>
      <c r="P34" s="16">
        <f t="shared" si="2"/>
        <v>370840.90909090906</v>
      </c>
      <c r="Q34" s="36">
        <f t="shared" si="3"/>
        <v>18</v>
      </c>
      <c r="R34" s="36">
        <f t="shared" si="9"/>
        <v>0</v>
      </c>
      <c r="S34" s="30">
        <f t="shared" si="10"/>
        <v>2085538</v>
      </c>
      <c r="T34" s="30">
        <f>(S34-L34+M34-O34-R34)*'Valores Vigentes'!$D$6</f>
        <v>76146.720000000001</v>
      </c>
      <c r="U34" s="30">
        <f>(S34-L34+M34-O34-R34)*'Valores Vigentes'!$D$7</f>
        <v>76146.720000000001</v>
      </c>
      <c r="V34" s="36">
        <f>IF(I34&gt;'Valores Vigentes'!$D$4*4,I34*1%,0)</f>
        <v>0</v>
      </c>
      <c r="W34" s="36">
        <f t="shared" si="4"/>
        <v>0</v>
      </c>
      <c r="X34" s="36">
        <f t="shared" si="11"/>
        <v>0</v>
      </c>
      <c r="Y34" s="36">
        <f t="shared" si="12"/>
        <v>41710.76</v>
      </c>
      <c r="Z34" s="30">
        <f t="shared" si="13"/>
        <v>194004.2</v>
      </c>
      <c r="AA34" s="30">
        <f t="shared" si="14"/>
        <v>1891533.8</v>
      </c>
    </row>
    <row r="35" spans="1:27" ht="15.75" customHeight="1" x14ac:dyDescent="0.25">
      <c r="A35" s="16" t="str">
        <f>CONCATENATE(G35,COUNTIF($G$14:G35,G35))</f>
        <v>COMPRAS5</v>
      </c>
      <c r="B35" s="17" t="s">
        <v>86</v>
      </c>
      <c r="C35" s="17" t="s">
        <v>275</v>
      </c>
      <c r="D35" s="17">
        <v>6</v>
      </c>
      <c r="E35" s="17" t="s">
        <v>276</v>
      </c>
      <c r="F35" s="17" t="s">
        <v>276</v>
      </c>
      <c r="G35" s="17" t="s">
        <v>33</v>
      </c>
      <c r="H35" s="17" t="str">
        <f t="shared" si="0"/>
        <v>PROFESIONAL</v>
      </c>
      <c r="I35" s="30">
        <f t="shared" si="1"/>
        <v>2950000</v>
      </c>
      <c r="J35" s="16">
        <v>27</v>
      </c>
      <c r="K35" s="30">
        <f t="shared" si="5"/>
        <v>2655000</v>
      </c>
      <c r="L35" s="36">
        <f>IF(I35&lt;='Valores Vigentes'!D$4*2,'Valores Vigentes'!$D$5/30*J35,0)</f>
        <v>0</v>
      </c>
      <c r="M35" s="36">
        <f t="shared" si="6"/>
        <v>39825</v>
      </c>
      <c r="N35" s="36">
        <f t="shared" si="7"/>
        <v>0</v>
      </c>
      <c r="O35" s="36">
        <f t="shared" si="8"/>
        <v>66375</v>
      </c>
      <c r="P35" s="16">
        <f t="shared" si="2"/>
        <v>771022.72727272729</v>
      </c>
      <c r="Q35" s="36">
        <f t="shared" si="3"/>
        <v>23</v>
      </c>
      <c r="R35" s="36">
        <f t="shared" si="9"/>
        <v>0</v>
      </c>
      <c r="S35" s="30">
        <f t="shared" si="10"/>
        <v>2761223</v>
      </c>
      <c r="T35" s="30">
        <f>(S35-L35+M35-O35-R35)*'Valores Vigentes'!$D$6</f>
        <v>109386.92</v>
      </c>
      <c r="U35" s="30">
        <f>(S35-L35+M35-O35-R35)*'Valores Vigentes'!$D$7</f>
        <v>109386.92</v>
      </c>
      <c r="V35" s="36">
        <f>IF(I35&gt;'Valores Vigentes'!$D$4*4,I35*1%,0)</f>
        <v>0</v>
      </c>
      <c r="W35" s="36">
        <f t="shared" si="4"/>
        <v>0</v>
      </c>
      <c r="X35" s="36">
        <f t="shared" si="11"/>
        <v>88500</v>
      </c>
      <c r="Y35" s="36">
        <f t="shared" si="12"/>
        <v>55224.46</v>
      </c>
      <c r="Z35" s="30">
        <f t="shared" si="13"/>
        <v>362498.3</v>
      </c>
      <c r="AA35" s="30">
        <f t="shared" si="14"/>
        <v>2398724.7000000002</v>
      </c>
    </row>
    <row r="36" spans="1:27" ht="15.75" customHeight="1" x14ac:dyDescent="0.25">
      <c r="A36" s="16" t="str">
        <f>CONCATENATE(G36,COUNTIF($G$14:G36,G36))</f>
        <v>ADMON5</v>
      </c>
      <c r="B36" s="17" t="s">
        <v>87</v>
      </c>
      <c r="C36" s="17" t="s">
        <v>278</v>
      </c>
      <c r="D36" s="17">
        <v>6</v>
      </c>
      <c r="E36" s="17" t="s">
        <v>276</v>
      </c>
      <c r="F36" s="17" t="s">
        <v>276</v>
      </c>
      <c r="G36" s="17" t="s">
        <v>35</v>
      </c>
      <c r="H36" s="17" t="str">
        <f t="shared" si="0"/>
        <v>PROFESIONAL</v>
      </c>
      <c r="I36" s="30">
        <f t="shared" si="1"/>
        <v>2950000</v>
      </c>
      <c r="J36" s="16">
        <v>28</v>
      </c>
      <c r="K36" s="30">
        <f t="shared" si="5"/>
        <v>2753333.333333333</v>
      </c>
      <c r="L36" s="36">
        <f>IF(I36&lt;='Valores Vigentes'!D$4*2,'Valores Vigentes'!$D$5/30*J36,0)</f>
        <v>0</v>
      </c>
      <c r="M36" s="36">
        <f t="shared" si="6"/>
        <v>41299.999999999993</v>
      </c>
      <c r="N36" s="36">
        <f t="shared" si="7"/>
        <v>0</v>
      </c>
      <c r="O36" s="36">
        <f t="shared" si="8"/>
        <v>68833.333333333328</v>
      </c>
      <c r="P36" s="16">
        <f t="shared" si="2"/>
        <v>402272.72727272729</v>
      </c>
      <c r="Q36" s="36">
        <f t="shared" si="3"/>
        <v>12</v>
      </c>
      <c r="R36" s="36">
        <f t="shared" si="9"/>
        <v>0</v>
      </c>
      <c r="S36" s="30">
        <f t="shared" si="10"/>
        <v>2863478.666666666</v>
      </c>
      <c r="T36" s="30">
        <f>(S36-L36+M36-O36-R36)*'Valores Vigentes'!$D$6</f>
        <v>113437.81333333331</v>
      </c>
      <c r="U36" s="30">
        <f>(S36-L36+M36-O36-R36)*'Valores Vigentes'!$D$7</f>
        <v>113437.81333333331</v>
      </c>
      <c r="V36" s="36">
        <f>IF(I36&gt;'Valores Vigentes'!$D$4*4,I36*1%,0)</f>
        <v>0</v>
      </c>
      <c r="W36" s="36">
        <f t="shared" si="4"/>
        <v>0</v>
      </c>
      <c r="X36" s="36">
        <f t="shared" si="11"/>
        <v>88500</v>
      </c>
      <c r="Y36" s="36">
        <f t="shared" si="12"/>
        <v>57269.573333333319</v>
      </c>
      <c r="Z36" s="30">
        <f t="shared" si="13"/>
        <v>372645.1999999999</v>
      </c>
      <c r="AA36" s="30">
        <f t="shared" si="14"/>
        <v>2490833.4666666663</v>
      </c>
    </row>
    <row r="37" spans="1:27" ht="15.75" customHeight="1" x14ac:dyDescent="0.25">
      <c r="A37" s="16" t="str">
        <f>CONCATENATE(G37,COUNTIF($G$14:G37,G37))</f>
        <v>MERCADEO4</v>
      </c>
      <c r="B37" s="17" t="s">
        <v>88</v>
      </c>
      <c r="C37" s="17" t="s">
        <v>278</v>
      </c>
      <c r="D37" s="17">
        <v>1</v>
      </c>
      <c r="E37" s="17" t="s">
        <v>277</v>
      </c>
      <c r="F37" s="17" t="s">
        <v>276</v>
      </c>
      <c r="G37" s="17" t="s">
        <v>37</v>
      </c>
      <c r="H37" s="17" t="str">
        <f t="shared" si="0"/>
        <v>AUXILIAR ADMON</v>
      </c>
      <c r="I37" s="30">
        <f t="shared" si="1"/>
        <v>1423500</v>
      </c>
      <c r="J37" s="16">
        <v>26</v>
      </c>
      <c r="K37" s="30">
        <f t="shared" si="5"/>
        <v>1233700</v>
      </c>
      <c r="L37" s="36">
        <f>IF(I37&lt;='Valores Vigentes'!D$4*2,'Valores Vigentes'!$D$5/30*J37,0)</f>
        <v>173333.33333333334</v>
      </c>
      <c r="M37" s="36">
        <f t="shared" si="6"/>
        <v>18505.5</v>
      </c>
      <c r="N37" s="36">
        <f t="shared" si="7"/>
        <v>0</v>
      </c>
      <c r="O37" s="36">
        <f t="shared" si="8"/>
        <v>18505.5</v>
      </c>
      <c r="P37" s="16">
        <f t="shared" si="2"/>
        <v>452931.81818181812</v>
      </c>
      <c r="Q37" s="36">
        <f t="shared" si="3"/>
        <v>28</v>
      </c>
      <c r="R37" s="36">
        <f t="shared" si="9"/>
        <v>0</v>
      </c>
      <c r="S37" s="30">
        <f t="shared" si="10"/>
        <v>1444072.3333333333</v>
      </c>
      <c r="T37" s="30">
        <f>(S37-L37+M37-O37-R37)*'Valores Vigentes'!$D$6</f>
        <v>50829.56</v>
      </c>
      <c r="U37" s="30">
        <f>(S37-L37+M37-O37-R37)*'Valores Vigentes'!$D$7</f>
        <v>50829.56</v>
      </c>
      <c r="V37" s="36">
        <f>IF(I37&gt;'Valores Vigentes'!$D$4*4,I37*1%,0)</f>
        <v>0</v>
      </c>
      <c r="W37" s="36">
        <f t="shared" si="4"/>
        <v>0</v>
      </c>
      <c r="X37" s="36">
        <f t="shared" si="11"/>
        <v>0</v>
      </c>
      <c r="Y37" s="36">
        <f t="shared" si="12"/>
        <v>28881.446666666667</v>
      </c>
      <c r="Z37" s="30">
        <f t="shared" si="13"/>
        <v>130540.56666666667</v>
      </c>
      <c r="AA37" s="30">
        <f t="shared" si="14"/>
        <v>1313531.7666666666</v>
      </c>
    </row>
    <row r="38" spans="1:27" ht="15.75" customHeight="1" x14ac:dyDescent="0.25">
      <c r="A38" s="16" t="str">
        <f>CONCATENATE(G38,COUNTIF($G$14:G38,G38))</f>
        <v>VENTAS9</v>
      </c>
      <c r="B38" s="17" t="s">
        <v>89</v>
      </c>
      <c r="C38" s="17" t="s">
        <v>278</v>
      </c>
      <c r="D38" s="17">
        <v>5</v>
      </c>
      <c r="E38" s="17" t="s">
        <v>276</v>
      </c>
      <c r="F38" s="17" t="s">
        <v>276</v>
      </c>
      <c r="G38" s="17" t="s">
        <v>31</v>
      </c>
      <c r="H38" s="17" t="str">
        <f t="shared" si="0"/>
        <v>ASESOR VENTAS</v>
      </c>
      <c r="I38" s="30">
        <f t="shared" si="1"/>
        <v>2650000</v>
      </c>
      <c r="J38" s="16">
        <v>25</v>
      </c>
      <c r="K38" s="30">
        <f t="shared" si="5"/>
        <v>2208333.333333333</v>
      </c>
      <c r="L38" s="36">
        <f>IF(I38&lt;='Valores Vigentes'!D$4*2,'Valores Vigentes'!$D$5/30*J38,0)</f>
        <v>166666.66666666669</v>
      </c>
      <c r="M38" s="36">
        <f t="shared" si="6"/>
        <v>33124.999999999993</v>
      </c>
      <c r="N38" s="36">
        <f t="shared" si="7"/>
        <v>77291.666666666657</v>
      </c>
      <c r="O38" s="36">
        <f t="shared" si="8"/>
        <v>55208.333333333328</v>
      </c>
      <c r="P38" s="16">
        <f t="shared" si="2"/>
        <v>632386.36363636365</v>
      </c>
      <c r="Q38" s="36">
        <f t="shared" si="3"/>
        <v>21</v>
      </c>
      <c r="R38" s="36">
        <f t="shared" si="9"/>
        <v>0</v>
      </c>
      <c r="S38" s="30">
        <f t="shared" si="10"/>
        <v>2540645.9999999995</v>
      </c>
      <c r="T38" s="30">
        <f>(S38-L38+M38-O38-R38)*'Valores Vigentes'!$D$6</f>
        <v>94075.839999999982</v>
      </c>
      <c r="U38" s="30">
        <f>(S38-L38+M38-O38-R38)*'Valores Vigentes'!$D$7</f>
        <v>94075.839999999982</v>
      </c>
      <c r="V38" s="36">
        <f>IF(I38&gt;'Valores Vigentes'!$D$4*4,I38*1%,0)</f>
        <v>0</v>
      </c>
      <c r="W38" s="36">
        <f t="shared" si="4"/>
        <v>0</v>
      </c>
      <c r="X38" s="36">
        <f t="shared" si="11"/>
        <v>79500</v>
      </c>
      <c r="Y38" s="36">
        <f t="shared" si="12"/>
        <v>50812.919999999991</v>
      </c>
      <c r="Z38" s="30">
        <f t="shared" si="13"/>
        <v>318464.59999999992</v>
      </c>
      <c r="AA38" s="30">
        <f t="shared" si="14"/>
        <v>2222181.3999999994</v>
      </c>
    </row>
    <row r="39" spans="1:27" ht="15.75" customHeight="1" x14ac:dyDescent="0.25">
      <c r="A39" s="16" t="str">
        <f>CONCATENATE(G39,COUNTIF($G$14:G39,G39))</f>
        <v>COMPRAS6</v>
      </c>
      <c r="B39" s="17" t="s">
        <v>90</v>
      </c>
      <c r="C39" s="17" t="s">
        <v>278</v>
      </c>
      <c r="D39" s="17">
        <v>5</v>
      </c>
      <c r="E39" s="17" t="s">
        <v>276</v>
      </c>
      <c r="F39" s="17" t="s">
        <v>277</v>
      </c>
      <c r="G39" s="17" t="s">
        <v>33</v>
      </c>
      <c r="H39" s="17" t="str">
        <f t="shared" si="0"/>
        <v>ASESOR VENTAS</v>
      </c>
      <c r="I39" s="30">
        <f t="shared" si="1"/>
        <v>2650000</v>
      </c>
      <c r="J39" s="16">
        <v>30</v>
      </c>
      <c r="K39" s="30">
        <f t="shared" si="5"/>
        <v>2650000</v>
      </c>
      <c r="L39" s="36">
        <f>IF(I39&lt;='Valores Vigentes'!D$4*2,'Valores Vigentes'!$D$5/30*J39,0)</f>
        <v>200000</v>
      </c>
      <c r="M39" s="36">
        <f t="shared" si="6"/>
        <v>66250</v>
      </c>
      <c r="N39" s="36">
        <f t="shared" si="7"/>
        <v>0</v>
      </c>
      <c r="O39" s="36">
        <f t="shared" si="8"/>
        <v>39750</v>
      </c>
      <c r="P39" s="16">
        <f t="shared" si="2"/>
        <v>0</v>
      </c>
      <c r="Q39" s="36">
        <f t="shared" si="3"/>
        <v>0</v>
      </c>
      <c r="R39" s="36">
        <f t="shared" si="9"/>
        <v>0</v>
      </c>
      <c r="S39" s="30">
        <f t="shared" si="10"/>
        <v>2956000</v>
      </c>
      <c r="T39" s="30">
        <f>(S39-L39+M39-O39-R39)*'Valores Vigentes'!$D$6</f>
        <v>111300</v>
      </c>
      <c r="U39" s="30">
        <f>(S39-L39+M39-O39-R39)*'Valores Vigentes'!$D$7</f>
        <v>111300</v>
      </c>
      <c r="V39" s="36">
        <f>IF(I39&gt;'Valores Vigentes'!$D$4*4,I39*1%,0)</f>
        <v>0</v>
      </c>
      <c r="W39" s="36">
        <f t="shared" si="4"/>
        <v>0</v>
      </c>
      <c r="X39" s="36">
        <f t="shared" si="11"/>
        <v>79500</v>
      </c>
      <c r="Y39" s="36">
        <f t="shared" si="12"/>
        <v>0</v>
      </c>
      <c r="Z39" s="30">
        <f t="shared" si="13"/>
        <v>302100</v>
      </c>
      <c r="AA39" s="30">
        <f t="shared" si="14"/>
        <v>2653900</v>
      </c>
    </row>
    <row r="40" spans="1:27" ht="15.75" customHeight="1" x14ac:dyDescent="0.25">
      <c r="A40" s="16" t="str">
        <f>CONCATENATE(G40,COUNTIF($G$14:G40,G40))</f>
        <v>JURIDICA1</v>
      </c>
      <c r="B40" s="17" t="s">
        <v>91</v>
      </c>
      <c r="C40" s="17" t="s">
        <v>278</v>
      </c>
      <c r="D40" s="17">
        <v>1</v>
      </c>
      <c r="E40" s="17" t="s">
        <v>276</v>
      </c>
      <c r="F40" s="17" t="s">
        <v>276</v>
      </c>
      <c r="G40" s="17" t="s">
        <v>41</v>
      </c>
      <c r="H40" s="17" t="str">
        <f t="shared" si="0"/>
        <v>AUXILIAR ADMON</v>
      </c>
      <c r="I40" s="30">
        <f t="shared" si="1"/>
        <v>1423500</v>
      </c>
      <c r="J40" s="16">
        <v>26</v>
      </c>
      <c r="K40" s="30">
        <f t="shared" si="5"/>
        <v>1233700</v>
      </c>
      <c r="L40" s="36">
        <f>IF(I40&lt;='Valores Vigentes'!D$4*2,'Valores Vigentes'!$D$5/30*J40,0)</f>
        <v>173333.33333333334</v>
      </c>
      <c r="M40" s="36">
        <f t="shared" si="6"/>
        <v>18505.5</v>
      </c>
      <c r="N40" s="36">
        <f t="shared" si="7"/>
        <v>0</v>
      </c>
      <c r="O40" s="36">
        <f t="shared" si="8"/>
        <v>30842.5</v>
      </c>
      <c r="P40" s="16">
        <f t="shared" si="2"/>
        <v>258818.18181818179</v>
      </c>
      <c r="Q40" s="36">
        <f t="shared" si="3"/>
        <v>16</v>
      </c>
      <c r="R40" s="36">
        <f t="shared" si="9"/>
        <v>0</v>
      </c>
      <c r="S40" s="30">
        <f t="shared" si="10"/>
        <v>1456397.3333333333</v>
      </c>
      <c r="T40" s="30">
        <f>(S40-L40+M40-O40-R40)*'Valores Vigentes'!$D$6</f>
        <v>50829.08</v>
      </c>
      <c r="U40" s="30">
        <f>(S40-L40+M40-O40-R40)*'Valores Vigentes'!$D$7</f>
        <v>50829.08</v>
      </c>
      <c r="V40" s="36">
        <f>IF(I40&gt;'Valores Vigentes'!$D$4*4,I40*1%,0)</f>
        <v>0</v>
      </c>
      <c r="W40" s="36">
        <f t="shared" si="4"/>
        <v>0</v>
      </c>
      <c r="X40" s="36">
        <f t="shared" si="11"/>
        <v>42705</v>
      </c>
      <c r="Y40" s="36">
        <f t="shared" si="12"/>
        <v>29127.946666666667</v>
      </c>
      <c r="Z40" s="30">
        <f t="shared" si="13"/>
        <v>173491.10666666666</v>
      </c>
      <c r="AA40" s="30">
        <f t="shared" si="14"/>
        <v>1282906.2266666666</v>
      </c>
    </row>
    <row r="41" spans="1:27" ht="15.75" customHeight="1" x14ac:dyDescent="0.25">
      <c r="A41" s="16" t="str">
        <f>CONCATENATE(G41,COUNTIF($G$14:G41,G41))</f>
        <v>VENTAS10</v>
      </c>
      <c r="B41" s="17" t="s">
        <v>92</v>
      </c>
      <c r="C41" s="17" t="s">
        <v>278</v>
      </c>
      <c r="D41" s="17">
        <v>2</v>
      </c>
      <c r="E41" s="17" t="s">
        <v>276</v>
      </c>
      <c r="F41" s="17" t="s">
        <v>276</v>
      </c>
      <c r="G41" s="17" t="s">
        <v>31</v>
      </c>
      <c r="H41" s="17" t="str">
        <f t="shared" si="0"/>
        <v>ASISTENTES</v>
      </c>
      <c r="I41" s="30">
        <f t="shared" si="1"/>
        <v>1626000</v>
      </c>
      <c r="J41" s="16">
        <v>30</v>
      </c>
      <c r="K41" s="30">
        <f t="shared" si="5"/>
        <v>1626000</v>
      </c>
      <c r="L41" s="36">
        <f>IF(I41&lt;='Valores Vigentes'!D$4*2,'Valores Vigentes'!$D$5/30*J41,0)</f>
        <v>200000</v>
      </c>
      <c r="M41" s="36">
        <f t="shared" si="6"/>
        <v>40650</v>
      </c>
      <c r="N41" s="36">
        <f t="shared" si="7"/>
        <v>56910.000000000007</v>
      </c>
      <c r="O41" s="36">
        <f t="shared" si="8"/>
        <v>40650</v>
      </c>
      <c r="P41" s="16">
        <f t="shared" si="2"/>
        <v>424977.27272727276</v>
      </c>
      <c r="Q41" s="36">
        <f t="shared" si="3"/>
        <v>23</v>
      </c>
      <c r="R41" s="36">
        <f t="shared" si="9"/>
        <v>0</v>
      </c>
      <c r="S41" s="30">
        <f t="shared" si="10"/>
        <v>1964233.0000000002</v>
      </c>
      <c r="T41" s="30">
        <f>(S41-L41+M41-O41-R41)*'Valores Vigentes'!$D$6</f>
        <v>70569.320000000007</v>
      </c>
      <c r="U41" s="30">
        <f>(S41-L41+M41-O41-R41)*'Valores Vigentes'!$D$7</f>
        <v>70569.320000000007</v>
      </c>
      <c r="V41" s="36">
        <f>IF(I41&gt;'Valores Vigentes'!$D$4*4,I41*1%,0)</f>
        <v>0</v>
      </c>
      <c r="W41" s="36">
        <f t="shared" si="4"/>
        <v>0</v>
      </c>
      <c r="X41" s="36">
        <f t="shared" si="11"/>
        <v>48780</v>
      </c>
      <c r="Y41" s="36">
        <f t="shared" si="12"/>
        <v>39284.660000000003</v>
      </c>
      <c r="Z41" s="30">
        <f t="shared" si="13"/>
        <v>229203.30000000002</v>
      </c>
      <c r="AA41" s="30">
        <f t="shared" si="14"/>
        <v>1735029.7000000002</v>
      </c>
    </row>
    <row r="42" spans="1:27" ht="15.75" customHeight="1" x14ac:dyDescent="0.25">
      <c r="A42" s="16" t="str">
        <f>CONCATENATE(G42,COUNTIF($G$14:G42,G42))</f>
        <v>VENTAS11</v>
      </c>
      <c r="B42" s="17" t="s">
        <v>93</v>
      </c>
      <c r="C42" s="17" t="s">
        <v>278</v>
      </c>
      <c r="D42" s="17">
        <v>8</v>
      </c>
      <c r="E42" s="17" t="s">
        <v>276</v>
      </c>
      <c r="F42" s="17" t="s">
        <v>276</v>
      </c>
      <c r="G42" s="17" t="s">
        <v>31</v>
      </c>
      <c r="H42" s="17" t="str">
        <f t="shared" si="0"/>
        <v>ASESOR</v>
      </c>
      <c r="I42" s="30">
        <f t="shared" si="1"/>
        <v>3900000</v>
      </c>
      <c r="J42" s="16">
        <v>26</v>
      </c>
      <c r="K42" s="30">
        <f t="shared" si="5"/>
        <v>3380000</v>
      </c>
      <c r="L42" s="36">
        <f>IF(I42&lt;='Valores Vigentes'!D$4*2,'Valores Vigentes'!$D$5/30*J42,0)</f>
        <v>0</v>
      </c>
      <c r="M42" s="36">
        <f t="shared" si="6"/>
        <v>50700</v>
      </c>
      <c r="N42" s="36">
        <f t="shared" si="7"/>
        <v>118300.00000000001</v>
      </c>
      <c r="O42" s="36">
        <f t="shared" si="8"/>
        <v>84500</v>
      </c>
      <c r="P42" s="16">
        <f t="shared" si="2"/>
        <v>354545.45454545459</v>
      </c>
      <c r="Q42" s="36">
        <f t="shared" si="3"/>
        <v>8</v>
      </c>
      <c r="R42" s="36">
        <f t="shared" si="9"/>
        <v>0</v>
      </c>
      <c r="S42" s="30">
        <f t="shared" si="10"/>
        <v>3633508</v>
      </c>
      <c r="T42" s="30">
        <f>(S42-L42+M42-O42-R42)*'Valores Vigentes'!$D$6</f>
        <v>143988.32</v>
      </c>
      <c r="U42" s="30">
        <f>(S42-L42+M42-O42-R42)*'Valores Vigentes'!$D$7</f>
        <v>143988.32</v>
      </c>
      <c r="V42" s="36">
        <f>IF(I42&gt;'Valores Vigentes'!$D$4*4,I42*1%,0)</f>
        <v>0</v>
      </c>
      <c r="W42" s="36">
        <f t="shared" si="4"/>
        <v>0</v>
      </c>
      <c r="X42" s="36">
        <f t="shared" si="11"/>
        <v>117000</v>
      </c>
      <c r="Y42" s="36">
        <f t="shared" si="12"/>
        <v>72670.16</v>
      </c>
      <c r="Z42" s="30">
        <f t="shared" si="13"/>
        <v>477646.80000000005</v>
      </c>
      <c r="AA42" s="30">
        <f t="shared" si="14"/>
        <v>3155861.2</v>
      </c>
    </row>
    <row r="43" spans="1:27" ht="15.75" customHeight="1" x14ac:dyDescent="0.25">
      <c r="A43" s="16" t="str">
        <f>CONCATENATE(G43,COUNTIF($G$14:G43,G43))</f>
        <v>COMPRAS7</v>
      </c>
      <c r="B43" s="17" t="s">
        <v>94</v>
      </c>
      <c r="C43" s="17" t="s">
        <v>275</v>
      </c>
      <c r="D43" s="17">
        <v>10</v>
      </c>
      <c r="E43" s="17" t="s">
        <v>276</v>
      </c>
      <c r="F43" s="17" t="s">
        <v>276</v>
      </c>
      <c r="G43" s="17" t="s">
        <v>33</v>
      </c>
      <c r="H43" s="17" t="str">
        <f t="shared" si="0"/>
        <v>GERENTE</v>
      </c>
      <c r="I43" s="30">
        <f t="shared" si="1"/>
        <v>6500000</v>
      </c>
      <c r="J43" s="16">
        <v>28</v>
      </c>
      <c r="K43" s="30">
        <f t="shared" si="5"/>
        <v>6066666.666666666</v>
      </c>
      <c r="L43" s="36">
        <f>IF(I43&lt;='Valores Vigentes'!D$4*2,'Valores Vigentes'!$D$5/30*J43,0)</f>
        <v>0</v>
      </c>
      <c r="M43" s="36">
        <f t="shared" si="6"/>
        <v>90999.999999999985</v>
      </c>
      <c r="N43" s="36">
        <f t="shared" si="7"/>
        <v>0</v>
      </c>
      <c r="O43" s="36">
        <f t="shared" si="8"/>
        <v>151666.66666666666</v>
      </c>
      <c r="P43" s="16">
        <f t="shared" si="2"/>
        <v>1698863.6363636362</v>
      </c>
      <c r="Q43" s="36">
        <f t="shared" si="3"/>
        <v>23</v>
      </c>
      <c r="R43" s="36">
        <f t="shared" si="9"/>
        <v>975000</v>
      </c>
      <c r="S43" s="30">
        <f t="shared" si="10"/>
        <v>7284356.3333333321</v>
      </c>
      <c r="T43" s="30">
        <f>(S43-L43+M43-O43-R43)*'Valores Vigentes'!$D$6</f>
        <v>249947.58666666661</v>
      </c>
      <c r="U43" s="30">
        <f>(S43-L43+M43-O43-R43)*'Valores Vigentes'!$D$7</f>
        <v>249947.58666666661</v>
      </c>
      <c r="V43" s="36">
        <f>IF(I43&gt;'Valores Vigentes'!$D$4*4,I43*1%,0)</f>
        <v>65000</v>
      </c>
      <c r="W43" s="36">
        <f t="shared" si="4"/>
        <v>85000</v>
      </c>
      <c r="X43" s="36">
        <f t="shared" si="11"/>
        <v>195000</v>
      </c>
      <c r="Y43" s="36">
        <f t="shared" si="12"/>
        <v>145687.12666666665</v>
      </c>
      <c r="Z43" s="30">
        <f t="shared" si="13"/>
        <v>990582.29999999981</v>
      </c>
      <c r="AA43" s="30">
        <f t="shared" si="14"/>
        <v>6293774.0333333323</v>
      </c>
    </row>
    <row r="44" spans="1:27" ht="15.75" customHeight="1" x14ac:dyDescent="0.25">
      <c r="A44" s="16" t="str">
        <f>CONCATENATE(G44,COUNTIF($G$14:G44,G44))</f>
        <v>VENTAS12</v>
      </c>
      <c r="B44" s="17" t="s">
        <v>95</v>
      </c>
      <c r="C44" s="17" t="s">
        <v>278</v>
      </c>
      <c r="D44" s="17">
        <v>8</v>
      </c>
      <c r="E44" s="17" t="s">
        <v>277</v>
      </c>
      <c r="F44" s="17" t="s">
        <v>276</v>
      </c>
      <c r="G44" s="17" t="s">
        <v>31</v>
      </c>
      <c r="H44" s="17" t="str">
        <f t="shared" si="0"/>
        <v>ASESOR</v>
      </c>
      <c r="I44" s="30">
        <f t="shared" si="1"/>
        <v>3900000</v>
      </c>
      <c r="J44" s="16">
        <v>28</v>
      </c>
      <c r="K44" s="30">
        <f t="shared" si="5"/>
        <v>3640000</v>
      </c>
      <c r="L44" s="36">
        <f>IF(I44&lt;='Valores Vigentes'!D$4*2,'Valores Vigentes'!$D$5/30*J44,0)</f>
        <v>0</v>
      </c>
      <c r="M44" s="36">
        <f t="shared" si="6"/>
        <v>54600</v>
      </c>
      <c r="N44" s="36">
        <f t="shared" si="7"/>
        <v>127400.00000000001</v>
      </c>
      <c r="O44" s="36">
        <f t="shared" si="8"/>
        <v>54600</v>
      </c>
      <c r="P44" s="16">
        <f t="shared" si="2"/>
        <v>310227.27272727276</v>
      </c>
      <c r="Q44" s="36">
        <f t="shared" si="3"/>
        <v>7</v>
      </c>
      <c r="R44" s="36">
        <f t="shared" si="9"/>
        <v>0</v>
      </c>
      <c r="S44" s="30">
        <f t="shared" si="10"/>
        <v>3876607</v>
      </c>
      <c r="T44" s="30">
        <f>(S44-L44+M44-O44-R44)*'Valores Vigentes'!$D$6</f>
        <v>155064.28</v>
      </c>
      <c r="U44" s="30">
        <f>(S44-L44+M44-O44-R44)*'Valores Vigentes'!$D$7</f>
        <v>155064.28</v>
      </c>
      <c r="V44" s="36">
        <f>IF(I44&gt;'Valores Vigentes'!$D$4*4,I44*1%,0)</f>
        <v>0</v>
      </c>
      <c r="W44" s="36">
        <f t="shared" si="4"/>
        <v>0</v>
      </c>
      <c r="X44" s="36">
        <f t="shared" si="11"/>
        <v>0</v>
      </c>
      <c r="Y44" s="36">
        <f t="shared" si="12"/>
        <v>77532.14</v>
      </c>
      <c r="Z44" s="30">
        <f t="shared" si="13"/>
        <v>387660.7</v>
      </c>
      <c r="AA44" s="30">
        <f t="shared" si="14"/>
        <v>3488946.3</v>
      </c>
    </row>
    <row r="45" spans="1:27" ht="15.75" customHeight="1" x14ac:dyDescent="0.25">
      <c r="A45" s="16" t="str">
        <f>CONCATENATE(G45,COUNTIF($G$14:G45,G45))</f>
        <v>VENTAS13</v>
      </c>
      <c r="B45" s="17" t="s">
        <v>96</v>
      </c>
      <c r="C45" s="17" t="s">
        <v>275</v>
      </c>
      <c r="D45" s="17">
        <v>5</v>
      </c>
      <c r="E45" s="17" t="s">
        <v>277</v>
      </c>
      <c r="F45" s="17" t="s">
        <v>276</v>
      </c>
      <c r="G45" s="17" t="s">
        <v>31</v>
      </c>
      <c r="H45" s="17" t="str">
        <f t="shared" si="0"/>
        <v>ASESOR VENTAS</v>
      </c>
      <c r="I45" s="30">
        <f t="shared" si="1"/>
        <v>2650000</v>
      </c>
      <c r="J45" s="16">
        <v>29</v>
      </c>
      <c r="K45" s="30">
        <f t="shared" si="5"/>
        <v>2561666.6666666665</v>
      </c>
      <c r="L45" s="36">
        <f>IF(I45&lt;='Valores Vigentes'!D$4*2,'Valores Vigentes'!$D$5/30*J45,0)</f>
        <v>193333.33333333334</v>
      </c>
      <c r="M45" s="36">
        <f t="shared" si="6"/>
        <v>38424.999999999993</v>
      </c>
      <c r="N45" s="36">
        <f t="shared" si="7"/>
        <v>89658.333333333343</v>
      </c>
      <c r="O45" s="36">
        <f t="shared" si="8"/>
        <v>38424.999999999993</v>
      </c>
      <c r="P45" s="16">
        <f t="shared" si="2"/>
        <v>542045.45454545459</v>
      </c>
      <c r="Q45" s="36">
        <f t="shared" si="3"/>
        <v>18</v>
      </c>
      <c r="R45" s="36">
        <f t="shared" si="9"/>
        <v>0</v>
      </c>
      <c r="S45" s="30">
        <f t="shared" si="10"/>
        <v>2921526.3333333335</v>
      </c>
      <c r="T45" s="30">
        <f>(S45-L45+M45-O45-R45)*'Valores Vigentes'!$D$6</f>
        <v>109127.72</v>
      </c>
      <c r="U45" s="30">
        <f>(S45-L45+M45-O45-R45)*'Valores Vigentes'!$D$7</f>
        <v>109127.72</v>
      </c>
      <c r="V45" s="36">
        <f>IF(I45&gt;'Valores Vigentes'!$D$4*4,I45*1%,0)</f>
        <v>0</v>
      </c>
      <c r="W45" s="36">
        <f t="shared" si="4"/>
        <v>0</v>
      </c>
      <c r="X45" s="36">
        <f t="shared" si="11"/>
        <v>0</v>
      </c>
      <c r="Y45" s="36">
        <f t="shared" si="12"/>
        <v>58430.526666666672</v>
      </c>
      <c r="Z45" s="30">
        <f t="shared" si="13"/>
        <v>276685.96666666667</v>
      </c>
      <c r="AA45" s="30">
        <f t="shared" si="14"/>
        <v>2644840.3666666667</v>
      </c>
    </row>
    <row r="46" spans="1:27" ht="15.75" customHeight="1" x14ac:dyDescent="0.25">
      <c r="A46" s="16" t="str">
        <f>CONCATENATE(G46,COUNTIF($G$14:G46,G46))</f>
        <v>FINANCIERO1</v>
      </c>
      <c r="B46" s="17" t="s">
        <v>97</v>
      </c>
      <c r="C46" s="17" t="s">
        <v>275</v>
      </c>
      <c r="D46" s="17">
        <v>1</v>
      </c>
      <c r="E46" s="17" t="s">
        <v>276</v>
      </c>
      <c r="F46" s="17" t="s">
        <v>277</v>
      </c>
      <c r="G46" s="17" t="s">
        <v>43</v>
      </c>
      <c r="H46" s="17" t="str">
        <f t="shared" si="0"/>
        <v>AUXILIAR ADMON</v>
      </c>
      <c r="I46" s="30">
        <f t="shared" si="1"/>
        <v>1423500</v>
      </c>
      <c r="J46" s="16">
        <v>25</v>
      </c>
      <c r="K46" s="30">
        <f t="shared" si="5"/>
        <v>1186250</v>
      </c>
      <c r="L46" s="36">
        <f>IF(I46&lt;='Valores Vigentes'!D$4*2,'Valores Vigentes'!$D$5/30*J46,0)</f>
        <v>166666.66666666669</v>
      </c>
      <c r="M46" s="36">
        <f t="shared" si="6"/>
        <v>17793.75</v>
      </c>
      <c r="N46" s="36">
        <f t="shared" si="7"/>
        <v>0</v>
      </c>
      <c r="O46" s="36">
        <f t="shared" si="8"/>
        <v>17793.75</v>
      </c>
      <c r="P46" s="16">
        <f t="shared" si="2"/>
        <v>32352.272727272724</v>
      </c>
      <c r="Q46" s="36">
        <f t="shared" si="3"/>
        <v>2</v>
      </c>
      <c r="R46" s="36">
        <f t="shared" si="9"/>
        <v>0</v>
      </c>
      <c r="S46" s="30">
        <f t="shared" si="10"/>
        <v>1388506.1666666667</v>
      </c>
      <c r="T46" s="30">
        <f>(S46-L46+M46-O46-R46)*'Valores Vigentes'!$D$6</f>
        <v>48873.58</v>
      </c>
      <c r="U46" s="30">
        <f>(S46-L46+M46-O46-R46)*'Valores Vigentes'!$D$7</f>
        <v>48873.58</v>
      </c>
      <c r="V46" s="36">
        <f>IF(I46&gt;'Valores Vigentes'!$D$4*4,I46*1%,0)</f>
        <v>0</v>
      </c>
      <c r="W46" s="36">
        <f t="shared" si="4"/>
        <v>0</v>
      </c>
      <c r="X46" s="36">
        <f t="shared" si="11"/>
        <v>42705</v>
      </c>
      <c r="Y46" s="36">
        <f t="shared" si="12"/>
        <v>0</v>
      </c>
      <c r="Z46" s="30">
        <f t="shared" si="13"/>
        <v>140452.16</v>
      </c>
      <c r="AA46" s="30">
        <f t="shared" si="14"/>
        <v>1248054.0066666668</v>
      </c>
    </row>
    <row r="47" spans="1:27" ht="15.75" customHeight="1" x14ac:dyDescent="0.25">
      <c r="A47" s="16" t="str">
        <f>CONCATENATE(G47,COUNTIF($G$14:G47,G47))</f>
        <v>VENTAS14</v>
      </c>
      <c r="B47" s="17" t="s">
        <v>98</v>
      </c>
      <c r="C47" s="17" t="s">
        <v>278</v>
      </c>
      <c r="D47" s="17">
        <v>8</v>
      </c>
      <c r="E47" s="17" t="s">
        <v>276</v>
      </c>
      <c r="F47" s="17" t="s">
        <v>276</v>
      </c>
      <c r="G47" s="17" t="s">
        <v>31</v>
      </c>
      <c r="H47" s="17" t="str">
        <f t="shared" ref="H47:H78" si="15">VLOOKUP(D47,SALARIOSACTUALES,2,0)</f>
        <v>ASESOR</v>
      </c>
      <c r="I47" s="30">
        <f t="shared" ref="I47:I78" si="16">VLOOKUP(D47,SALARIOSACTUALES,3,0)</f>
        <v>3900000</v>
      </c>
      <c r="J47" s="16">
        <v>27</v>
      </c>
      <c r="K47" s="30">
        <f t="shared" si="5"/>
        <v>3510000</v>
      </c>
      <c r="L47" s="36">
        <f>IF(I47&lt;='Valores Vigentes'!D$4*2,'Valores Vigentes'!$D$5/30*J47,0)</f>
        <v>0</v>
      </c>
      <c r="M47" s="36">
        <f t="shared" si="6"/>
        <v>52650</v>
      </c>
      <c r="N47" s="36">
        <f t="shared" si="7"/>
        <v>122850.00000000001</v>
      </c>
      <c r="O47" s="36">
        <f t="shared" si="8"/>
        <v>87750</v>
      </c>
      <c r="P47" s="16">
        <f t="shared" ref="P47:P78" si="17">VLOOKUP(B47,HORASEXTRAS,10,0)</f>
        <v>930681.81818181835</v>
      </c>
      <c r="Q47" s="36">
        <f t="shared" ref="Q47:Q78" si="18">VLOOKUP(B47,HORASEXTRAS,11,0)</f>
        <v>21</v>
      </c>
      <c r="R47" s="36">
        <f t="shared" si="9"/>
        <v>0</v>
      </c>
      <c r="S47" s="30">
        <f t="shared" si="10"/>
        <v>3773271</v>
      </c>
      <c r="T47" s="30">
        <f>(S47-L47+M47-O47-R47)*'Valores Vigentes'!$D$6</f>
        <v>149526.84</v>
      </c>
      <c r="U47" s="30">
        <f>(S47-L47+M47-O47-R47)*'Valores Vigentes'!$D$7</f>
        <v>149526.84</v>
      </c>
      <c r="V47" s="36">
        <f>IF(I47&gt;'Valores Vigentes'!$D$4*4,I47*1%,0)</f>
        <v>0</v>
      </c>
      <c r="W47" s="36">
        <f t="shared" ref="W47:W78" si="19">HLOOKUP(S47,RETEFUENTE,2,1)</f>
        <v>0</v>
      </c>
      <c r="X47" s="36">
        <f t="shared" si="11"/>
        <v>117000</v>
      </c>
      <c r="Y47" s="36">
        <f t="shared" si="12"/>
        <v>75465.42</v>
      </c>
      <c r="Z47" s="30">
        <f t="shared" si="13"/>
        <v>491519.1</v>
      </c>
      <c r="AA47" s="30">
        <f t="shared" si="14"/>
        <v>3281751.9</v>
      </c>
    </row>
    <row r="48" spans="1:27" ht="15.75" customHeight="1" x14ac:dyDescent="0.25">
      <c r="A48" s="16" t="str">
        <f>CONCATENATE(G48,COUNTIF($G$14:G48,G48))</f>
        <v>COMPRAS8</v>
      </c>
      <c r="B48" s="17" t="s">
        <v>99</v>
      </c>
      <c r="C48" s="17" t="s">
        <v>275</v>
      </c>
      <c r="D48" s="17">
        <v>1</v>
      </c>
      <c r="E48" s="17" t="s">
        <v>277</v>
      </c>
      <c r="F48" s="17" t="s">
        <v>276</v>
      </c>
      <c r="G48" s="17" t="s">
        <v>33</v>
      </c>
      <c r="H48" s="17" t="str">
        <f t="shared" si="15"/>
        <v>AUXILIAR ADMON</v>
      </c>
      <c r="I48" s="30">
        <f t="shared" si="16"/>
        <v>1423500</v>
      </c>
      <c r="J48" s="16">
        <v>28</v>
      </c>
      <c r="K48" s="30">
        <f t="shared" si="5"/>
        <v>1328600</v>
      </c>
      <c r="L48" s="36">
        <f>IF(I48&lt;='Valores Vigentes'!D$4*2,'Valores Vigentes'!$D$5/30*J48,0)</f>
        <v>186666.66666666669</v>
      </c>
      <c r="M48" s="36">
        <f t="shared" si="6"/>
        <v>19929</v>
      </c>
      <c r="N48" s="36">
        <f t="shared" si="7"/>
        <v>0</v>
      </c>
      <c r="O48" s="36">
        <f t="shared" si="8"/>
        <v>19929</v>
      </c>
      <c r="P48" s="16">
        <f t="shared" si="17"/>
        <v>210289.77272727271</v>
      </c>
      <c r="Q48" s="36">
        <f t="shared" si="18"/>
        <v>13</v>
      </c>
      <c r="R48" s="36">
        <f t="shared" si="9"/>
        <v>0</v>
      </c>
      <c r="S48" s="30">
        <f t="shared" si="10"/>
        <v>1555137.6666666667</v>
      </c>
      <c r="T48" s="30">
        <f>(S48-L48+M48-O48-R48)*'Valores Vigentes'!$D$6</f>
        <v>54738.840000000004</v>
      </c>
      <c r="U48" s="30">
        <f>(S48-L48+M48-O48-R48)*'Valores Vigentes'!$D$7</f>
        <v>54738.840000000004</v>
      </c>
      <c r="V48" s="36">
        <f>IF(I48&gt;'Valores Vigentes'!$D$4*4,I48*1%,0)</f>
        <v>0</v>
      </c>
      <c r="W48" s="36">
        <f t="shared" si="19"/>
        <v>0</v>
      </c>
      <c r="X48" s="36">
        <f t="shared" si="11"/>
        <v>0</v>
      </c>
      <c r="Y48" s="36">
        <f t="shared" si="12"/>
        <v>31102.753333333334</v>
      </c>
      <c r="Z48" s="30">
        <f t="shared" si="13"/>
        <v>140580.43333333335</v>
      </c>
      <c r="AA48" s="30">
        <f t="shared" si="14"/>
        <v>1414557.2333333334</v>
      </c>
    </row>
    <row r="49" spans="1:27" ht="15.75" customHeight="1" x14ac:dyDescent="0.25">
      <c r="A49" s="16" t="str">
        <f>CONCATENATE(G49,COUNTIF($G$14:G49,G49))</f>
        <v>ADMON6</v>
      </c>
      <c r="B49" s="17" t="s">
        <v>100</v>
      </c>
      <c r="C49" s="17" t="s">
        <v>275</v>
      </c>
      <c r="D49" s="17">
        <v>8</v>
      </c>
      <c r="E49" s="17" t="s">
        <v>276</v>
      </c>
      <c r="F49" s="17" t="s">
        <v>276</v>
      </c>
      <c r="G49" s="17" t="s">
        <v>35</v>
      </c>
      <c r="H49" s="17" t="str">
        <f t="shared" si="15"/>
        <v>ASESOR</v>
      </c>
      <c r="I49" s="30">
        <f t="shared" si="16"/>
        <v>3900000</v>
      </c>
      <c r="J49" s="16">
        <v>25</v>
      </c>
      <c r="K49" s="30">
        <f t="shared" si="5"/>
        <v>3250000</v>
      </c>
      <c r="L49" s="36">
        <f>IF(I49&lt;='Valores Vigentes'!D$4*2,'Valores Vigentes'!$D$5/30*J49,0)</f>
        <v>0</v>
      </c>
      <c r="M49" s="36">
        <f t="shared" si="6"/>
        <v>48750</v>
      </c>
      <c r="N49" s="36">
        <f t="shared" si="7"/>
        <v>0</v>
      </c>
      <c r="O49" s="36">
        <f t="shared" si="8"/>
        <v>81250</v>
      </c>
      <c r="P49" s="16">
        <f t="shared" si="17"/>
        <v>398863.63636363641</v>
      </c>
      <c r="Q49" s="36">
        <f t="shared" si="18"/>
        <v>9</v>
      </c>
      <c r="R49" s="36">
        <f t="shared" si="9"/>
        <v>0</v>
      </c>
      <c r="S49" s="30">
        <f t="shared" si="10"/>
        <v>3380009</v>
      </c>
      <c r="T49" s="30">
        <f>(S49-L49+M49-O49-R49)*'Valores Vigentes'!$D$6</f>
        <v>133900.36000000002</v>
      </c>
      <c r="U49" s="30">
        <f>(S49-L49+M49-O49-R49)*'Valores Vigentes'!$D$7</f>
        <v>133900.36000000002</v>
      </c>
      <c r="V49" s="36">
        <f>IF(I49&gt;'Valores Vigentes'!$D$4*4,I49*1%,0)</f>
        <v>0</v>
      </c>
      <c r="W49" s="36">
        <f t="shared" si="19"/>
        <v>0</v>
      </c>
      <c r="X49" s="36">
        <f t="shared" si="11"/>
        <v>117000</v>
      </c>
      <c r="Y49" s="36">
        <f t="shared" si="12"/>
        <v>67600.180000000008</v>
      </c>
      <c r="Z49" s="30">
        <f t="shared" si="13"/>
        <v>452400.9</v>
      </c>
      <c r="AA49" s="30">
        <f t="shared" si="14"/>
        <v>2927608.1</v>
      </c>
    </row>
    <row r="50" spans="1:27" ht="15.75" customHeight="1" x14ac:dyDescent="0.25">
      <c r="A50" s="16" t="str">
        <f>CONCATENATE(G50,COUNTIF($G$14:G50,G50))</f>
        <v>VENTAS15</v>
      </c>
      <c r="B50" s="17" t="s">
        <v>101</v>
      </c>
      <c r="C50" s="17" t="s">
        <v>275</v>
      </c>
      <c r="D50" s="17">
        <v>7</v>
      </c>
      <c r="E50" s="17" t="s">
        <v>276</v>
      </c>
      <c r="F50" s="17" t="s">
        <v>276</v>
      </c>
      <c r="G50" s="17" t="s">
        <v>31</v>
      </c>
      <c r="H50" s="17" t="str">
        <f t="shared" si="15"/>
        <v>COORDINADOR</v>
      </c>
      <c r="I50" s="30">
        <f t="shared" si="16"/>
        <v>3250000</v>
      </c>
      <c r="J50" s="16">
        <v>29</v>
      </c>
      <c r="K50" s="30">
        <f t="shared" si="5"/>
        <v>3141666.6666666665</v>
      </c>
      <c r="L50" s="36">
        <f>IF(I50&lt;='Valores Vigentes'!D$4*2,'Valores Vigentes'!$D$5/30*J50,0)</f>
        <v>0</v>
      </c>
      <c r="M50" s="36">
        <f t="shared" si="6"/>
        <v>47124.999999999993</v>
      </c>
      <c r="N50" s="36">
        <f t="shared" si="7"/>
        <v>109958.33333333334</v>
      </c>
      <c r="O50" s="36">
        <f t="shared" si="8"/>
        <v>78541.666666666672</v>
      </c>
      <c r="P50" s="16">
        <f t="shared" si="17"/>
        <v>1071022.7272727271</v>
      </c>
      <c r="Q50" s="36">
        <f t="shared" si="18"/>
        <v>29</v>
      </c>
      <c r="R50" s="36">
        <f t="shared" si="9"/>
        <v>0</v>
      </c>
      <c r="S50" s="30">
        <f t="shared" si="10"/>
        <v>3377320.6666666665</v>
      </c>
      <c r="T50" s="30">
        <f>(S50-L50+M50-O50-R50)*'Valores Vigentes'!$D$6</f>
        <v>133836.16</v>
      </c>
      <c r="U50" s="30">
        <f>(S50-L50+M50-O50-R50)*'Valores Vigentes'!$D$7</f>
        <v>133836.16</v>
      </c>
      <c r="V50" s="36">
        <f>IF(I50&gt;'Valores Vigentes'!$D$4*4,I50*1%,0)</f>
        <v>0</v>
      </c>
      <c r="W50" s="36">
        <f t="shared" si="19"/>
        <v>0</v>
      </c>
      <c r="X50" s="36">
        <f t="shared" si="11"/>
        <v>97500</v>
      </c>
      <c r="Y50" s="36">
        <f t="shared" si="12"/>
        <v>67546.41333333333</v>
      </c>
      <c r="Z50" s="30">
        <f t="shared" si="13"/>
        <v>432718.73333333334</v>
      </c>
      <c r="AA50" s="30">
        <f t="shared" si="14"/>
        <v>2944601.9333333331</v>
      </c>
    </row>
    <row r="51" spans="1:27" ht="15.75" customHeight="1" x14ac:dyDescent="0.25">
      <c r="A51" s="16" t="str">
        <f>CONCATENATE(G51,COUNTIF($G$14:G51,G51))</f>
        <v>VENTAS16</v>
      </c>
      <c r="B51" s="17" t="s">
        <v>102</v>
      </c>
      <c r="C51" s="17" t="s">
        <v>278</v>
      </c>
      <c r="D51" s="17">
        <v>2</v>
      </c>
      <c r="E51" s="17" t="s">
        <v>276</v>
      </c>
      <c r="F51" s="17" t="s">
        <v>276</v>
      </c>
      <c r="G51" s="17" t="s">
        <v>31</v>
      </c>
      <c r="H51" s="17" t="str">
        <f t="shared" si="15"/>
        <v>ASISTENTES</v>
      </c>
      <c r="I51" s="30">
        <f t="shared" si="16"/>
        <v>1626000</v>
      </c>
      <c r="J51" s="16">
        <v>28</v>
      </c>
      <c r="K51" s="30">
        <f t="shared" si="5"/>
        <v>1517600</v>
      </c>
      <c r="L51" s="36">
        <f>IF(I51&lt;='Valores Vigentes'!D$4*2,'Valores Vigentes'!$D$5/30*J51,0)</f>
        <v>186666.66666666669</v>
      </c>
      <c r="M51" s="36">
        <f t="shared" si="6"/>
        <v>22764</v>
      </c>
      <c r="N51" s="36">
        <f t="shared" si="7"/>
        <v>53116.000000000007</v>
      </c>
      <c r="O51" s="36">
        <f t="shared" si="8"/>
        <v>37940</v>
      </c>
      <c r="P51" s="16">
        <f t="shared" si="17"/>
        <v>221727.27272727274</v>
      </c>
      <c r="Q51" s="36">
        <f t="shared" si="18"/>
        <v>12</v>
      </c>
      <c r="R51" s="36">
        <f t="shared" si="9"/>
        <v>0</v>
      </c>
      <c r="S51" s="30">
        <f t="shared" si="10"/>
        <v>1818098.6666666667</v>
      </c>
      <c r="T51" s="30">
        <f>(S51-L51+M51-O51-R51)*'Valores Vigentes'!$D$6</f>
        <v>64650.239999999998</v>
      </c>
      <c r="U51" s="30">
        <f>(S51-L51+M51-O51-R51)*'Valores Vigentes'!$D$7</f>
        <v>64650.239999999998</v>
      </c>
      <c r="V51" s="36">
        <f>IF(I51&gt;'Valores Vigentes'!$D$4*4,I51*1%,0)</f>
        <v>0</v>
      </c>
      <c r="W51" s="36">
        <f t="shared" si="19"/>
        <v>0</v>
      </c>
      <c r="X51" s="36">
        <f t="shared" si="11"/>
        <v>48780</v>
      </c>
      <c r="Y51" s="36">
        <f t="shared" si="12"/>
        <v>36361.973333333335</v>
      </c>
      <c r="Z51" s="30">
        <f t="shared" si="13"/>
        <v>214442.45333333331</v>
      </c>
      <c r="AA51" s="30">
        <f t="shared" si="14"/>
        <v>1603656.2133333334</v>
      </c>
    </row>
    <row r="52" spans="1:27" ht="15.75" customHeight="1" x14ac:dyDescent="0.25">
      <c r="A52" s="16" t="str">
        <f>CONCATENATE(G52,COUNTIF($G$14:G52,G52))</f>
        <v>COMPRAS9</v>
      </c>
      <c r="B52" s="17" t="s">
        <v>103</v>
      </c>
      <c r="C52" s="17" t="s">
        <v>278</v>
      </c>
      <c r="D52" s="17">
        <v>1</v>
      </c>
      <c r="E52" s="17" t="s">
        <v>277</v>
      </c>
      <c r="F52" s="17" t="s">
        <v>276</v>
      </c>
      <c r="G52" s="17" t="s">
        <v>33</v>
      </c>
      <c r="H52" s="17" t="str">
        <f t="shared" si="15"/>
        <v>AUXILIAR ADMON</v>
      </c>
      <c r="I52" s="30">
        <f t="shared" si="16"/>
        <v>1423500</v>
      </c>
      <c r="J52" s="16">
        <v>27</v>
      </c>
      <c r="K52" s="30">
        <f t="shared" si="5"/>
        <v>1281150</v>
      </c>
      <c r="L52" s="36">
        <f>IF(I52&lt;='Valores Vigentes'!D$4*2,'Valores Vigentes'!$D$5/30*J52,0)</f>
        <v>180000</v>
      </c>
      <c r="M52" s="36">
        <f t="shared" si="6"/>
        <v>19217.25</v>
      </c>
      <c r="N52" s="36">
        <f t="shared" si="7"/>
        <v>0</v>
      </c>
      <c r="O52" s="36">
        <f t="shared" si="8"/>
        <v>19217.25</v>
      </c>
      <c r="P52" s="16">
        <f t="shared" si="17"/>
        <v>242642.04545454544</v>
      </c>
      <c r="Q52" s="36">
        <f t="shared" si="18"/>
        <v>15</v>
      </c>
      <c r="R52" s="36">
        <f t="shared" si="9"/>
        <v>0</v>
      </c>
      <c r="S52" s="30">
        <f t="shared" si="10"/>
        <v>1499599.5</v>
      </c>
      <c r="T52" s="30">
        <f>(S52-L52+M52-O52-R52)*'Valores Vigentes'!$D$6</f>
        <v>52783.98</v>
      </c>
      <c r="U52" s="30">
        <f>(S52-L52+M52-O52-R52)*'Valores Vigentes'!$D$7</f>
        <v>52783.98</v>
      </c>
      <c r="V52" s="36">
        <f>IF(I52&gt;'Valores Vigentes'!$D$4*4,I52*1%,0)</f>
        <v>0</v>
      </c>
      <c r="W52" s="36">
        <f t="shared" si="19"/>
        <v>0</v>
      </c>
      <c r="X52" s="36">
        <f t="shared" si="11"/>
        <v>0</v>
      </c>
      <c r="Y52" s="36">
        <f t="shared" si="12"/>
        <v>29991.99</v>
      </c>
      <c r="Z52" s="30">
        <f t="shared" si="13"/>
        <v>135559.95000000001</v>
      </c>
      <c r="AA52" s="30">
        <f t="shared" si="14"/>
        <v>1364039.55</v>
      </c>
    </row>
    <row r="53" spans="1:27" ht="15.75" customHeight="1" x14ac:dyDescent="0.25">
      <c r="A53" s="16" t="str">
        <f>CONCATENATE(G53,COUNTIF($G$14:G53,G53))</f>
        <v>FACTURACION2</v>
      </c>
      <c r="B53" s="17" t="s">
        <v>104</v>
      </c>
      <c r="C53" s="17" t="s">
        <v>275</v>
      </c>
      <c r="D53" s="17">
        <v>3</v>
      </c>
      <c r="E53" s="17" t="s">
        <v>276</v>
      </c>
      <c r="F53" s="17" t="s">
        <v>276</v>
      </c>
      <c r="G53" s="17" t="s">
        <v>39</v>
      </c>
      <c r="H53" s="17" t="str">
        <f t="shared" si="15"/>
        <v>SECRETARIAS</v>
      </c>
      <c r="I53" s="30">
        <f t="shared" si="16"/>
        <v>1813000</v>
      </c>
      <c r="J53" s="16">
        <v>25</v>
      </c>
      <c r="K53" s="30">
        <f t="shared" si="5"/>
        <v>1510833.3333333335</v>
      </c>
      <c r="L53" s="36">
        <f>IF(I53&lt;='Valores Vigentes'!D$4*2,'Valores Vigentes'!$D$5/30*J53,0)</f>
        <v>166666.66666666669</v>
      </c>
      <c r="M53" s="36">
        <f t="shared" si="6"/>
        <v>22662.5</v>
      </c>
      <c r="N53" s="36">
        <f t="shared" si="7"/>
        <v>0</v>
      </c>
      <c r="O53" s="36">
        <f t="shared" si="8"/>
        <v>37770.833333333336</v>
      </c>
      <c r="P53" s="16">
        <f t="shared" si="17"/>
        <v>473852.27272727265</v>
      </c>
      <c r="Q53" s="36">
        <f t="shared" si="18"/>
        <v>23</v>
      </c>
      <c r="R53" s="36">
        <f t="shared" si="9"/>
        <v>0</v>
      </c>
      <c r="S53" s="30">
        <f t="shared" si="10"/>
        <v>1737956.3333333333</v>
      </c>
      <c r="T53" s="30">
        <f>(S53-L53+M53-O53-R53)*'Valores Vigentes'!$D$6</f>
        <v>62247.253333333334</v>
      </c>
      <c r="U53" s="30">
        <f>(S53-L53+M53-O53-R53)*'Valores Vigentes'!$D$7</f>
        <v>62247.253333333334</v>
      </c>
      <c r="V53" s="36">
        <f>IF(I53&gt;'Valores Vigentes'!$D$4*4,I53*1%,0)</f>
        <v>0</v>
      </c>
      <c r="W53" s="36">
        <f t="shared" si="19"/>
        <v>0</v>
      </c>
      <c r="X53" s="36">
        <f t="shared" si="11"/>
        <v>54390</v>
      </c>
      <c r="Y53" s="36">
        <f t="shared" si="12"/>
        <v>34759.126666666663</v>
      </c>
      <c r="Z53" s="30">
        <f t="shared" si="13"/>
        <v>213643.6333333333</v>
      </c>
      <c r="AA53" s="30">
        <f t="shared" si="14"/>
        <v>1524312.7</v>
      </c>
    </row>
    <row r="54" spans="1:27" ht="15.75" customHeight="1" x14ac:dyDescent="0.25">
      <c r="A54" s="16" t="str">
        <f>CONCATENATE(G54,COUNTIF($G$14:G54,G54))</f>
        <v>VENTAS17</v>
      </c>
      <c r="B54" s="17" t="s">
        <v>105</v>
      </c>
      <c r="C54" s="17" t="s">
        <v>278</v>
      </c>
      <c r="D54" s="17">
        <v>1</v>
      </c>
      <c r="E54" s="17" t="s">
        <v>276</v>
      </c>
      <c r="F54" s="17" t="s">
        <v>277</v>
      </c>
      <c r="G54" s="17" t="s">
        <v>31</v>
      </c>
      <c r="H54" s="17" t="str">
        <f t="shared" si="15"/>
        <v>AUXILIAR ADMON</v>
      </c>
      <c r="I54" s="30">
        <f t="shared" si="16"/>
        <v>1423500</v>
      </c>
      <c r="J54" s="16">
        <v>30</v>
      </c>
      <c r="K54" s="30">
        <f t="shared" si="5"/>
        <v>1423500</v>
      </c>
      <c r="L54" s="36">
        <f>IF(I54&lt;='Valores Vigentes'!D$4*2,'Valores Vigentes'!$D$5/30*J54,0)</f>
        <v>200000</v>
      </c>
      <c r="M54" s="36">
        <f t="shared" si="6"/>
        <v>35587.5</v>
      </c>
      <c r="N54" s="36">
        <f t="shared" si="7"/>
        <v>49822.500000000007</v>
      </c>
      <c r="O54" s="36">
        <f t="shared" si="8"/>
        <v>21352.5</v>
      </c>
      <c r="P54" s="16">
        <f t="shared" si="17"/>
        <v>372051.13636363635</v>
      </c>
      <c r="Q54" s="36">
        <f t="shared" si="18"/>
        <v>23</v>
      </c>
      <c r="R54" s="36">
        <f t="shared" si="9"/>
        <v>0</v>
      </c>
      <c r="S54" s="30">
        <f t="shared" si="10"/>
        <v>1730285.5</v>
      </c>
      <c r="T54" s="30">
        <f>(S54-L54+M54-O54-R54)*'Valores Vigentes'!$D$6</f>
        <v>61780.82</v>
      </c>
      <c r="U54" s="30">
        <f>(S54-L54+M54-O54-R54)*'Valores Vigentes'!$D$7</f>
        <v>61780.82</v>
      </c>
      <c r="V54" s="36">
        <f>IF(I54&gt;'Valores Vigentes'!$D$4*4,I54*1%,0)</f>
        <v>0</v>
      </c>
      <c r="W54" s="36">
        <f t="shared" si="19"/>
        <v>0</v>
      </c>
      <c r="X54" s="36">
        <f t="shared" si="11"/>
        <v>42705</v>
      </c>
      <c r="Y54" s="36">
        <f t="shared" si="12"/>
        <v>0</v>
      </c>
      <c r="Z54" s="30">
        <f t="shared" si="13"/>
        <v>166266.64000000001</v>
      </c>
      <c r="AA54" s="30">
        <f t="shared" si="14"/>
        <v>1564018.8599999999</v>
      </c>
    </row>
    <row r="55" spans="1:27" ht="15.75" customHeight="1" x14ac:dyDescent="0.25">
      <c r="A55" s="16" t="str">
        <f>CONCATENATE(G55,COUNTIF($G$14:G55,G55))</f>
        <v>VENTAS18</v>
      </c>
      <c r="B55" s="17" t="s">
        <v>106</v>
      </c>
      <c r="C55" s="17" t="s">
        <v>278</v>
      </c>
      <c r="D55" s="17">
        <v>4</v>
      </c>
      <c r="E55" s="17" t="s">
        <v>276</v>
      </c>
      <c r="F55" s="17" t="s">
        <v>276</v>
      </c>
      <c r="G55" s="17" t="s">
        <v>31</v>
      </c>
      <c r="H55" s="17" t="str">
        <f t="shared" si="15"/>
        <v>TÉCNICO PROFESIONAL</v>
      </c>
      <c r="I55" s="30">
        <f t="shared" si="16"/>
        <v>2450000</v>
      </c>
      <c r="J55" s="16">
        <v>26</v>
      </c>
      <c r="K55" s="30">
        <f t="shared" si="5"/>
        <v>2123333.3333333335</v>
      </c>
      <c r="L55" s="36">
        <f>IF(I55&lt;='Valores Vigentes'!D$4*2,'Valores Vigentes'!$D$5/30*J55,0)</f>
        <v>173333.33333333334</v>
      </c>
      <c r="M55" s="36">
        <f t="shared" si="6"/>
        <v>31850</v>
      </c>
      <c r="N55" s="36">
        <f t="shared" si="7"/>
        <v>74316.666666666686</v>
      </c>
      <c r="O55" s="36">
        <f t="shared" si="8"/>
        <v>53083.333333333343</v>
      </c>
      <c r="P55" s="16">
        <f t="shared" si="17"/>
        <v>779545.45454545447</v>
      </c>
      <c r="Q55" s="36">
        <f t="shared" si="18"/>
        <v>28</v>
      </c>
      <c r="R55" s="36">
        <f t="shared" si="9"/>
        <v>0</v>
      </c>
      <c r="S55" s="30">
        <f t="shared" si="10"/>
        <v>2455944.666666667</v>
      </c>
      <c r="T55" s="30">
        <f>(S55-L55+M55-O55-R55)*'Valores Vigentes'!$D$6</f>
        <v>90455.12</v>
      </c>
      <c r="U55" s="30">
        <f>(S55-L55+M55-O55-R55)*'Valores Vigentes'!$D$7</f>
        <v>90455.12</v>
      </c>
      <c r="V55" s="36">
        <f>IF(I55&gt;'Valores Vigentes'!$D$4*4,I55*1%,0)</f>
        <v>0</v>
      </c>
      <c r="W55" s="36">
        <f t="shared" si="19"/>
        <v>0</v>
      </c>
      <c r="X55" s="36">
        <f t="shared" si="11"/>
        <v>73500</v>
      </c>
      <c r="Y55" s="36">
        <f t="shared" si="12"/>
        <v>49118.893333333341</v>
      </c>
      <c r="Z55" s="30">
        <f t="shared" si="13"/>
        <v>303529.1333333333</v>
      </c>
      <c r="AA55" s="30">
        <f t="shared" si="14"/>
        <v>2152415.5333333337</v>
      </c>
    </row>
    <row r="56" spans="1:27" ht="15.75" customHeight="1" x14ac:dyDescent="0.25">
      <c r="A56" s="16" t="str">
        <f>CONCATENATE(G56,COUNTIF($G$14:G56,G56))</f>
        <v>COMPRAS10</v>
      </c>
      <c r="B56" s="17" t="s">
        <v>107</v>
      </c>
      <c r="C56" s="17" t="s">
        <v>278</v>
      </c>
      <c r="D56" s="17">
        <v>4</v>
      </c>
      <c r="E56" s="17" t="s">
        <v>276</v>
      </c>
      <c r="F56" s="17" t="s">
        <v>276</v>
      </c>
      <c r="G56" s="17" t="s">
        <v>33</v>
      </c>
      <c r="H56" s="17" t="str">
        <f t="shared" si="15"/>
        <v>TÉCNICO PROFESIONAL</v>
      </c>
      <c r="I56" s="30">
        <f t="shared" si="16"/>
        <v>2450000</v>
      </c>
      <c r="J56" s="16">
        <v>25</v>
      </c>
      <c r="K56" s="30">
        <f t="shared" si="5"/>
        <v>2041666.6666666667</v>
      </c>
      <c r="L56" s="36">
        <f>IF(I56&lt;='Valores Vigentes'!D$4*2,'Valores Vigentes'!$D$5/30*J56,0)</f>
        <v>166666.66666666669</v>
      </c>
      <c r="M56" s="36">
        <f t="shared" si="6"/>
        <v>30625</v>
      </c>
      <c r="N56" s="36">
        <f t="shared" si="7"/>
        <v>0</v>
      </c>
      <c r="O56" s="36">
        <f t="shared" si="8"/>
        <v>51041.666666666672</v>
      </c>
      <c r="P56" s="16">
        <f t="shared" si="17"/>
        <v>640340.90909090906</v>
      </c>
      <c r="Q56" s="36">
        <f t="shared" si="18"/>
        <v>23</v>
      </c>
      <c r="R56" s="36">
        <f t="shared" si="9"/>
        <v>0</v>
      </c>
      <c r="S56" s="30">
        <f t="shared" si="10"/>
        <v>2290023</v>
      </c>
      <c r="T56" s="30">
        <f>(S56-L56+M56-O56-R56)*'Valores Vigentes'!$D$6</f>
        <v>84117.586666666684</v>
      </c>
      <c r="U56" s="30">
        <f>(S56-L56+M56-O56-R56)*'Valores Vigentes'!$D$7</f>
        <v>84117.586666666684</v>
      </c>
      <c r="V56" s="36">
        <f>IF(I56&gt;'Valores Vigentes'!$D$4*4,I56*1%,0)</f>
        <v>0</v>
      </c>
      <c r="W56" s="36">
        <f t="shared" si="19"/>
        <v>0</v>
      </c>
      <c r="X56" s="36">
        <f t="shared" si="11"/>
        <v>73500</v>
      </c>
      <c r="Y56" s="36">
        <f t="shared" si="12"/>
        <v>45800.46</v>
      </c>
      <c r="Z56" s="30">
        <f t="shared" si="13"/>
        <v>287535.63333333336</v>
      </c>
      <c r="AA56" s="30">
        <f t="shared" si="14"/>
        <v>2002487.3666666667</v>
      </c>
    </row>
    <row r="57" spans="1:27" ht="15.75" customHeight="1" x14ac:dyDescent="0.25">
      <c r="A57" s="16" t="str">
        <f>CONCATENATE(G57,COUNTIF($G$14:G57,G57))</f>
        <v>JURIDICA2</v>
      </c>
      <c r="B57" s="17" t="s">
        <v>108</v>
      </c>
      <c r="C57" s="17" t="s">
        <v>275</v>
      </c>
      <c r="D57" s="17">
        <v>3</v>
      </c>
      <c r="E57" s="17" t="s">
        <v>276</v>
      </c>
      <c r="F57" s="17" t="s">
        <v>276</v>
      </c>
      <c r="G57" s="17" t="s">
        <v>41</v>
      </c>
      <c r="H57" s="17" t="str">
        <f t="shared" si="15"/>
        <v>SECRETARIAS</v>
      </c>
      <c r="I57" s="30">
        <f t="shared" si="16"/>
        <v>1813000</v>
      </c>
      <c r="J57" s="16">
        <v>28</v>
      </c>
      <c r="K57" s="30">
        <f t="shared" si="5"/>
        <v>1692133.3333333335</v>
      </c>
      <c r="L57" s="36">
        <f>IF(I57&lt;='Valores Vigentes'!D$4*2,'Valores Vigentes'!$D$5/30*J57,0)</f>
        <v>186666.66666666669</v>
      </c>
      <c r="M57" s="36">
        <f t="shared" si="6"/>
        <v>25382</v>
      </c>
      <c r="N57" s="36">
        <f t="shared" si="7"/>
        <v>0</v>
      </c>
      <c r="O57" s="36">
        <f t="shared" si="8"/>
        <v>42303.333333333343</v>
      </c>
      <c r="P57" s="16">
        <f t="shared" si="17"/>
        <v>412045.45454545447</v>
      </c>
      <c r="Q57" s="36">
        <f t="shared" si="18"/>
        <v>20</v>
      </c>
      <c r="R57" s="36">
        <f t="shared" si="9"/>
        <v>0</v>
      </c>
      <c r="S57" s="30">
        <f t="shared" si="10"/>
        <v>1946505.3333333335</v>
      </c>
      <c r="T57" s="30">
        <f>(S57-L57+M57-O57-R57)*'Valores Vigentes'!$D$6</f>
        <v>69716.693333333344</v>
      </c>
      <c r="U57" s="30">
        <f>(S57-L57+M57-O57-R57)*'Valores Vigentes'!$D$7</f>
        <v>69716.693333333344</v>
      </c>
      <c r="V57" s="36">
        <f>IF(I57&gt;'Valores Vigentes'!$D$4*4,I57*1%,0)</f>
        <v>0</v>
      </c>
      <c r="W57" s="36">
        <f t="shared" si="19"/>
        <v>0</v>
      </c>
      <c r="X57" s="36">
        <f t="shared" si="11"/>
        <v>54390</v>
      </c>
      <c r="Y57" s="36">
        <f t="shared" si="12"/>
        <v>38930.106666666674</v>
      </c>
      <c r="Z57" s="30">
        <f t="shared" si="13"/>
        <v>232753.49333333335</v>
      </c>
      <c r="AA57" s="30">
        <f t="shared" si="14"/>
        <v>1713751.84</v>
      </c>
    </row>
    <row r="58" spans="1:27" ht="15.75" customHeight="1" x14ac:dyDescent="0.25">
      <c r="A58" s="16" t="str">
        <f>CONCATENATE(G58,COUNTIF($G$14:G58,G58))</f>
        <v>VENTAS19</v>
      </c>
      <c r="B58" s="17" t="s">
        <v>109</v>
      </c>
      <c r="C58" s="17" t="s">
        <v>278</v>
      </c>
      <c r="D58" s="17">
        <v>1</v>
      </c>
      <c r="E58" s="17" t="s">
        <v>276</v>
      </c>
      <c r="F58" s="17" t="s">
        <v>276</v>
      </c>
      <c r="G58" s="17" t="s">
        <v>31</v>
      </c>
      <c r="H58" s="17" t="str">
        <f t="shared" si="15"/>
        <v>AUXILIAR ADMON</v>
      </c>
      <c r="I58" s="30">
        <f t="shared" si="16"/>
        <v>1423500</v>
      </c>
      <c r="J58" s="16">
        <v>28</v>
      </c>
      <c r="K58" s="30">
        <f t="shared" si="5"/>
        <v>1328600</v>
      </c>
      <c r="L58" s="36">
        <f>IF(I58&lt;='Valores Vigentes'!D$4*2,'Valores Vigentes'!$D$5/30*J58,0)</f>
        <v>186666.66666666669</v>
      </c>
      <c r="M58" s="36">
        <f t="shared" si="6"/>
        <v>19929</v>
      </c>
      <c r="N58" s="36">
        <f t="shared" si="7"/>
        <v>46501.000000000007</v>
      </c>
      <c r="O58" s="36">
        <f t="shared" si="8"/>
        <v>33215</v>
      </c>
      <c r="P58" s="16">
        <f t="shared" si="17"/>
        <v>339698.86363636359</v>
      </c>
      <c r="Q58" s="36">
        <f t="shared" si="18"/>
        <v>21</v>
      </c>
      <c r="R58" s="36">
        <f t="shared" si="9"/>
        <v>0</v>
      </c>
      <c r="S58" s="30">
        <f t="shared" si="10"/>
        <v>1614932.6666666667</v>
      </c>
      <c r="T58" s="30">
        <f>(S58-L58+M58-O58-R58)*'Valores Vigentes'!$D$6</f>
        <v>56599.200000000004</v>
      </c>
      <c r="U58" s="30">
        <f>(S58-L58+M58-O58-R58)*'Valores Vigentes'!$D$7</f>
        <v>56599.200000000004</v>
      </c>
      <c r="V58" s="36">
        <f>IF(I58&gt;'Valores Vigentes'!$D$4*4,I58*1%,0)</f>
        <v>0</v>
      </c>
      <c r="W58" s="36">
        <f t="shared" si="19"/>
        <v>0</v>
      </c>
      <c r="X58" s="36">
        <f t="shared" si="11"/>
        <v>42705</v>
      </c>
      <c r="Y58" s="36">
        <f t="shared" si="12"/>
        <v>32298.653333333335</v>
      </c>
      <c r="Z58" s="30">
        <f t="shared" si="13"/>
        <v>188202.05333333334</v>
      </c>
      <c r="AA58" s="30">
        <f t="shared" si="14"/>
        <v>1426730.6133333333</v>
      </c>
    </row>
    <row r="59" spans="1:27" ht="15.75" customHeight="1" x14ac:dyDescent="0.25">
      <c r="A59" s="16" t="str">
        <f>CONCATENATE(G59,COUNTIF($G$14:G59,G59))</f>
        <v>VENTAS20</v>
      </c>
      <c r="B59" s="17" t="s">
        <v>110</v>
      </c>
      <c r="C59" s="17" t="s">
        <v>275</v>
      </c>
      <c r="D59" s="17">
        <v>6</v>
      </c>
      <c r="E59" s="17" t="s">
        <v>276</v>
      </c>
      <c r="F59" s="17" t="s">
        <v>276</v>
      </c>
      <c r="G59" s="17" t="s">
        <v>31</v>
      </c>
      <c r="H59" s="17" t="str">
        <f t="shared" si="15"/>
        <v>PROFESIONAL</v>
      </c>
      <c r="I59" s="30">
        <f t="shared" si="16"/>
        <v>2950000</v>
      </c>
      <c r="J59" s="16">
        <v>26</v>
      </c>
      <c r="K59" s="30">
        <f t="shared" si="5"/>
        <v>2556666.6666666665</v>
      </c>
      <c r="L59" s="36">
        <f>IF(I59&lt;='Valores Vigentes'!D$4*2,'Valores Vigentes'!$D$5/30*J59,0)</f>
        <v>0</v>
      </c>
      <c r="M59" s="36">
        <f t="shared" si="6"/>
        <v>38349.999999999993</v>
      </c>
      <c r="N59" s="36">
        <f t="shared" si="7"/>
        <v>89483.333333333343</v>
      </c>
      <c r="O59" s="36">
        <f t="shared" si="8"/>
        <v>63916.666666666664</v>
      </c>
      <c r="P59" s="16">
        <f t="shared" si="17"/>
        <v>33522.727272727272</v>
      </c>
      <c r="Q59" s="36">
        <f t="shared" si="18"/>
        <v>1</v>
      </c>
      <c r="R59" s="36">
        <f t="shared" si="9"/>
        <v>0</v>
      </c>
      <c r="S59" s="30">
        <f t="shared" si="10"/>
        <v>2748417.6666666665</v>
      </c>
      <c r="T59" s="30">
        <f>(S59-L59+M59-O59-R59)*'Valores Vigentes'!$D$6</f>
        <v>108914.04000000001</v>
      </c>
      <c r="U59" s="30">
        <f>(S59-L59+M59-O59-R59)*'Valores Vigentes'!$D$7</f>
        <v>108914.04000000001</v>
      </c>
      <c r="V59" s="36">
        <f>IF(I59&gt;'Valores Vigentes'!$D$4*4,I59*1%,0)</f>
        <v>0</v>
      </c>
      <c r="W59" s="36">
        <f t="shared" si="19"/>
        <v>0</v>
      </c>
      <c r="X59" s="36">
        <f t="shared" si="11"/>
        <v>88500</v>
      </c>
      <c r="Y59" s="36">
        <f t="shared" si="12"/>
        <v>54968.353333333333</v>
      </c>
      <c r="Z59" s="30">
        <f t="shared" si="13"/>
        <v>361296.43333333335</v>
      </c>
      <c r="AA59" s="30">
        <f t="shared" si="14"/>
        <v>2387121.2333333334</v>
      </c>
    </row>
    <row r="60" spans="1:27" ht="15.75" customHeight="1" x14ac:dyDescent="0.25">
      <c r="A60" s="16" t="str">
        <f>CONCATENATE(G60,COUNTIF($G$14:G60,G60))</f>
        <v>COMPRAS11</v>
      </c>
      <c r="B60" s="17" t="s">
        <v>111</v>
      </c>
      <c r="C60" s="17" t="s">
        <v>275</v>
      </c>
      <c r="D60" s="17">
        <v>7</v>
      </c>
      <c r="E60" s="17" t="s">
        <v>276</v>
      </c>
      <c r="F60" s="17" t="s">
        <v>276</v>
      </c>
      <c r="G60" s="17" t="s">
        <v>33</v>
      </c>
      <c r="H60" s="17" t="str">
        <f t="shared" si="15"/>
        <v>COORDINADOR</v>
      </c>
      <c r="I60" s="30">
        <f t="shared" si="16"/>
        <v>3250000</v>
      </c>
      <c r="J60" s="16">
        <v>30</v>
      </c>
      <c r="K60" s="30">
        <f t="shared" si="5"/>
        <v>3250000</v>
      </c>
      <c r="L60" s="36">
        <f>IF(I60&lt;='Valores Vigentes'!D$4*2,'Valores Vigentes'!$D$5/30*J60,0)</f>
        <v>0</v>
      </c>
      <c r="M60" s="36">
        <f t="shared" si="6"/>
        <v>81250</v>
      </c>
      <c r="N60" s="36">
        <f t="shared" si="7"/>
        <v>0</v>
      </c>
      <c r="O60" s="36">
        <f t="shared" si="8"/>
        <v>81250</v>
      </c>
      <c r="P60" s="16">
        <f t="shared" si="17"/>
        <v>590909.09090909082</v>
      </c>
      <c r="Q60" s="36">
        <f t="shared" si="18"/>
        <v>16</v>
      </c>
      <c r="R60" s="36">
        <f t="shared" si="9"/>
        <v>0</v>
      </c>
      <c r="S60" s="30">
        <f t="shared" si="10"/>
        <v>3412516</v>
      </c>
      <c r="T60" s="30">
        <f>(S60-L60+M60-O60-R60)*'Valores Vigentes'!$D$6</f>
        <v>136500.64000000001</v>
      </c>
      <c r="U60" s="30">
        <f>(S60-L60+M60-O60-R60)*'Valores Vigentes'!$D$7</f>
        <v>136500.64000000001</v>
      </c>
      <c r="V60" s="36">
        <f>IF(I60&gt;'Valores Vigentes'!$D$4*4,I60*1%,0)</f>
        <v>0</v>
      </c>
      <c r="W60" s="36">
        <f t="shared" si="19"/>
        <v>0</v>
      </c>
      <c r="X60" s="36">
        <f t="shared" si="11"/>
        <v>97500</v>
      </c>
      <c r="Y60" s="36">
        <f t="shared" si="12"/>
        <v>68250.320000000007</v>
      </c>
      <c r="Z60" s="30">
        <f t="shared" si="13"/>
        <v>438751.60000000003</v>
      </c>
      <c r="AA60" s="30">
        <f t="shared" si="14"/>
        <v>2973764.4</v>
      </c>
    </row>
    <row r="61" spans="1:27" ht="15.75" customHeight="1" x14ac:dyDescent="0.25">
      <c r="A61" s="16" t="str">
        <f>CONCATENATE(G61,COUNTIF($G$14:G61,G61))</f>
        <v>FINANCIERO2</v>
      </c>
      <c r="B61" s="17" t="s">
        <v>112</v>
      </c>
      <c r="C61" s="17" t="s">
        <v>278</v>
      </c>
      <c r="D61" s="17">
        <v>7</v>
      </c>
      <c r="E61" s="17" t="s">
        <v>276</v>
      </c>
      <c r="F61" s="17" t="s">
        <v>276</v>
      </c>
      <c r="G61" s="17" t="s">
        <v>43</v>
      </c>
      <c r="H61" s="17" t="str">
        <f t="shared" si="15"/>
        <v>COORDINADOR</v>
      </c>
      <c r="I61" s="30">
        <f t="shared" si="16"/>
        <v>3250000</v>
      </c>
      <c r="J61" s="16">
        <v>28</v>
      </c>
      <c r="K61" s="30">
        <f t="shared" si="5"/>
        <v>3033333.333333333</v>
      </c>
      <c r="L61" s="36">
        <f>IF(I61&lt;='Valores Vigentes'!D$4*2,'Valores Vigentes'!$D$5/30*J61,0)</f>
        <v>0</v>
      </c>
      <c r="M61" s="36">
        <f t="shared" si="6"/>
        <v>45499.999999999993</v>
      </c>
      <c r="N61" s="36">
        <f t="shared" si="7"/>
        <v>0</v>
      </c>
      <c r="O61" s="36">
        <f t="shared" si="8"/>
        <v>75833.333333333328</v>
      </c>
      <c r="P61" s="16">
        <f t="shared" si="17"/>
        <v>480113.63636363629</v>
      </c>
      <c r="Q61" s="36">
        <f t="shared" si="18"/>
        <v>13</v>
      </c>
      <c r="R61" s="36">
        <f t="shared" si="9"/>
        <v>0</v>
      </c>
      <c r="S61" s="30">
        <f t="shared" si="10"/>
        <v>3154679.6666666665</v>
      </c>
      <c r="T61" s="30">
        <f>(S61-L61+M61-O61-R61)*'Valores Vigentes'!$D$6</f>
        <v>124973.85333333332</v>
      </c>
      <c r="U61" s="30">
        <f>(S61-L61+M61-O61-R61)*'Valores Vigentes'!$D$7</f>
        <v>124973.85333333332</v>
      </c>
      <c r="V61" s="36">
        <f>IF(I61&gt;'Valores Vigentes'!$D$4*4,I61*1%,0)</f>
        <v>0</v>
      </c>
      <c r="W61" s="36">
        <f t="shared" si="19"/>
        <v>0</v>
      </c>
      <c r="X61" s="36">
        <f t="shared" si="11"/>
        <v>97500</v>
      </c>
      <c r="Y61" s="36">
        <f t="shared" si="12"/>
        <v>63093.593333333331</v>
      </c>
      <c r="Z61" s="30">
        <f t="shared" si="13"/>
        <v>410541.3</v>
      </c>
      <c r="AA61" s="30">
        <f t="shared" si="14"/>
        <v>2744138.3666666667</v>
      </c>
    </row>
    <row r="62" spans="1:27" ht="15.75" customHeight="1" x14ac:dyDescent="0.25">
      <c r="A62" s="16" t="str">
        <f>CONCATENATE(G62,COUNTIF($G$14:G62,G62))</f>
        <v>VENTAS21</v>
      </c>
      <c r="B62" s="17" t="s">
        <v>113</v>
      </c>
      <c r="C62" s="17" t="s">
        <v>278</v>
      </c>
      <c r="D62" s="17">
        <v>4</v>
      </c>
      <c r="E62" s="17" t="s">
        <v>277</v>
      </c>
      <c r="F62" s="17" t="s">
        <v>276</v>
      </c>
      <c r="G62" s="17" t="s">
        <v>31</v>
      </c>
      <c r="H62" s="17" t="str">
        <f t="shared" si="15"/>
        <v>TÉCNICO PROFESIONAL</v>
      </c>
      <c r="I62" s="30">
        <f t="shared" si="16"/>
        <v>2450000</v>
      </c>
      <c r="J62" s="16">
        <v>25</v>
      </c>
      <c r="K62" s="30">
        <f t="shared" si="5"/>
        <v>2041666.6666666667</v>
      </c>
      <c r="L62" s="36">
        <f>IF(I62&lt;='Valores Vigentes'!D$4*2,'Valores Vigentes'!$D$5/30*J62,0)</f>
        <v>166666.66666666669</v>
      </c>
      <c r="M62" s="36">
        <f t="shared" si="6"/>
        <v>30625</v>
      </c>
      <c r="N62" s="36">
        <f t="shared" si="7"/>
        <v>71458.333333333343</v>
      </c>
      <c r="O62" s="36">
        <f t="shared" si="8"/>
        <v>30625</v>
      </c>
      <c r="P62" s="16">
        <f t="shared" si="17"/>
        <v>278409.09090909088</v>
      </c>
      <c r="Q62" s="36">
        <f t="shared" si="18"/>
        <v>10</v>
      </c>
      <c r="R62" s="36">
        <f t="shared" si="9"/>
        <v>0</v>
      </c>
      <c r="S62" s="30">
        <f t="shared" si="10"/>
        <v>2341051.666666667</v>
      </c>
      <c r="T62" s="30">
        <f>(S62-L62+M62-O62-R62)*'Valores Vigentes'!$D$6</f>
        <v>86975.400000000023</v>
      </c>
      <c r="U62" s="30">
        <f>(S62-L62+M62-O62-R62)*'Valores Vigentes'!$D$7</f>
        <v>86975.400000000023</v>
      </c>
      <c r="V62" s="36">
        <f>IF(I62&gt;'Valores Vigentes'!$D$4*4,I62*1%,0)</f>
        <v>0</v>
      </c>
      <c r="W62" s="36">
        <f t="shared" si="19"/>
        <v>0</v>
      </c>
      <c r="X62" s="36">
        <f t="shared" si="11"/>
        <v>0</v>
      </c>
      <c r="Y62" s="36">
        <f t="shared" si="12"/>
        <v>46821.03333333334</v>
      </c>
      <c r="Z62" s="30">
        <f t="shared" si="13"/>
        <v>220771.83333333337</v>
      </c>
      <c r="AA62" s="30">
        <f t="shared" si="14"/>
        <v>2120279.8333333335</v>
      </c>
    </row>
    <row r="63" spans="1:27" ht="15.75" customHeight="1" x14ac:dyDescent="0.25">
      <c r="A63" s="16" t="str">
        <f>CONCATENATE(G63,COUNTIF($G$14:G63,G63))</f>
        <v>VENTAS22</v>
      </c>
      <c r="B63" s="17" t="s">
        <v>114</v>
      </c>
      <c r="C63" s="17" t="s">
        <v>278</v>
      </c>
      <c r="D63" s="17">
        <v>8</v>
      </c>
      <c r="E63" s="17" t="s">
        <v>276</v>
      </c>
      <c r="F63" s="17" t="s">
        <v>277</v>
      </c>
      <c r="G63" s="17" t="s">
        <v>31</v>
      </c>
      <c r="H63" s="17" t="str">
        <f t="shared" si="15"/>
        <v>ASESOR</v>
      </c>
      <c r="I63" s="30">
        <f t="shared" si="16"/>
        <v>3900000</v>
      </c>
      <c r="J63" s="16">
        <v>28</v>
      </c>
      <c r="K63" s="30">
        <f t="shared" si="5"/>
        <v>3640000</v>
      </c>
      <c r="L63" s="36">
        <f>IF(I63&lt;='Valores Vigentes'!D$4*2,'Valores Vigentes'!$D$5/30*J63,0)</f>
        <v>0</v>
      </c>
      <c r="M63" s="36">
        <f t="shared" si="6"/>
        <v>54600</v>
      </c>
      <c r="N63" s="36">
        <f t="shared" si="7"/>
        <v>127400.00000000001</v>
      </c>
      <c r="O63" s="36">
        <f t="shared" si="8"/>
        <v>54600</v>
      </c>
      <c r="P63" s="16">
        <f t="shared" si="17"/>
        <v>88636.363636363647</v>
      </c>
      <c r="Q63" s="36">
        <f t="shared" si="18"/>
        <v>2</v>
      </c>
      <c r="R63" s="36">
        <f t="shared" si="9"/>
        <v>0</v>
      </c>
      <c r="S63" s="30">
        <f t="shared" si="10"/>
        <v>3876602</v>
      </c>
      <c r="T63" s="30">
        <f>(S63-L63+M63-O63-R63)*'Valores Vigentes'!$D$6</f>
        <v>155064.08000000002</v>
      </c>
      <c r="U63" s="30">
        <f>(S63-L63+M63-O63-R63)*'Valores Vigentes'!$D$7</f>
        <v>155064.08000000002</v>
      </c>
      <c r="V63" s="36">
        <f>IF(I63&gt;'Valores Vigentes'!$D$4*4,I63*1%,0)</f>
        <v>0</v>
      </c>
      <c r="W63" s="36">
        <f t="shared" si="19"/>
        <v>0</v>
      </c>
      <c r="X63" s="36">
        <f t="shared" si="11"/>
        <v>117000</v>
      </c>
      <c r="Y63" s="36">
        <f t="shared" si="12"/>
        <v>0</v>
      </c>
      <c r="Z63" s="30">
        <f t="shared" si="13"/>
        <v>427128.16000000003</v>
      </c>
      <c r="AA63" s="30">
        <f t="shared" si="14"/>
        <v>3449473.84</v>
      </c>
    </row>
    <row r="64" spans="1:27" ht="15.75" customHeight="1" x14ac:dyDescent="0.25">
      <c r="A64" s="16" t="str">
        <f>CONCATENATE(G64,COUNTIF($G$14:G64,G64))</f>
        <v>ADMON7</v>
      </c>
      <c r="B64" s="17" t="s">
        <v>115</v>
      </c>
      <c r="C64" s="17" t="s">
        <v>275</v>
      </c>
      <c r="D64" s="17">
        <v>6</v>
      </c>
      <c r="E64" s="17" t="s">
        <v>276</v>
      </c>
      <c r="F64" s="17" t="s">
        <v>276</v>
      </c>
      <c r="G64" s="17" t="s">
        <v>35</v>
      </c>
      <c r="H64" s="17" t="str">
        <f t="shared" si="15"/>
        <v>PROFESIONAL</v>
      </c>
      <c r="I64" s="30">
        <f t="shared" si="16"/>
        <v>2950000</v>
      </c>
      <c r="J64" s="16">
        <v>29</v>
      </c>
      <c r="K64" s="30">
        <f t="shared" si="5"/>
        <v>2851666.6666666665</v>
      </c>
      <c r="L64" s="36">
        <f>IF(I64&lt;='Valores Vigentes'!D$4*2,'Valores Vigentes'!$D$5/30*J64,0)</f>
        <v>0</v>
      </c>
      <c r="M64" s="36">
        <f t="shared" si="6"/>
        <v>42774.999999999993</v>
      </c>
      <c r="N64" s="36">
        <f t="shared" si="7"/>
        <v>0</v>
      </c>
      <c r="O64" s="36">
        <f t="shared" si="8"/>
        <v>71291.666666666672</v>
      </c>
      <c r="P64" s="16">
        <f t="shared" si="17"/>
        <v>905113.63636363635</v>
      </c>
      <c r="Q64" s="36">
        <f t="shared" si="18"/>
        <v>27</v>
      </c>
      <c r="R64" s="36">
        <f t="shared" si="9"/>
        <v>0</v>
      </c>
      <c r="S64" s="30">
        <f t="shared" si="10"/>
        <v>2965760.333333333</v>
      </c>
      <c r="T64" s="30">
        <f>(S64-L64+M64-O64-R64)*'Valores Vigentes'!$D$6</f>
        <v>117489.74666666666</v>
      </c>
      <c r="U64" s="30">
        <f>(S64-L64+M64-O64-R64)*'Valores Vigentes'!$D$7</f>
        <v>117489.74666666666</v>
      </c>
      <c r="V64" s="36">
        <f>IF(I64&gt;'Valores Vigentes'!$D$4*4,I64*1%,0)</f>
        <v>0</v>
      </c>
      <c r="W64" s="36">
        <f t="shared" si="19"/>
        <v>0</v>
      </c>
      <c r="X64" s="36">
        <f t="shared" si="11"/>
        <v>88500</v>
      </c>
      <c r="Y64" s="36">
        <f t="shared" si="12"/>
        <v>59315.206666666665</v>
      </c>
      <c r="Z64" s="30">
        <f t="shared" si="13"/>
        <v>382794.69999999995</v>
      </c>
      <c r="AA64" s="30">
        <f t="shared" si="14"/>
        <v>2582965.6333333328</v>
      </c>
    </row>
    <row r="65" spans="1:27" ht="15.75" customHeight="1" x14ac:dyDescent="0.25">
      <c r="A65" s="16" t="str">
        <f>CONCATENATE(G65,COUNTIF($G$14:G65,G65))</f>
        <v>JURIDICA3</v>
      </c>
      <c r="B65" s="17" t="s">
        <v>116</v>
      </c>
      <c r="C65" s="17" t="s">
        <v>275</v>
      </c>
      <c r="D65" s="17">
        <v>4</v>
      </c>
      <c r="E65" s="17" t="s">
        <v>276</v>
      </c>
      <c r="F65" s="17" t="s">
        <v>276</v>
      </c>
      <c r="G65" s="17" t="s">
        <v>41</v>
      </c>
      <c r="H65" s="17" t="str">
        <f t="shared" si="15"/>
        <v>TÉCNICO PROFESIONAL</v>
      </c>
      <c r="I65" s="30">
        <f t="shared" si="16"/>
        <v>2450000</v>
      </c>
      <c r="J65" s="16">
        <v>25</v>
      </c>
      <c r="K65" s="30">
        <f t="shared" si="5"/>
        <v>2041666.6666666667</v>
      </c>
      <c r="L65" s="36">
        <f>IF(I65&lt;='Valores Vigentes'!D$4*2,'Valores Vigentes'!$D$5/30*J65,0)</f>
        <v>166666.66666666669</v>
      </c>
      <c r="M65" s="36">
        <f t="shared" si="6"/>
        <v>30625</v>
      </c>
      <c r="N65" s="36">
        <f t="shared" si="7"/>
        <v>0</v>
      </c>
      <c r="O65" s="36">
        <f t="shared" si="8"/>
        <v>51041.666666666672</v>
      </c>
      <c r="P65" s="16">
        <f t="shared" si="17"/>
        <v>528977.27272727271</v>
      </c>
      <c r="Q65" s="36">
        <f t="shared" si="18"/>
        <v>19</v>
      </c>
      <c r="R65" s="36">
        <f t="shared" si="9"/>
        <v>0</v>
      </c>
      <c r="S65" s="30">
        <f t="shared" si="10"/>
        <v>2290019</v>
      </c>
      <c r="T65" s="30">
        <f>(S65-L65+M65-O65-R65)*'Valores Vigentes'!$D$6</f>
        <v>84117.426666666681</v>
      </c>
      <c r="U65" s="30">
        <f>(S65-L65+M65-O65-R65)*'Valores Vigentes'!$D$7</f>
        <v>84117.426666666681</v>
      </c>
      <c r="V65" s="36">
        <f>IF(I65&gt;'Valores Vigentes'!$D$4*4,I65*1%,0)</f>
        <v>0</v>
      </c>
      <c r="W65" s="36">
        <f t="shared" si="19"/>
        <v>0</v>
      </c>
      <c r="X65" s="36">
        <f t="shared" si="11"/>
        <v>73500</v>
      </c>
      <c r="Y65" s="36">
        <f t="shared" si="12"/>
        <v>45800.38</v>
      </c>
      <c r="Z65" s="30">
        <f t="shared" si="13"/>
        <v>287535.23333333334</v>
      </c>
      <c r="AA65" s="30">
        <f t="shared" si="14"/>
        <v>2002483.7666666666</v>
      </c>
    </row>
    <row r="66" spans="1:27" ht="15.75" customHeight="1" x14ac:dyDescent="0.25">
      <c r="A66" s="16" t="str">
        <f>CONCATENATE(G66,COUNTIF($G$14:G66,G66))</f>
        <v>VENTAS23</v>
      </c>
      <c r="B66" s="17" t="s">
        <v>117</v>
      </c>
      <c r="C66" s="17" t="s">
        <v>278</v>
      </c>
      <c r="D66" s="17">
        <v>3</v>
      </c>
      <c r="E66" s="17" t="s">
        <v>276</v>
      </c>
      <c r="F66" s="17" t="s">
        <v>276</v>
      </c>
      <c r="G66" s="17" t="s">
        <v>31</v>
      </c>
      <c r="H66" s="17" t="str">
        <f t="shared" si="15"/>
        <v>SECRETARIAS</v>
      </c>
      <c r="I66" s="30">
        <f t="shared" si="16"/>
        <v>1813000</v>
      </c>
      <c r="J66" s="16">
        <v>26</v>
      </c>
      <c r="K66" s="30">
        <f t="shared" si="5"/>
        <v>1571266.6666666667</v>
      </c>
      <c r="L66" s="36">
        <f>IF(I66&lt;='Valores Vigentes'!D$4*2,'Valores Vigentes'!$D$5/30*J66,0)</f>
        <v>173333.33333333334</v>
      </c>
      <c r="M66" s="36">
        <f t="shared" si="6"/>
        <v>23569</v>
      </c>
      <c r="N66" s="36">
        <f t="shared" si="7"/>
        <v>54994.333333333343</v>
      </c>
      <c r="O66" s="36">
        <f t="shared" si="8"/>
        <v>39281.666666666672</v>
      </c>
      <c r="P66" s="16">
        <f t="shared" si="17"/>
        <v>123613.63636363635</v>
      </c>
      <c r="Q66" s="36">
        <f t="shared" si="18"/>
        <v>6</v>
      </c>
      <c r="R66" s="36">
        <f t="shared" si="9"/>
        <v>0</v>
      </c>
      <c r="S66" s="30">
        <f t="shared" si="10"/>
        <v>1862451</v>
      </c>
      <c r="T66" s="30">
        <f>(S66-L66+M66-O66-R66)*'Valores Vigentes'!$D$6</f>
        <v>66936.2</v>
      </c>
      <c r="U66" s="30">
        <f>(S66-L66+M66-O66-R66)*'Valores Vigentes'!$D$7</f>
        <v>66936.2</v>
      </c>
      <c r="V66" s="36">
        <f>IF(I66&gt;'Valores Vigentes'!$D$4*4,I66*1%,0)</f>
        <v>0</v>
      </c>
      <c r="W66" s="36">
        <f t="shared" si="19"/>
        <v>0</v>
      </c>
      <c r="X66" s="36">
        <f t="shared" si="11"/>
        <v>54390</v>
      </c>
      <c r="Y66" s="36">
        <f t="shared" si="12"/>
        <v>37249.020000000004</v>
      </c>
      <c r="Z66" s="30">
        <f t="shared" si="13"/>
        <v>225511.41999999998</v>
      </c>
      <c r="AA66" s="30">
        <f t="shared" si="14"/>
        <v>1636939.58</v>
      </c>
    </row>
    <row r="67" spans="1:27" ht="15.75" customHeight="1" x14ac:dyDescent="0.25">
      <c r="A67" s="16" t="str">
        <f>CONCATENATE(G67,COUNTIF($G$14:G67,G67))</f>
        <v>VENTAS24</v>
      </c>
      <c r="B67" s="17" t="s">
        <v>118</v>
      </c>
      <c r="C67" s="17" t="s">
        <v>278</v>
      </c>
      <c r="D67" s="17">
        <v>2</v>
      </c>
      <c r="E67" s="17" t="s">
        <v>277</v>
      </c>
      <c r="F67" s="17" t="s">
        <v>277</v>
      </c>
      <c r="G67" s="17" t="s">
        <v>31</v>
      </c>
      <c r="H67" s="17" t="str">
        <f t="shared" si="15"/>
        <v>ASISTENTES</v>
      </c>
      <c r="I67" s="30">
        <f t="shared" si="16"/>
        <v>1626000</v>
      </c>
      <c r="J67" s="16">
        <v>26</v>
      </c>
      <c r="K67" s="30">
        <f t="shared" si="5"/>
        <v>1409200</v>
      </c>
      <c r="L67" s="36">
        <f>IF(I67&lt;='Valores Vigentes'!D$4*2,'Valores Vigentes'!$D$5/30*J67,0)</f>
        <v>173333.33333333334</v>
      </c>
      <c r="M67" s="36">
        <f t="shared" si="6"/>
        <v>21138</v>
      </c>
      <c r="N67" s="36">
        <f t="shared" si="7"/>
        <v>49322.000000000007</v>
      </c>
      <c r="O67" s="36">
        <f t="shared" si="8"/>
        <v>14092</v>
      </c>
      <c r="P67" s="16">
        <f t="shared" si="17"/>
        <v>388022.72727272729</v>
      </c>
      <c r="Q67" s="36">
        <f t="shared" si="18"/>
        <v>21</v>
      </c>
      <c r="R67" s="36">
        <f t="shared" si="9"/>
        <v>0</v>
      </c>
      <c r="S67" s="30">
        <f t="shared" si="10"/>
        <v>1667106.3333333333</v>
      </c>
      <c r="T67" s="30">
        <f>(S67-L67+M67-O67-R67)*'Valores Vigentes'!$D$6</f>
        <v>60032.76</v>
      </c>
      <c r="U67" s="30">
        <f>(S67-L67+M67-O67-R67)*'Valores Vigentes'!$D$7</f>
        <v>60032.76</v>
      </c>
      <c r="V67" s="36">
        <f>IF(I67&gt;'Valores Vigentes'!$D$4*4,I67*1%,0)</f>
        <v>0</v>
      </c>
      <c r="W67" s="36">
        <f t="shared" si="19"/>
        <v>0</v>
      </c>
      <c r="X67" s="36">
        <f t="shared" si="11"/>
        <v>0</v>
      </c>
      <c r="Y67" s="36">
        <f t="shared" si="12"/>
        <v>0</v>
      </c>
      <c r="Z67" s="30">
        <f t="shared" si="13"/>
        <v>120065.52</v>
      </c>
      <c r="AA67" s="30">
        <f t="shared" si="14"/>
        <v>1547040.8133333332</v>
      </c>
    </row>
    <row r="68" spans="1:27" ht="15.75" customHeight="1" x14ac:dyDescent="0.25">
      <c r="A68" s="16" t="str">
        <f>CONCATENATE(G68,COUNTIF($G$14:G68,G68))</f>
        <v>FACTURACION3</v>
      </c>
      <c r="B68" s="17" t="s">
        <v>119</v>
      </c>
      <c r="C68" s="17" t="s">
        <v>278</v>
      </c>
      <c r="D68" s="17">
        <v>8</v>
      </c>
      <c r="E68" s="17" t="s">
        <v>276</v>
      </c>
      <c r="F68" s="17" t="s">
        <v>276</v>
      </c>
      <c r="G68" s="17" t="s">
        <v>39</v>
      </c>
      <c r="H68" s="17" t="str">
        <f t="shared" si="15"/>
        <v>ASESOR</v>
      </c>
      <c r="I68" s="30">
        <f t="shared" si="16"/>
        <v>3900000</v>
      </c>
      <c r="J68" s="16">
        <v>28</v>
      </c>
      <c r="K68" s="30">
        <f t="shared" si="5"/>
        <v>3640000</v>
      </c>
      <c r="L68" s="36">
        <f>IF(I68&lt;='Valores Vigentes'!D$4*2,'Valores Vigentes'!$D$5/30*J68,0)</f>
        <v>0</v>
      </c>
      <c r="M68" s="36">
        <f t="shared" si="6"/>
        <v>54600</v>
      </c>
      <c r="N68" s="36">
        <f t="shared" si="7"/>
        <v>0</v>
      </c>
      <c r="O68" s="36">
        <f t="shared" si="8"/>
        <v>91000</v>
      </c>
      <c r="P68" s="16">
        <f t="shared" si="17"/>
        <v>398863.63636363641</v>
      </c>
      <c r="Q68" s="36">
        <f t="shared" si="18"/>
        <v>9</v>
      </c>
      <c r="R68" s="36">
        <f t="shared" si="9"/>
        <v>0</v>
      </c>
      <c r="S68" s="30">
        <f t="shared" si="10"/>
        <v>3785609</v>
      </c>
      <c r="T68" s="30">
        <f>(S68-L68+M68-O68-R68)*'Valores Vigentes'!$D$6</f>
        <v>149968.36000000002</v>
      </c>
      <c r="U68" s="30">
        <f>(S68-L68+M68-O68-R68)*'Valores Vigentes'!$D$7</f>
        <v>149968.36000000002</v>
      </c>
      <c r="V68" s="36">
        <f>IF(I68&gt;'Valores Vigentes'!$D$4*4,I68*1%,0)</f>
        <v>0</v>
      </c>
      <c r="W68" s="36">
        <f t="shared" si="19"/>
        <v>0</v>
      </c>
      <c r="X68" s="36">
        <f t="shared" si="11"/>
        <v>117000</v>
      </c>
      <c r="Y68" s="36">
        <f t="shared" si="12"/>
        <v>75712.180000000008</v>
      </c>
      <c r="Z68" s="30">
        <f t="shared" si="13"/>
        <v>492648.9</v>
      </c>
      <c r="AA68" s="30">
        <f t="shared" si="14"/>
        <v>3292960.1</v>
      </c>
    </row>
    <row r="69" spans="1:27" ht="15.75" customHeight="1" x14ac:dyDescent="0.25">
      <c r="A69" s="16" t="str">
        <f>CONCATENATE(G69,COUNTIF($G$14:G69,G69))</f>
        <v>PERSONAL1</v>
      </c>
      <c r="B69" s="17" t="s">
        <v>120</v>
      </c>
      <c r="C69" s="17" t="s">
        <v>278</v>
      </c>
      <c r="D69" s="17">
        <v>6</v>
      </c>
      <c r="E69" s="17" t="s">
        <v>276</v>
      </c>
      <c r="F69" s="17" t="s">
        <v>276</v>
      </c>
      <c r="G69" s="17" t="s">
        <v>45</v>
      </c>
      <c r="H69" s="17" t="str">
        <f t="shared" si="15"/>
        <v>PROFESIONAL</v>
      </c>
      <c r="I69" s="30">
        <f t="shared" si="16"/>
        <v>2950000</v>
      </c>
      <c r="J69" s="16">
        <v>26</v>
      </c>
      <c r="K69" s="30">
        <f t="shared" si="5"/>
        <v>2556666.6666666665</v>
      </c>
      <c r="L69" s="36">
        <f>IF(I69&lt;='Valores Vigentes'!D$4*2,'Valores Vigentes'!$D$5/30*J69,0)</f>
        <v>0</v>
      </c>
      <c r="M69" s="36">
        <f t="shared" si="6"/>
        <v>38349.999999999993</v>
      </c>
      <c r="N69" s="36">
        <f t="shared" si="7"/>
        <v>0</v>
      </c>
      <c r="O69" s="36">
        <f t="shared" si="8"/>
        <v>63916.666666666664</v>
      </c>
      <c r="P69" s="16">
        <f t="shared" si="17"/>
        <v>100568.18181818182</v>
      </c>
      <c r="Q69" s="36">
        <f t="shared" si="18"/>
        <v>3</v>
      </c>
      <c r="R69" s="36">
        <f t="shared" si="9"/>
        <v>0</v>
      </c>
      <c r="S69" s="30">
        <f t="shared" si="10"/>
        <v>2658936.333333333</v>
      </c>
      <c r="T69" s="30">
        <f>(S69-L69+M69-O69-R69)*'Valores Vigentes'!$D$6</f>
        <v>105334.78666666667</v>
      </c>
      <c r="U69" s="30">
        <f>(S69-L69+M69-O69-R69)*'Valores Vigentes'!$D$7</f>
        <v>105334.78666666667</v>
      </c>
      <c r="V69" s="36">
        <f>IF(I69&gt;'Valores Vigentes'!$D$4*4,I69*1%,0)</f>
        <v>0</v>
      </c>
      <c r="W69" s="36">
        <f t="shared" si="19"/>
        <v>0</v>
      </c>
      <c r="X69" s="36">
        <f t="shared" si="11"/>
        <v>88500</v>
      </c>
      <c r="Y69" s="36">
        <f t="shared" si="12"/>
        <v>53178.726666666662</v>
      </c>
      <c r="Z69" s="30">
        <f t="shared" si="13"/>
        <v>352348.30000000005</v>
      </c>
      <c r="AA69" s="30">
        <f t="shared" si="14"/>
        <v>2306588.0333333332</v>
      </c>
    </row>
    <row r="70" spans="1:27" ht="15.75" customHeight="1" x14ac:dyDescent="0.25">
      <c r="A70" s="16" t="str">
        <f>CONCATENATE(G70,COUNTIF($G$14:G70,G70))</f>
        <v>VENTAS25</v>
      </c>
      <c r="B70" s="17" t="s">
        <v>121</v>
      </c>
      <c r="C70" s="17" t="s">
        <v>275</v>
      </c>
      <c r="D70" s="17">
        <v>5</v>
      </c>
      <c r="E70" s="17" t="s">
        <v>276</v>
      </c>
      <c r="F70" s="17" t="s">
        <v>277</v>
      </c>
      <c r="G70" s="17" t="s">
        <v>31</v>
      </c>
      <c r="H70" s="17" t="str">
        <f t="shared" si="15"/>
        <v>ASESOR VENTAS</v>
      </c>
      <c r="I70" s="30">
        <f t="shared" si="16"/>
        <v>2650000</v>
      </c>
      <c r="J70" s="16">
        <v>29</v>
      </c>
      <c r="K70" s="30">
        <f t="shared" si="5"/>
        <v>2561666.6666666665</v>
      </c>
      <c r="L70" s="36">
        <f>IF(I70&lt;='Valores Vigentes'!D$4*2,'Valores Vigentes'!$D$5/30*J70,0)</f>
        <v>193333.33333333334</v>
      </c>
      <c r="M70" s="36">
        <f t="shared" si="6"/>
        <v>38424.999999999993</v>
      </c>
      <c r="N70" s="36">
        <f t="shared" si="7"/>
        <v>89658.333333333343</v>
      </c>
      <c r="O70" s="36">
        <f t="shared" si="8"/>
        <v>38424.999999999993</v>
      </c>
      <c r="P70" s="16">
        <f t="shared" si="17"/>
        <v>722727.27272727271</v>
      </c>
      <c r="Q70" s="36">
        <f t="shared" si="18"/>
        <v>24</v>
      </c>
      <c r="R70" s="36">
        <f t="shared" si="9"/>
        <v>0</v>
      </c>
      <c r="S70" s="30">
        <f t="shared" si="10"/>
        <v>2921532.333333334</v>
      </c>
      <c r="T70" s="30">
        <f>(S70-L70+M70-O70-R70)*'Valores Vigentes'!$D$6</f>
        <v>109127.96000000002</v>
      </c>
      <c r="U70" s="30">
        <f>(S70-L70+M70-O70-R70)*'Valores Vigentes'!$D$7</f>
        <v>109127.96000000002</v>
      </c>
      <c r="V70" s="36">
        <f>IF(I70&gt;'Valores Vigentes'!$D$4*4,I70*1%,0)</f>
        <v>0</v>
      </c>
      <c r="W70" s="36">
        <f t="shared" si="19"/>
        <v>0</v>
      </c>
      <c r="X70" s="36">
        <f t="shared" si="11"/>
        <v>79500</v>
      </c>
      <c r="Y70" s="36">
        <f t="shared" si="12"/>
        <v>0</v>
      </c>
      <c r="Z70" s="30">
        <f t="shared" si="13"/>
        <v>297755.92000000004</v>
      </c>
      <c r="AA70" s="30">
        <f t="shared" si="14"/>
        <v>2623776.413333334</v>
      </c>
    </row>
    <row r="71" spans="1:27" ht="15.75" customHeight="1" x14ac:dyDescent="0.25">
      <c r="A71" s="16" t="str">
        <f>CONCATENATE(G71,COUNTIF($G$14:G71,G71))</f>
        <v>VENTAS26</v>
      </c>
      <c r="B71" s="17" t="s">
        <v>122</v>
      </c>
      <c r="C71" s="17" t="s">
        <v>278</v>
      </c>
      <c r="D71" s="17">
        <v>8</v>
      </c>
      <c r="E71" s="17" t="s">
        <v>276</v>
      </c>
      <c r="F71" s="17" t="s">
        <v>276</v>
      </c>
      <c r="G71" s="17" t="s">
        <v>31</v>
      </c>
      <c r="H71" s="17" t="str">
        <f t="shared" si="15"/>
        <v>ASESOR</v>
      </c>
      <c r="I71" s="30">
        <f t="shared" si="16"/>
        <v>3900000</v>
      </c>
      <c r="J71" s="16">
        <v>28</v>
      </c>
      <c r="K71" s="30">
        <f t="shared" si="5"/>
        <v>3640000</v>
      </c>
      <c r="L71" s="36">
        <f>IF(I71&lt;='Valores Vigentes'!D$4*2,'Valores Vigentes'!$D$5/30*J71,0)</f>
        <v>0</v>
      </c>
      <c r="M71" s="36">
        <f t="shared" si="6"/>
        <v>54600</v>
      </c>
      <c r="N71" s="36">
        <f t="shared" si="7"/>
        <v>127400.00000000001</v>
      </c>
      <c r="O71" s="36">
        <f t="shared" si="8"/>
        <v>91000</v>
      </c>
      <c r="P71" s="16">
        <f t="shared" si="17"/>
        <v>443181.81818181823</v>
      </c>
      <c r="Q71" s="36">
        <f t="shared" si="18"/>
        <v>10</v>
      </c>
      <c r="R71" s="36">
        <f t="shared" si="9"/>
        <v>0</v>
      </c>
      <c r="S71" s="30">
        <f t="shared" si="10"/>
        <v>3913010</v>
      </c>
      <c r="T71" s="30">
        <f>(S71-L71+M71-O71-R71)*'Valores Vigentes'!$D$6</f>
        <v>155064.4</v>
      </c>
      <c r="U71" s="30">
        <f>(S71-L71+M71-O71-R71)*'Valores Vigentes'!$D$7</f>
        <v>155064.4</v>
      </c>
      <c r="V71" s="36">
        <f>IF(I71&gt;'Valores Vigentes'!$D$4*4,I71*1%,0)</f>
        <v>0</v>
      </c>
      <c r="W71" s="36">
        <f t="shared" si="19"/>
        <v>65000</v>
      </c>
      <c r="X71" s="36">
        <f t="shared" si="11"/>
        <v>117000</v>
      </c>
      <c r="Y71" s="36">
        <f t="shared" si="12"/>
        <v>78260.2</v>
      </c>
      <c r="Z71" s="30">
        <f t="shared" si="13"/>
        <v>570389</v>
      </c>
      <c r="AA71" s="30">
        <f t="shared" si="14"/>
        <v>3342621</v>
      </c>
    </row>
    <row r="72" spans="1:27" ht="15.75" customHeight="1" x14ac:dyDescent="0.25">
      <c r="A72" s="16" t="str">
        <f>CONCATENATE(G72,COUNTIF($G$14:G72,G72))</f>
        <v>ADMON8</v>
      </c>
      <c r="B72" s="17" t="s">
        <v>123</v>
      </c>
      <c r="C72" s="17" t="s">
        <v>278</v>
      </c>
      <c r="D72" s="17">
        <v>1</v>
      </c>
      <c r="E72" s="17" t="s">
        <v>276</v>
      </c>
      <c r="F72" s="17" t="s">
        <v>276</v>
      </c>
      <c r="G72" s="17" t="s">
        <v>35</v>
      </c>
      <c r="H72" s="17" t="str">
        <f t="shared" si="15"/>
        <v>AUXILIAR ADMON</v>
      </c>
      <c r="I72" s="30">
        <f t="shared" si="16"/>
        <v>1423500</v>
      </c>
      <c r="J72" s="16">
        <v>25</v>
      </c>
      <c r="K72" s="30">
        <f t="shared" si="5"/>
        <v>1186250</v>
      </c>
      <c r="L72" s="36">
        <f>IF(I72&lt;='Valores Vigentes'!D$4*2,'Valores Vigentes'!$D$5/30*J72,0)</f>
        <v>166666.66666666669</v>
      </c>
      <c r="M72" s="36">
        <f t="shared" si="6"/>
        <v>17793.75</v>
      </c>
      <c r="N72" s="36">
        <f t="shared" si="7"/>
        <v>0</v>
      </c>
      <c r="O72" s="36">
        <f t="shared" si="8"/>
        <v>29656.25</v>
      </c>
      <c r="P72" s="16">
        <f t="shared" si="17"/>
        <v>194113.63636363635</v>
      </c>
      <c r="Q72" s="36">
        <f t="shared" si="18"/>
        <v>12</v>
      </c>
      <c r="R72" s="36">
        <f t="shared" si="9"/>
        <v>0</v>
      </c>
      <c r="S72" s="30">
        <f t="shared" si="10"/>
        <v>1400378.666666667</v>
      </c>
      <c r="T72" s="30">
        <f>(S72-L72+M72-O72-R72)*'Valores Vigentes'!$D$6</f>
        <v>48873.98000000001</v>
      </c>
      <c r="U72" s="30">
        <f>(S72-L72+M72-O72-R72)*'Valores Vigentes'!$D$7</f>
        <v>48873.98000000001</v>
      </c>
      <c r="V72" s="36">
        <f>IF(I72&gt;'Valores Vigentes'!$D$4*4,I72*1%,0)</f>
        <v>0</v>
      </c>
      <c r="W72" s="36">
        <f t="shared" si="19"/>
        <v>0</v>
      </c>
      <c r="X72" s="36">
        <f t="shared" si="11"/>
        <v>42705</v>
      </c>
      <c r="Y72" s="36">
        <f t="shared" si="12"/>
        <v>28007.573333333341</v>
      </c>
      <c r="Z72" s="30">
        <f t="shared" si="13"/>
        <v>168460.53333333335</v>
      </c>
      <c r="AA72" s="30">
        <f t="shared" si="14"/>
        <v>1231918.1333333335</v>
      </c>
    </row>
    <row r="73" spans="1:27" ht="15.75" customHeight="1" x14ac:dyDescent="0.25">
      <c r="A73" s="16" t="str">
        <f>CONCATENATE(G73,COUNTIF($G$14:G73,G73))</f>
        <v>MERCADEO5</v>
      </c>
      <c r="B73" s="17" t="s">
        <v>124</v>
      </c>
      <c r="C73" s="17" t="s">
        <v>275</v>
      </c>
      <c r="D73" s="17">
        <v>4</v>
      </c>
      <c r="E73" s="17" t="s">
        <v>277</v>
      </c>
      <c r="F73" s="17" t="s">
        <v>276</v>
      </c>
      <c r="G73" s="17" t="s">
        <v>37</v>
      </c>
      <c r="H73" s="17" t="str">
        <f t="shared" si="15"/>
        <v>TÉCNICO PROFESIONAL</v>
      </c>
      <c r="I73" s="30">
        <f t="shared" si="16"/>
        <v>2450000</v>
      </c>
      <c r="J73" s="16">
        <v>28</v>
      </c>
      <c r="K73" s="30">
        <f t="shared" si="5"/>
        <v>2286666.666666667</v>
      </c>
      <c r="L73" s="36">
        <f>IF(I73&lt;='Valores Vigentes'!D$4*2,'Valores Vigentes'!$D$5/30*J73,0)</f>
        <v>186666.66666666669</v>
      </c>
      <c r="M73" s="36">
        <f t="shared" si="6"/>
        <v>34300</v>
      </c>
      <c r="N73" s="36">
        <f t="shared" si="7"/>
        <v>0</v>
      </c>
      <c r="O73" s="36">
        <f t="shared" si="8"/>
        <v>34300</v>
      </c>
      <c r="P73" s="16">
        <f t="shared" si="17"/>
        <v>696022.72727272718</v>
      </c>
      <c r="Q73" s="36">
        <f t="shared" si="18"/>
        <v>25</v>
      </c>
      <c r="R73" s="36">
        <f t="shared" si="9"/>
        <v>0</v>
      </c>
      <c r="S73" s="30">
        <f t="shared" si="10"/>
        <v>2541958.3333333335</v>
      </c>
      <c r="T73" s="30">
        <f>(S73-L73+M73-O73-R73)*'Valores Vigentes'!$D$6</f>
        <v>94211.666666666686</v>
      </c>
      <c r="U73" s="30">
        <f>(S73-L73+M73-O73-R73)*'Valores Vigentes'!$D$7</f>
        <v>94211.666666666686</v>
      </c>
      <c r="V73" s="36">
        <f>IF(I73&gt;'Valores Vigentes'!$D$4*4,I73*1%,0)</f>
        <v>0</v>
      </c>
      <c r="W73" s="36">
        <f t="shared" si="19"/>
        <v>0</v>
      </c>
      <c r="X73" s="36">
        <f t="shared" si="11"/>
        <v>0</v>
      </c>
      <c r="Y73" s="36">
        <f t="shared" si="12"/>
        <v>50839.166666666672</v>
      </c>
      <c r="Z73" s="30">
        <f t="shared" si="13"/>
        <v>239262.50000000006</v>
      </c>
      <c r="AA73" s="30">
        <f t="shared" si="14"/>
        <v>2302695.8333333335</v>
      </c>
    </row>
    <row r="74" spans="1:27" ht="15.75" customHeight="1" x14ac:dyDescent="0.25">
      <c r="A74" s="16" t="str">
        <f>CONCATENATE(G74,COUNTIF($G$14:G74,G74))</f>
        <v>COMPRAS12</v>
      </c>
      <c r="B74" s="17" t="s">
        <v>125</v>
      </c>
      <c r="C74" s="17" t="s">
        <v>278</v>
      </c>
      <c r="D74" s="17">
        <v>8</v>
      </c>
      <c r="E74" s="17" t="s">
        <v>276</v>
      </c>
      <c r="F74" s="17" t="s">
        <v>277</v>
      </c>
      <c r="G74" s="17" t="s">
        <v>33</v>
      </c>
      <c r="H74" s="17" t="str">
        <f t="shared" si="15"/>
        <v>ASESOR</v>
      </c>
      <c r="I74" s="30">
        <f t="shared" si="16"/>
        <v>3900000</v>
      </c>
      <c r="J74" s="16">
        <v>25</v>
      </c>
      <c r="K74" s="30">
        <f t="shared" si="5"/>
        <v>3250000</v>
      </c>
      <c r="L74" s="36">
        <f>IF(I74&lt;='Valores Vigentes'!D$4*2,'Valores Vigentes'!$D$5/30*J74,0)</f>
        <v>0</v>
      </c>
      <c r="M74" s="36">
        <f t="shared" si="6"/>
        <v>48750</v>
      </c>
      <c r="N74" s="36">
        <f t="shared" si="7"/>
        <v>0</v>
      </c>
      <c r="O74" s="36">
        <f t="shared" si="8"/>
        <v>48750</v>
      </c>
      <c r="P74" s="16">
        <f t="shared" si="17"/>
        <v>354545.45454545459</v>
      </c>
      <c r="Q74" s="36">
        <f t="shared" si="18"/>
        <v>8</v>
      </c>
      <c r="R74" s="36">
        <f t="shared" si="9"/>
        <v>0</v>
      </c>
      <c r="S74" s="30">
        <f t="shared" si="10"/>
        <v>3347508</v>
      </c>
      <c r="T74" s="30">
        <f>(S74-L74+M74-O74-R74)*'Valores Vigentes'!$D$6</f>
        <v>133900.32</v>
      </c>
      <c r="U74" s="30">
        <f>(S74-L74+M74-O74-R74)*'Valores Vigentes'!$D$7</f>
        <v>133900.32</v>
      </c>
      <c r="V74" s="36">
        <f>IF(I74&gt;'Valores Vigentes'!$D$4*4,I74*1%,0)</f>
        <v>0</v>
      </c>
      <c r="W74" s="36">
        <f t="shared" si="19"/>
        <v>0</v>
      </c>
      <c r="X74" s="36">
        <f t="shared" si="11"/>
        <v>117000</v>
      </c>
      <c r="Y74" s="36">
        <f t="shared" si="12"/>
        <v>0</v>
      </c>
      <c r="Z74" s="30">
        <f t="shared" si="13"/>
        <v>384800.64</v>
      </c>
      <c r="AA74" s="30">
        <f t="shared" si="14"/>
        <v>2962707.36</v>
      </c>
    </row>
    <row r="75" spans="1:27" ht="15.75" customHeight="1" x14ac:dyDescent="0.25">
      <c r="A75" s="16" t="str">
        <f>CONCATENATE(G75,COUNTIF($G$14:G75,G75))</f>
        <v>FINANCIERO3</v>
      </c>
      <c r="B75" s="17" t="s">
        <v>126</v>
      </c>
      <c r="C75" s="17" t="s">
        <v>278</v>
      </c>
      <c r="D75" s="17">
        <v>5</v>
      </c>
      <c r="E75" s="17" t="s">
        <v>276</v>
      </c>
      <c r="F75" s="17" t="s">
        <v>276</v>
      </c>
      <c r="G75" s="17" t="s">
        <v>43</v>
      </c>
      <c r="H75" s="17" t="str">
        <f t="shared" si="15"/>
        <v>ASESOR VENTAS</v>
      </c>
      <c r="I75" s="30">
        <f t="shared" si="16"/>
        <v>2650000</v>
      </c>
      <c r="J75" s="16">
        <v>30</v>
      </c>
      <c r="K75" s="30">
        <f t="shared" si="5"/>
        <v>2650000</v>
      </c>
      <c r="L75" s="36">
        <f>IF(I75&lt;='Valores Vigentes'!D$4*2,'Valores Vigentes'!$D$5/30*J75,0)</f>
        <v>200000</v>
      </c>
      <c r="M75" s="36">
        <f t="shared" si="6"/>
        <v>66250</v>
      </c>
      <c r="N75" s="36">
        <f t="shared" si="7"/>
        <v>0</v>
      </c>
      <c r="O75" s="36">
        <f t="shared" si="8"/>
        <v>66250</v>
      </c>
      <c r="P75" s="16">
        <f t="shared" si="17"/>
        <v>210795.45454545456</v>
      </c>
      <c r="Q75" s="36">
        <f t="shared" si="18"/>
        <v>7</v>
      </c>
      <c r="R75" s="36">
        <f t="shared" si="9"/>
        <v>0</v>
      </c>
      <c r="S75" s="30">
        <f t="shared" si="10"/>
        <v>2982507</v>
      </c>
      <c r="T75" s="30">
        <f>(S75-L75+M75-O75-R75)*'Valores Vigentes'!$D$6</f>
        <v>111300.28</v>
      </c>
      <c r="U75" s="30">
        <f>(S75-L75+M75-O75-R75)*'Valores Vigentes'!$D$7</f>
        <v>111300.28</v>
      </c>
      <c r="V75" s="36">
        <f>IF(I75&gt;'Valores Vigentes'!$D$4*4,I75*1%,0)</f>
        <v>0</v>
      </c>
      <c r="W75" s="36">
        <f t="shared" si="19"/>
        <v>0</v>
      </c>
      <c r="X75" s="36">
        <f t="shared" si="11"/>
        <v>79500</v>
      </c>
      <c r="Y75" s="36">
        <f t="shared" si="12"/>
        <v>59650.14</v>
      </c>
      <c r="Z75" s="30">
        <f t="shared" si="13"/>
        <v>361750.7</v>
      </c>
      <c r="AA75" s="30">
        <f t="shared" si="14"/>
        <v>2620756.2999999998</v>
      </c>
    </row>
    <row r="76" spans="1:27" ht="15.75" customHeight="1" x14ac:dyDescent="0.25">
      <c r="A76" s="16" t="str">
        <f>CONCATENATE(G76,COUNTIF($G$14:G76,G76))</f>
        <v>VENTAS27</v>
      </c>
      <c r="B76" s="17" t="s">
        <v>127</v>
      </c>
      <c r="C76" s="17" t="s">
        <v>278</v>
      </c>
      <c r="D76" s="17">
        <v>8</v>
      </c>
      <c r="E76" s="17" t="s">
        <v>277</v>
      </c>
      <c r="F76" s="17" t="s">
        <v>276</v>
      </c>
      <c r="G76" s="17" t="s">
        <v>31</v>
      </c>
      <c r="H76" s="17" t="str">
        <f t="shared" si="15"/>
        <v>ASESOR</v>
      </c>
      <c r="I76" s="30">
        <f t="shared" si="16"/>
        <v>3900000</v>
      </c>
      <c r="J76" s="16">
        <v>27</v>
      </c>
      <c r="K76" s="30">
        <f t="shared" si="5"/>
        <v>3510000</v>
      </c>
      <c r="L76" s="36">
        <f>IF(I76&lt;='Valores Vigentes'!D$4*2,'Valores Vigentes'!$D$5/30*J76,0)</f>
        <v>0</v>
      </c>
      <c r="M76" s="36">
        <f t="shared" si="6"/>
        <v>52650</v>
      </c>
      <c r="N76" s="36">
        <f t="shared" si="7"/>
        <v>122850.00000000001</v>
      </c>
      <c r="O76" s="36">
        <f t="shared" si="8"/>
        <v>52650</v>
      </c>
      <c r="P76" s="16">
        <f t="shared" si="17"/>
        <v>1107954.5454545456</v>
      </c>
      <c r="Q76" s="36">
        <f t="shared" si="18"/>
        <v>25</v>
      </c>
      <c r="R76" s="36">
        <f t="shared" si="9"/>
        <v>0</v>
      </c>
      <c r="S76" s="30">
        <f t="shared" si="10"/>
        <v>3738175</v>
      </c>
      <c r="T76" s="30">
        <f>(S76-L76+M76-O76-R76)*'Valores Vigentes'!$D$6</f>
        <v>149527</v>
      </c>
      <c r="U76" s="30">
        <f>(S76-L76+M76-O76-R76)*'Valores Vigentes'!$D$7</f>
        <v>149527</v>
      </c>
      <c r="V76" s="36">
        <f>IF(I76&gt;'Valores Vigentes'!$D$4*4,I76*1%,0)</f>
        <v>0</v>
      </c>
      <c r="W76" s="36">
        <f t="shared" si="19"/>
        <v>0</v>
      </c>
      <c r="X76" s="36">
        <f t="shared" si="11"/>
        <v>0</v>
      </c>
      <c r="Y76" s="36">
        <f t="shared" si="12"/>
        <v>74763.5</v>
      </c>
      <c r="Z76" s="30">
        <f t="shared" si="13"/>
        <v>373817.5</v>
      </c>
      <c r="AA76" s="30">
        <f t="shared" si="14"/>
        <v>3364357.5</v>
      </c>
    </row>
    <row r="77" spans="1:27" ht="15.75" customHeight="1" x14ac:dyDescent="0.25">
      <c r="A77" s="16" t="str">
        <f>CONCATENATE(G77,COUNTIF($G$14:G77,G77))</f>
        <v>VENTAS28</v>
      </c>
      <c r="B77" s="17" t="s">
        <v>128</v>
      </c>
      <c r="C77" s="17" t="s">
        <v>278</v>
      </c>
      <c r="D77" s="17">
        <v>5</v>
      </c>
      <c r="E77" s="17" t="s">
        <v>276</v>
      </c>
      <c r="F77" s="17" t="s">
        <v>276</v>
      </c>
      <c r="G77" s="17" t="s">
        <v>31</v>
      </c>
      <c r="H77" s="17" t="str">
        <f t="shared" si="15"/>
        <v>ASESOR VENTAS</v>
      </c>
      <c r="I77" s="30">
        <f t="shared" si="16"/>
        <v>2650000</v>
      </c>
      <c r="J77" s="16">
        <v>30</v>
      </c>
      <c r="K77" s="30">
        <f t="shared" si="5"/>
        <v>2650000</v>
      </c>
      <c r="L77" s="36">
        <f>IF(I77&lt;='Valores Vigentes'!D$4*2,'Valores Vigentes'!$D$5/30*J77,0)</f>
        <v>200000</v>
      </c>
      <c r="M77" s="36">
        <f t="shared" si="6"/>
        <v>66250</v>
      </c>
      <c r="N77" s="36">
        <f t="shared" si="7"/>
        <v>92750.000000000015</v>
      </c>
      <c r="O77" s="36">
        <f t="shared" si="8"/>
        <v>66250</v>
      </c>
      <c r="P77" s="16">
        <f t="shared" si="17"/>
        <v>602272.72727272729</v>
      </c>
      <c r="Q77" s="36">
        <f t="shared" si="18"/>
        <v>20</v>
      </c>
      <c r="R77" s="36">
        <f t="shared" si="9"/>
        <v>0</v>
      </c>
      <c r="S77" s="30">
        <f t="shared" si="10"/>
        <v>3075270</v>
      </c>
      <c r="T77" s="30">
        <f>(S77-L77+M77-O77-R77)*'Valores Vigentes'!$D$6</f>
        <v>115010.8</v>
      </c>
      <c r="U77" s="30">
        <f>(S77-L77+M77-O77-R77)*'Valores Vigentes'!$D$7</f>
        <v>115010.8</v>
      </c>
      <c r="V77" s="36">
        <f>IF(I77&gt;'Valores Vigentes'!$D$4*4,I77*1%,0)</f>
        <v>0</v>
      </c>
      <c r="W77" s="36">
        <f t="shared" si="19"/>
        <v>0</v>
      </c>
      <c r="X77" s="36">
        <f t="shared" si="11"/>
        <v>79500</v>
      </c>
      <c r="Y77" s="36">
        <f t="shared" si="12"/>
        <v>61505.4</v>
      </c>
      <c r="Z77" s="30">
        <f t="shared" si="13"/>
        <v>371027</v>
      </c>
      <c r="AA77" s="30">
        <f t="shared" si="14"/>
        <v>2704243</v>
      </c>
    </row>
    <row r="78" spans="1:27" ht="15.75" customHeight="1" x14ac:dyDescent="0.25">
      <c r="A78" s="16" t="str">
        <f>CONCATENATE(G78,COUNTIF($G$14:G78,G78))</f>
        <v>COMPRAS13</v>
      </c>
      <c r="B78" s="17" t="s">
        <v>129</v>
      </c>
      <c r="C78" s="17" t="s">
        <v>275</v>
      </c>
      <c r="D78" s="17">
        <v>2</v>
      </c>
      <c r="E78" s="17" t="s">
        <v>276</v>
      </c>
      <c r="F78" s="17" t="s">
        <v>277</v>
      </c>
      <c r="G78" s="17" t="s">
        <v>33</v>
      </c>
      <c r="H78" s="17" t="str">
        <f t="shared" si="15"/>
        <v>ASISTENTES</v>
      </c>
      <c r="I78" s="30">
        <f t="shared" si="16"/>
        <v>1626000</v>
      </c>
      <c r="J78" s="16">
        <v>30</v>
      </c>
      <c r="K78" s="30">
        <f t="shared" si="5"/>
        <v>1626000</v>
      </c>
      <c r="L78" s="36">
        <f>IF(I78&lt;='Valores Vigentes'!D$4*2,'Valores Vigentes'!$D$5/30*J78,0)</f>
        <v>200000</v>
      </c>
      <c r="M78" s="36">
        <f t="shared" si="6"/>
        <v>40650</v>
      </c>
      <c r="N78" s="36">
        <f t="shared" si="7"/>
        <v>0</v>
      </c>
      <c r="O78" s="36">
        <f t="shared" si="8"/>
        <v>24390</v>
      </c>
      <c r="P78" s="16">
        <f t="shared" si="17"/>
        <v>480409.09090909094</v>
      </c>
      <c r="Q78" s="36">
        <f t="shared" si="18"/>
        <v>26</v>
      </c>
      <c r="R78" s="36">
        <f t="shared" si="9"/>
        <v>0</v>
      </c>
      <c r="S78" s="30">
        <f t="shared" si="10"/>
        <v>1891066</v>
      </c>
      <c r="T78" s="30">
        <f>(S78-L78+M78-O78-R78)*'Valores Vigentes'!$D$6</f>
        <v>68293.040000000008</v>
      </c>
      <c r="U78" s="30">
        <f>(S78-L78+M78-O78-R78)*'Valores Vigentes'!$D$7</f>
        <v>68293.040000000008</v>
      </c>
      <c r="V78" s="36">
        <f>IF(I78&gt;'Valores Vigentes'!$D$4*4,I78*1%,0)</f>
        <v>0</v>
      </c>
      <c r="W78" s="36">
        <f t="shared" si="19"/>
        <v>0</v>
      </c>
      <c r="X78" s="36">
        <f t="shared" si="11"/>
        <v>48780</v>
      </c>
      <c r="Y78" s="36">
        <f t="shared" si="12"/>
        <v>0</v>
      </c>
      <c r="Z78" s="30">
        <f t="shared" si="13"/>
        <v>185366.08000000002</v>
      </c>
      <c r="AA78" s="30">
        <f t="shared" si="14"/>
        <v>1705699.92</v>
      </c>
    </row>
    <row r="79" spans="1:27" ht="15.75" customHeight="1" x14ac:dyDescent="0.25">
      <c r="A79" s="16" t="str">
        <f>CONCATENATE(G79,COUNTIF($G$14:G79,G79))</f>
        <v>FINANCIERO4</v>
      </c>
      <c r="B79" s="17" t="s">
        <v>130</v>
      </c>
      <c r="C79" s="17" t="s">
        <v>278</v>
      </c>
      <c r="D79" s="17">
        <v>6</v>
      </c>
      <c r="E79" s="17" t="s">
        <v>276</v>
      </c>
      <c r="F79" s="17" t="s">
        <v>277</v>
      </c>
      <c r="G79" s="17" t="s">
        <v>43</v>
      </c>
      <c r="H79" s="17" t="str">
        <f t="shared" ref="H79:H110" si="20">VLOOKUP(D79,SALARIOSACTUALES,2,0)</f>
        <v>PROFESIONAL</v>
      </c>
      <c r="I79" s="30">
        <f t="shared" ref="I79:I110" si="21">VLOOKUP(D79,SALARIOSACTUALES,3,0)</f>
        <v>2950000</v>
      </c>
      <c r="J79" s="16">
        <v>25</v>
      </c>
      <c r="K79" s="30">
        <f t="shared" si="5"/>
        <v>2458333.333333333</v>
      </c>
      <c r="L79" s="36">
        <f>IF(I79&lt;='Valores Vigentes'!D$4*2,'Valores Vigentes'!$D$5/30*J79,0)</f>
        <v>0</v>
      </c>
      <c r="M79" s="36">
        <f t="shared" si="6"/>
        <v>36874.999999999993</v>
      </c>
      <c r="N79" s="36">
        <f t="shared" si="7"/>
        <v>0</v>
      </c>
      <c r="O79" s="36">
        <f t="shared" si="8"/>
        <v>36874.999999999993</v>
      </c>
      <c r="P79" s="16">
        <f t="shared" ref="P79:P110" si="22">VLOOKUP(B79,HORASEXTRAS,10,0)</f>
        <v>402272.72727272729</v>
      </c>
      <c r="Q79" s="36">
        <f t="shared" ref="Q79:Q110" si="23">VLOOKUP(B79,HORASEXTRAS,11,0)</f>
        <v>12</v>
      </c>
      <c r="R79" s="36">
        <f t="shared" si="9"/>
        <v>0</v>
      </c>
      <c r="S79" s="30">
        <f t="shared" si="10"/>
        <v>2532095.333333333</v>
      </c>
      <c r="T79" s="30">
        <f>(S79-L79+M79-O79-R79)*'Valores Vigentes'!$D$6</f>
        <v>101283.81333333332</v>
      </c>
      <c r="U79" s="30">
        <f>(S79-L79+M79-O79-R79)*'Valores Vigentes'!$D$7</f>
        <v>101283.81333333332</v>
      </c>
      <c r="V79" s="36">
        <f>IF(I79&gt;'Valores Vigentes'!$D$4*4,I79*1%,0)</f>
        <v>0</v>
      </c>
      <c r="W79" s="36">
        <f t="shared" ref="W79:W110" si="24">HLOOKUP(S79,RETEFUENTE,2,1)</f>
        <v>0</v>
      </c>
      <c r="X79" s="36">
        <f t="shared" si="11"/>
        <v>88500</v>
      </c>
      <c r="Y79" s="36">
        <f t="shared" si="12"/>
        <v>0</v>
      </c>
      <c r="Z79" s="30">
        <f t="shared" si="13"/>
        <v>291067.62666666665</v>
      </c>
      <c r="AA79" s="30">
        <f t="shared" si="14"/>
        <v>2241027.7066666665</v>
      </c>
    </row>
    <row r="80" spans="1:27" ht="15.75" customHeight="1" x14ac:dyDescent="0.25">
      <c r="A80" s="16" t="str">
        <f>CONCATENATE(G80,COUNTIF($G$14:G80,G80))</f>
        <v>VENTAS29</v>
      </c>
      <c r="B80" s="17" t="s">
        <v>131</v>
      </c>
      <c r="C80" s="17" t="s">
        <v>275</v>
      </c>
      <c r="D80" s="17">
        <v>7</v>
      </c>
      <c r="E80" s="17" t="s">
        <v>276</v>
      </c>
      <c r="F80" s="17" t="s">
        <v>277</v>
      </c>
      <c r="G80" s="17" t="s">
        <v>31</v>
      </c>
      <c r="H80" s="17" t="str">
        <f t="shared" si="20"/>
        <v>COORDINADOR</v>
      </c>
      <c r="I80" s="30">
        <f t="shared" si="21"/>
        <v>3250000</v>
      </c>
      <c r="J80" s="16">
        <v>30</v>
      </c>
      <c r="K80" s="30">
        <f t="shared" ref="K80:K143" si="25">I80/30*J80</f>
        <v>3250000</v>
      </c>
      <c r="L80" s="36">
        <f>IF(I80&lt;='Valores Vigentes'!D$4*2,'Valores Vigentes'!$D$5/30*J80,0)</f>
        <v>0</v>
      </c>
      <c r="M80" s="36">
        <f t="shared" ref="M80:M143" si="26">IF(J80=30,K80*2.5%,K80*1.5%)</f>
        <v>81250</v>
      </c>
      <c r="N80" s="36">
        <f t="shared" ref="N80:N143" si="27">IF(G80="VENTAS",K80*3.5%,0)</f>
        <v>113750.00000000001</v>
      </c>
      <c r="O80" s="36">
        <f t="shared" ref="O80:O143" si="28">IF(AND(E80="SI",F80="SI"),K80*2.5%,IF(OR(E80="SI",F80="SI"),K80*1.5%,K80*1%))</f>
        <v>48750</v>
      </c>
      <c r="P80" s="16">
        <f t="shared" si="22"/>
        <v>1071022.7272727271</v>
      </c>
      <c r="Q80" s="36">
        <f t="shared" si="23"/>
        <v>29</v>
      </c>
      <c r="R80" s="36">
        <f t="shared" ref="R80:R143" si="29">IF(OR(D80=9,D80=10),I80*15%,0)</f>
        <v>0</v>
      </c>
      <c r="S80" s="30">
        <f t="shared" ref="S80:S143" si="30">SUM(K80:R80)-P80</f>
        <v>3493778.9999999995</v>
      </c>
      <c r="T80" s="30">
        <f>(S80-L80+M80-O80-R80)*'Valores Vigentes'!$D$6</f>
        <v>141051.15999999997</v>
      </c>
      <c r="U80" s="30">
        <f>(S80-L80+M80-O80-R80)*'Valores Vigentes'!$D$7</f>
        <v>141051.15999999997</v>
      </c>
      <c r="V80" s="36">
        <f>IF(I80&gt;'Valores Vigentes'!$D$4*4,I80*1%,0)</f>
        <v>0</v>
      </c>
      <c r="W80" s="36">
        <f t="shared" si="24"/>
        <v>0</v>
      </c>
      <c r="X80" s="36">
        <f t="shared" ref="X80:X143" si="31">IF(E80="SI",I80*3%,0)</f>
        <v>97500</v>
      </c>
      <c r="Y80" s="36">
        <f t="shared" ref="Y80:Y143" si="32">IF(F80="SI",S80*2%,0)</f>
        <v>0</v>
      </c>
      <c r="Z80" s="30">
        <f t="shared" ref="Z80:Z143" si="33">SUM(T80:Y80)</f>
        <v>379602.31999999995</v>
      </c>
      <c r="AA80" s="30">
        <f t="shared" ref="AA80:AA143" si="34">S80-Z80</f>
        <v>3114176.6799999997</v>
      </c>
    </row>
    <row r="81" spans="1:27" ht="15.75" customHeight="1" x14ac:dyDescent="0.25">
      <c r="A81" s="16" t="str">
        <f>CONCATENATE(G81,COUNTIF($G$14:G81,G81))</f>
        <v>MERCADEO6</v>
      </c>
      <c r="B81" s="17" t="s">
        <v>132</v>
      </c>
      <c r="C81" s="17" t="s">
        <v>278</v>
      </c>
      <c r="D81" s="17">
        <v>5</v>
      </c>
      <c r="E81" s="17" t="s">
        <v>276</v>
      </c>
      <c r="F81" s="17" t="s">
        <v>276</v>
      </c>
      <c r="G81" s="17" t="s">
        <v>37</v>
      </c>
      <c r="H81" s="17" t="str">
        <f t="shared" si="20"/>
        <v>ASESOR VENTAS</v>
      </c>
      <c r="I81" s="30">
        <f t="shared" si="21"/>
        <v>2650000</v>
      </c>
      <c r="J81" s="16">
        <v>30</v>
      </c>
      <c r="K81" s="30">
        <f t="shared" si="25"/>
        <v>2650000</v>
      </c>
      <c r="L81" s="36">
        <f>IF(I81&lt;='Valores Vigentes'!D$4*2,'Valores Vigentes'!$D$5/30*J81,0)</f>
        <v>200000</v>
      </c>
      <c r="M81" s="36">
        <f t="shared" si="26"/>
        <v>66250</v>
      </c>
      <c r="N81" s="36">
        <f t="shared" si="27"/>
        <v>0</v>
      </c>
      <c r="O81" s="36">
        <f t="shared" si="28"/>
        <v>66250</v>
      </c>
      <c r="P81" s="16">
        <f t="shared" si="22"/>
        <v>391477.27272727271</v>
      </c>
      <c r="Q81" s="36">
        <f t="shared" si="23"/>
        <v>13</v>
      </c>
      <c r="R81" s="36">
        <f t="shared" si="29"/>
        <v>0</v>
      </c>
      <c r="S81" s="30">
        <f t="shared" si="30"/>
        <v>2982513</v>
      </c>
      <c r="T81" s="30">
        <f>(S81-L81+M81-O81-R81)*'Valores Vigentes'!$D$6</f>
        <v>111300.52</v>
      </c>
      <c r="U81" s="30">
        <f>(S81-L81+M81-O81-R81)*'Valores Vigentes'!$D$7</f>
        <v>111300.52</v>
      </c>
      <c r="V81" s="36">
        <f>IF(I81&gt;'Valores Vigentes'!$D$4*4,I81*1%,0)</f>
        <v>0</v>
      </c>
      <c r="W81" s="36">
        <f t="shared" si="24"/>
        <v>0</v>
      </c>
      <c r="X81" s="36">
        <f t="shared" si="31"/>
        <v>79500</v>
      </c>
      <c r="Y81" s="36">
        <f t="shared" si="32"/>
        <v>59650.26</v>
      </c>
      <c r="Z81" s="30">
        <f t="shared" si="33"/>
        <v>361751.30000000005</v>
      </c>
      <c r="AA81" s="30">
        <f t="shared" si="34"/>
        <v>2620761.7000000002</v>
      </c>
    </row>
    <row r="82" spans="1:27" ht="15.75" customHeight="1" x14ac:dyDescent="0.25">
      <c r="A82" s="16" t="str">
        <f>CONCATENATE(G82,COUNTIF($G$14:G82,G82))</f>
        <v>VENTAS30</v>
      </c>
      <c r="B82" s="17" t="s">
        <v>133</v>
      </c>
      <c r="C82" s="17" t="s">
        <v>278</v>
      </c>
      <c r="D82" s="17">
        <v>2</v>
      </c>
      <c r="E82" s="17" t="s">
        <v>276</v>
      </c>
      <c r="F82" s="17" t="s">
        <v>277</v>
      </c>
      <c r="G82" s="17" t="s">
        <v>31</v>
      </c>
      <c r="H82" s="17" t="str">
        <f t="shared" si="20"/>
        <v>ASISTENTES</v>
      </c>
      <c r="I82" s="30">
        <f t="shared" si="21"/>
        <v>1626000</v>
      </c>
      <c r="J82" s="16">
        <v>25</v>
      </c>
      <c r="K82" s="30">
        <f t="shared" si="25"/>
        <v>1355000</v>
      </c>
      <c r="L82" s="36">
        <f>IF(I82&lt;='Valores Vigentes'!D$4*2,'Valores Vigentes'!$D$5/30*J82,0)</f>
        <v>166666.66666666669</v>
      </c>
      <c r="M82" s="36">
        <f t="shared" si="26"/>
        <v>20325</v>
      </c>
      <c r="N82" s="36">
        <f t="shared" si="27"/>
        <v>47425.000000000007</v>
      </c>
      <c r="O82" s="36">
        <f t="shared" si="28"/>
        <v>20325</v>
      </c>
      <c r="P82" s="16">
        <f t="shared" si="22"/>
        <v>295636.36363636365</v>
      </c>
      <c r="Q82" s="36">
        <f t="shared" si="23"/>
        <v>16</v>
      </c>
      <c r="R82" s="36">
        <f t="shared" si="29"/>
        <v>0</v>
      </c>
      <c r="S82" s="30">
        <f t="shared" si="30"/>
        <v>1609757.6666666665</v>
      </c>
      <c r="T82" s="30">
        <f>(S82-L82+M82-O82-R82)*'Valores Vigentes'!$D$6</f>
        <v>57723.639999999992</v>
      </c>
      <c r="U82" s="30">
        <f>(S82-L82+M82-O82-R82)*'Valores Vigentes'!$D$7</f>
        <v>57723.639999999992</v>
      </c>
      <c r="V82" s="36">
        <f>IF(I82&gt;'Valores Vigentes'!$D$4*4,I82*1%,0)</f>
        <v>0</v>
      </c>
      <c r="W82" s="36">
        <f t="shared" si="24"/>
        <v>0</v>
      </c>
      <c r="X82" s="36">
        <f t="shared" si="31"/>
        <v>48780</v>
      </c>
      <c r="Y82" s="36">
        <f t="shared" si="32"/>
        <v>0</v>
      </c>
      <c r="Z82" s="30">
        <f t="shared" si="33"/>
        <v>164227.27999999997</v>
      </c>
      <c r="AA82" s="30">
        <f t="shared" si="34"/>
        <v>1445530.3866666665</v>
      </c>
    </row>
    <row r="83" spans="1:27" ht="15.75" customHeight="1" x14ac:dyDescent="0.25">
      <c r="A83" s="16" t="str">
        <f>CONCATENATE(G83,COUNTIF($G$14:G83,G83))</f>
        <v>FINANCIERO5</v>
      </c>
      <c r="B83" s="17" t="s">
        <v>134</v>
      </c>
      <c r="C83" s="17" t="s">
        <v>278</v>
      </c>
      <c r="D83" s="17">
        <v>7</v>
      </c>
      <c r="E83" s="17" t="s">
        <v>276</v>
      </c>
      <c r="F83" s="17" t="s">
        <v>276</v>
      </c>
      <c r="G83" s="17" t="s">
        <v>43</v>
      </c>
      <c r="H83" s="17" t="str">
        <f t="shared" si="20"/>
        <v>COORDINADOR</v>
      </c>
      <c r="I83" s="30">
        <f t="shared" si="21"/>
        <v>3250000</v>
      </c>
      <c r="J83" s="16">
        <v>30</v>
      </c>
      <c r="K83" s="30">
        <f t="shared" si="25"/>
        <v>3250000</v>
      </c>
      <c r="L83" s="36">
        <f>IF(I83&lt;='Valores Vigentes'!D$4*2,'Valores Vigentes'!$D$5/30*J83,0)</f>
        <v>0</v>
      </c>
      <c r="M83" s="36">
        <f t="shared" si="26"/>
        <v>81250</v>
      </c>
      <c r="N83" s="36">
        <f t="shared" si="27"/>
        <v>0</v>
      </c>
      <c r="O83" s="36">
        <f t="shared" si="28"/>
        <v>81250</v>
      </c>
      <c r="P83" s="16">
        <f t="shared" si="22"/>
        <v>960227.27272727259</v>
      </c>
      <c r="Q83" s="36">
        <f t="shared" si="23"/>
        <v>26</v>
      </c>
      <c r="R83" s="36">
        <f t="shared" si="29"/>
        <v>0</v>
      </c>
      <c r="S83" s="30">
        <f t="shared" si="30"/>
        <v>3412526</v>
      </c>
      <c r="T83" s="30">
        <f>(S83-L83+M83-O83-R83)*'Valores Vigentes'!$D$6</f>
        <v>136501.04</v>
      </c>
      <c r="U83" s="30">
        <f>(S83-L83+M83-O83-R83)*'Valores Vigentes'!$D$7</f>
        <v>136501.04</v>
      </c>
      <c r="V83" s="36">
        <f>IF(I83&gt;'Valores Vigentes'!$D$4*4,I83*1%,0)</f>
        <v>0</v>
      </c>
      <c r="W83" s="36">
        <f t="shared" si="24"/>
        <v>0</v>
      </c>
      <c r="X83" s="36">
        <f t="shared" si="31"/>
        <v>97500</v>
      </c>
      <c r="Y83" s="36">
        <f t="shared" si="32"/>
        <v>68250.52</v>
      </c>
      <c r="Z83" s="30">
        <f t="shared" si="33"/>
        <v>438752.60000000003</v>
      </c>
      <c r="AA83" s="30">
        <f t="shared" si="34"/>
        <v>2973773.4</v>
      </c>
    </row>
    <row r="84" spans="1:27" ht="15.75" customHeight="1" x14ac:dyDescent="0.25">
      <c r="A84" s="16" t="str">
        <f>CONCATENATE(G84,COUNTIF($G$14:G84,G84))</f>
        <v>VENTAS31</v>
      </c>
      <c r="B84" s="17" t="s">
        <v>135</v>
      </c>
      <c r="C84" s="17" t="s">
        <v>278</v>
      </c>
      <c r="D84" s="17">
        <v>8</v>
      </c>
      <c r="E84" s="17" t="s">
        <v>276</v>
      </c>
      <c r="F84" s="17" t="s">
        <v>277</v>
      </c>
      <c r="G84" s="17" t="s">
        <v>31</v>
      </c>
      <c r="H84" s="17" t="str">
        <f t="shared" si="20"/>
        <v>ASESOR</v>
      </c>
      <c r="I84" s="30">
        <f t="shared" si="21"/>
        <v>3900000</v>
      </c>
      <c r="J84" s="16">
        <v>28</v>
      </c>
      <c r="K84" s="30">
        <f t="shared" si="25"/>
        <v>3640000</v>
      </c>
      <c r="L84" s="36">
        <f>IF(I84&lt;='Valores Vigentes'!D$4*2,'Valores Vigentes'!$D$5/30*J84,0)</f>
        <v>0</v>
      </c>
      <c r="M84" s="36">
        <f t="shared" si="26"/>
        <v>54600</v>
      </c>
      <c r="N84" s="36">
        <f t="shared" si="27"/>
        <v>127400.00000000001</v>
      </c>
      <c r="O84" s="36">
        <f t="shared" si="28"/>
        <v>54600</v>
      </c>
      <c r="P84" s="16">
        <f t="shared" si="22"/>
        <v>975000.00000000012</v>
      </c>
      <c r="Q84" s="36">
        <f t="shared" si="23"/>
        <v>22</v>
      </c>
      <c r="R84" s="36">
        <f t="shared" si="29"/>
        <v>0</v>
      </c>
      <c r="S84" s="30">
        <f t="shared" si="30"/>
        <v>3876622</v>
      </c>
      <c r="T84" s="30">
        <f>(S84-L84+M84-O84-R84)*'Valores Vigentes'!$D$6</f>
        <v>155064.88</v>
      </c>
      <c r="U84" s="30">
        <f>(S84-L84+M84-O84-R84)*'Valores Vigentes'!$D$7</f>
        <v>155064.88</v>
      </c>
      <c r="V84" s="36">
        <f>IF(I84&gt;'Valores Vigentes'!$D$4*4,I84*1%,0)</f>
        <v>0</v>
      </c>
      <c r="W84" s="36">
        <f t="shared" si="24"/>
        <v>0</v>
      </c>
      <c r="X84" s="36">
        <f t="shared" si="31"/>
        <v>117000</v>
      </c>
      <c r="Y84" s="36">
        <f t="shared" si="32"/>
        <v>0</v>
      </c>
      <c r="Z84" s="30">
        <f t="shared" si="33"/>
        <v>427129.76</v>
      </c>
      <c r="AA84" s="30">
        <f t="shared" si="34"/>
        <v>3449492.24</v>
      </c>
    </row>
    <row r="85" spans="1:27" ht="15.75" customHeight="1" x14ac:dyDescent="0.25">
      <c r="A85" s="16" t="str">
        <f>CONCATENATE(G85,COUNTIF($G$14:G85,G85))</f>
        <v>FINANCIERO6</v>
      </c>
      <c r="B85" s="17" t="s">
        <v>136</v>
      </c>
      <c r="C85" s="17" t="s">
        <v>278</v>
      </c>
      <c r="D85" s="17">
        <v>3</v>
      </c>
      <c r="E85" s="17" t="s">
        <v>276</v>
      </c>
      <c r="F85" s="17" t="s">
        <v>277</v>
      </c>
      <c r="G85" s="17" t="s">
        <v>43</v>
      </c>
      <c r="H85" s="17" t="str">
        <f t="shared" si="20"/>
        <v>SECRETARIAS</v>
      </c>
      <c r="I85" s="30">
        <f t="shared" si="21"/>
        <v>1813000</v>
      </c>
      <c r="J85" s="16">
        <v>28</v>
      </c>
      <c r="K85" s="30">
        <f t="shared" si="25"/>
        <v>1692133.3333333335</v>
      </c>
      <c r="L85" s="36">
        <f>IF(I85&lt;='Valores Vigentes'!D$4*2,'Valores Vigentes'!$D$5/30*J85,0)</f>
        <v>186666.66666666669</v>
      </c>
      <c r="M85" s="36">
        <f t="shared" si="26"/>
        <v>25382</v>
      </c>
      <c r="N85" s="36">
        <f t="shared" si="27"/>
        <v>0</v>
      </c>
      <c r="O85" s="36">
        <f t="shared" si="28"/>
        <v>25382</v>
      </c>
      <c r="P85" s="16">
        <f t="shared" si="22"/>
        <v>391443.18181818177</v>
      </c>
      <c r="Q85" s="36">
        <f t="shared" si="23"/>
        <v>19</v>
      </c>
      <c r="R85" s="36">
        <f t="shared" si="29"/>
        <v>0</v>
      </c>
      <c r="S85" s="30">
        <f t="shared" si="30"/>
        <v>1929583.0000000005</v>
      </c>
      <c r="T85" s="30">
        <f>(S85-L85+M85-O85-R85)*'Valores Vigentes'!$D$6</f>
        <v>69716.65333333335</v>
      </c>
      <c r="U85" s="30">
        <f>(S85-L85+M85-O85-R85)*'Valores Vigentes'!$D$7</f>
        <v>69716.65333333335</v>
      </c>
      <c r="V85" s="36">
        <f>IF(I85&gt;'Valores Vigentes'!$D$4*4,I85*1%,0)</f>
        <v>0</v>
      </c>
      <c r="W85" s="36">
        <f t="shared" si="24"/>
        <v>0</v>
      </c>
      <c r="X85" s="36">
        <f t="shared" si="31"/>
        <v>54390</v>
      </c>
      <c r="Y85" s="36">
        <f t="shared" si="32"/>
        <v>0</v>
      </c>
      <c r="Z85" s="30">
        <f t="shared" si="33"/>
        <v>193823.3066666667</v>
      </c>
      <c r="AA85" s="30">
        <f t="shared" si="34"/>
        <v>1735759.6933333338</v>
      </c>
    </row>
    <row r="86" spans="1:27" ht="15.75" customHeight="1" x14ac:dyDescent="0.25">
      <c r="A86" s="16" t="str">
        <f>CONCATENATE(G86,COUNTIF($G$14:G86,G86))</f>
        <v>ADMON9</v>
      </c>
      <c r="B86" s="17" t="s">
        <v>137</v>
      </c>
      <c r="C86" s="17" t="s">
        <v>275</v>
      </c>
      <c r="D86" s="17">
        <v>4</v>
      </c>
      <c r="E86" s="17" t="s">
        <v>276</v>
      </c>
      <c r="F86" s="17" t="s">
        <v>277</v>
      </c>
      <c r="G86" s="17" t="s">
        <v>35</v>
      </c>
      <c r="H86" s="17" t="str">
        <f t="shared" si="20"/>
        <v>TÉCNICO PROFESIONAL</v>
      </c>
      <c r="I86" s="30">
        <f t="shared" si="21"/>
        <v>2450000</v>
      </c>
      <c r="J86" s="16">
        <v>27</v>
      </c>
      <c r="K86" s="30">
        <f t="shared" si="25"/>
        <v>2205000</v>
      </c>
      <c r="L86" s="36">
        <f>IF(I86&lt;='Valores Vigentes'!D$4*2,'Valores Vigentes'!$D$5/30*J86,0)</f>
        <v>180000</v>
      </c>
      <c r="M86" s="36">
        <f t="shared" si="26"/>
        <v>33075</v>
      </c>
      <c r="N86" s="36">
        <f t="shared" si="27"/>
        <v>0</v>
      </c>
      <c r="O86" s="36">
        <f t="shared" si="28"/>
        <v>33075</v>
      </c>
      <c r="P86" s="16">
        <f t="shared" si="22"/>
        <v>584659.09090909082</v>
      </c>
      <c r="Q86" s="36">
        <f t="shared" si="23"/>
        <v>21</v>
      </c>
      <c r="R86" s="36">
        <f t="shared" si="29"/>
        <v>0</v>
      </c>
      <c r="S86" s="30">
        <f t="shared" si="30"/>
        <v>2451171</v>
      </c>
      <c r="T86" s="30">
        <f>(S86-L86+M86-O86-R86)*'Valores Vigentes'!$D$6</f>
        <v>90846.84</v>
      </c>
      <c r="U86" s="30">
        <f>(S86-L86+M86-O86-R86)*'Valores Vigentes'!$D$7</f>
        <v>90846.84</v>
      </c>
      <c r="V86" s="36">
        <f>IF(I86&gt;'Valores Vigentes'!$D$4*4,I86*1%,0)</f>
        <v>0</v>
      </c>
      <c r="W86" s="36">
        <f t="shared" si="24"/>
        <v>0</v>
      </c>
      <c r="X86" s="36">
        <f t="shared" si="31"/>
        <v>73500</v>
      </c>
      <c r="Y86" s="36">
        <f t="shared" si="32"/>
        <v>0</v>
      </c>
      <c r="Z86" s="30">
        <f t="shared" si="33"/>
        <v>255193.68</v>
      </c>
      <c r="AA86" s="30">
        <f t="shared" si="34"/>
        <v>2195977.3199999998</v>
      </c>
    </row>
    <row r="87" spans="1:27" ht="15.75" customHeight="1" x14ac:dyDescent="0.25">
      <c r="A87" s="16" t="str">
        <f>CONCATENATE(G87,COUNTIF($G$14:G87,G87))</f>
        <v>VENTAS32</v>
      </c>
      <c r="B87" s="17" t="s">
        <v>138</v>
      </c>
      <c r="C87" s="17" t="s">
        <v>278</v>
      </c>
      <c r="D87" s="17">
        <v>8</v>
      </c>
      <c r="E87" s="17" t="s">
        <v>276</v>
      </c>
      <c r="F87" s="17" t="s">
        <v>277</v>
      </c>
      <c r="G87" s="17" t="s">
        <v>31</v>
      </c>
      <c r="H87" s="17" t="str">
        <f t="shared" si="20"/>
        <v>ASESOR</v>
      </c>
      <c r="I87" s="30">
        <f t="shared" si="21"/>
        <v>3900000</v>
      </c>
      <c r="J87" s="16">
        <v>27</v>
      </c>
      <c r="K87" s="30">
        <f t="shared" si="25"/>
        <v>3510000</v>
      </c>
      <c r="L87" s="36">
        <f>IF(I87&lt;='Valores Vigentes'!D$4*2,'Valores Vigentes'!$D$5/30*J87,0)</f>
        <v>0</v>
      </c>
      <c r="M87" s="36">
        <f t="shared" si="26"/>
        <v>52650</v>
      </c>
      <c r="N87" s="36">
        <f t="shared" si="27"/>
        <v>122850.00000000001</v>
      </c>
      <c r="O87" s="36">
        <f t="shared" si="28"/>
        <v>52650</v>
      </c>
      <c r="P87" s="16">
        <f t="shared" si="22"/>
        <v>88636.363636363647</v>
      </c>
      <c r="Q87" s="36">
        <f t="shared" si="23"/>
        <v>2</v>
      </c>
      <c r="R87" s="36">
        <f t="shared" si="29"/>
        <v>0</v>
      </c>
      <c r="S87" s="30">
        <f t="shared" si="30"/>
        <v>3738152</v>
      </c>
      <c r="T87" s="30">
        <f>(S87-L87+M87-O87-R87)*'Valores Vigentes'!$D$6</f>
        <v>149526.08000000002</v>
      </c>
      <c r="U87" s="30">
        <f>(S87-L87+M87-O87-R87)*'Valores Vigentes'!$D$7</f>
        <v>149526.08000000002</v>
      </c>
      <c r="V87" s="36">
        <f>IF(I87&gt;'Valores Vigentes'!$D$4*4,I87*1%,0)</f>
        <v>0</v>
      </c>
      <c r="W87" s="36">
        <f t="shared" si="24"/>
        <v>0</v>
      </c>
      <c r="X87" s="36">
        <f t="shared" si="31"/>
        <v>117000</v>
      </c>
      <c r="Y87" s="36">
        <f t="shared" si="32"/>
        <v>0</v>
      </c>
      <c r="Z87" s="30">
        <f t="shared" si="33"/>
        <v>416052.16000000003</v>
      </c>
      <c r="AA87" s="30">
        <f t="shared" si="34"/>
        <v>3322099.84</v>
      </c>
    </row>
    <row r="88" spans="1:27" ht="15.75" customHeight="1" x14ac:dyDescent="0.25">
      <c r="A88" s="16" t="str">
        <f>CONCATENATE(G88,COUNTIF($G$14:G88,G88))</f>
        <v>VENTAS33</v>
      </c>
      <c r="B88" s="17" t="s">
        <v>139</v>
      </c>
      <c r="C88" s="17" t="s">
        <v>275</v>
      </c>
      <c r="D88" s="17">
        <v>8</v>
      </c>
      <c r="E88" s="17" t="s">
        <v>276</v>
      </c>
      <c r="F88" s="17" t="s">
        <v>276</v>
      </c>
      <c r="G88" s="17" t="s">
        <v>31</v>
      </c>
      <c r="H88" s="17" t="str">
        <f t="shared" si="20"/>
        <v>ASESOR</v>
      </c>
      <c r="I88" s="30">
        <f t="shared" si="21"/>
        <v>3900000</v>
      </c>
      <c r="J88" s="16">
        <v>27</v>
      </c>
      <c r="K88" s="30">
        <f t="shared" si="25"/>
        <v>3510000</v>
      </c>
      <c r="L88" s="36">
        <f>IF(I88&lt;='Valores Vigentes'!D$4*2,'Valores Vigentes'!$D$5/30*J88,0)</f>
        <v>0</v>
      </c>
      <c r="M88" s="36">
        <f t="shared" si="26"/>
        <v>52650</v>
      </c>
      <c r="N88" s="36">
        <f t="shared" si="27"/>
        <v>122850.00000000001</v>
      </c>
      <c r="O88" s="36">
        <f t="shared" si="28"/>
        <v>87750</v>
      </c>
      <c r="P88" s="16">
        <f t="shared" si="22"/>
        <v>620454.54545454553</v>
      </c>
      <c r="Q88" s="36">
        <f t="shared" si="23"/>
        <v>14</v>
      </c>
      <c r="R88" s="36">
        <f t="shared" si="29"/>
        <v>0</v>
      </c>
      <c r="S88" s="30">
        <f t="shared" si="30"/>
        <v>3773264.0000000005</v>
      </c>
      <c r="T88" s="30">
        <f>(S88-L88+M88-O88-R88)*'Valores Vigentes'!$D$6</f>
        <v>149526.56000000003</v>
      </c>
      <c r="U88" s="30">
        <f>(S88-L88+M88-O88-R88)*'Valores Vigentes'!$D$7</f>
        <v>149526.56000000003</v>
      </c>
      <c r="V88" s="36">
        <f>IF(I88&gt;'Valores Vigentes'!$D$4*4,I88*1%,0)</f>
        <v>0</v>
      </c>
      <c r="W88" s="36">
        <f t="shared" si="24"/>
        <v>0</v>
      </c>
      <c r="X88" s="36">
        <f t="shared" si="31"/>
        <v>117000</v>
      </c>
      <c r="Y88" s="36">
        <f t="shared" si="32"/>
        <v>75465.280000000013</v>
      </c>
      <c r="Z88" s="30">
        <f t="shared" si="33"/>
        <v>491518.40000000008</v>
      </c>
      <c r="AA88" s="30">
        <f t="shared" si="34"/>
        <v>3281745.6000000006</v>
      </c>
    </row>
    <row r="89" spans="1:27" ht="15.75" customHeight="1" x14ac:dyDescent="0.25">
      <c r="A89" s="16" t="str">
        <f>CONCATENATE(G89,COUNTIF($G$14:G89,G89))</f>
        <v>FACTURACION4</v>
      </c>
      <c r="B89" s="17" t="s">
        <v>140</v>
      </c>
      <c r="C89" s="17" t="s">
        <v>278</v>
      </c>
      <c r="D89" s="17">
        <v>3</v>
      </c>
      <c r="E89" s="17" t="s">
        <v>276</v>
      </c>
      <c r="F89" s="17" t="s">
        <v>276</v>
      </c>
      <c r="G89" s="17" t="s">
        <v>39</v>
      </c>
      <c r="H89" s="17" t="str">
        <f t="shared" si="20"/>
        <v>SECRETARIAS</v>
      </c>
      <c r="I89" s="30">
        <f t="shared" si="21"/>
        <v>1813000</v>
      </c>
      <c r="J89" s="16">
        <v>29</v>
      </c>
      <c r="K89" s="30">
        <f t="shared" si="25"/>
        <v>1752566.6666666667</v>
      </c>
      <c r="L89" s="36">
        <f>IF(I89&lt;='Valores Vigentes'!D$4*2,'Valores Vigentes'!$D$5/30*J89,0)</f>
        <v>193333.33333333334</v>
      </c>
      <c r="M89" s="36">
        <f t="shared" si="26"/>
        <v>26288.5</v>
      </c>
      <c r="N89" s="36">
        <f t="shared" si="27"/>
        <v>0</v>
      </c>
      <c r="O89" s="36">
        <f t="shared" si="28"/>
        <v>43814.166666666672</v>
      </c>
      <c r="P89" s="16">
        <f t="shared" si="22"/>
        <v>41204.545454545449</v>
      </c>
      <c r="Q89" s="36">
        <f t="shared" si="23"/>
        <v>2</v>
      </c>
      <c r="R89" s="36">
        <f t="shared" si="29"/>
        <v>0</v>
      </c>
      <c r="S89" s="30">
        <f t="shared" si="30"/>
        <v>2016004.6666666667</v>
      </c>
      <c r="T89" s="30">
        <f>(S89-L89+M89-O89-R89)*'Valores Vigentes'!$D$6</f>
        <v>72205.826666666675</v>
      </c>
      <c r="U89" s="30">
        <f>(S89-L89+M89-O89-R89)*'Valores Vigentes'!$D$7</f>
        <v>72205.826666666675</v>
      </c>
      <c r="V89" s="36">
        <f>IF(I89&gt;'Valores Vigentes'!$D$4*4,I89*1%,0)</f>
        <v>0</v>
      </c>
      <c r="W89" s="36">
        <f t="shared" si="24"/>
        <v>0</v>
      </c>
      <c r="X89" s="36">
        <f t="shared" si="31"/>
        <v>54390</v>
      </c>
      <c r="Y89" s="36">
        <f t="shared" si="32"/>
        <v>40320.093333333338</v>
      </c>
      <c r="Z89" s="30">
        <f t="shared" si="33"/>
        <v>239121.7466666667</v>
      </c>
      <c r="AA89" s="30">
        <f t="shared" si="34"/>
        <v>1776882.92</v>
      </c>
    </row>
    <row r="90" spans="1:27" ht="15.75" customHeight="1" x14ac:dyDescent="0.25">
      <c r="A90" s="16" t="str">
        <f>CONCATENATE(G90,COUNTIF($G$14:G90,G90))</f>
        <v>VENTAS34</v>
      </c>
      <c r="B90" s="17" t="s">
        <v>141</v>
      </c>
      <c r="C90" s="17" t="s">
        <v>278</v>
      </c>
      <c r="D90" s="17">
        <v>4</v>
      </c>
      <c r="E90" s="17" t="s">
        <v>276</v>
      </c>
      <c r="F90" s="17" t="s">
        <v>277</v>
      </c>
      <c r="G90" s="17" t="s">
        <v>31</v>
      </c>
      <c r="H90" s="17" t="str">
        <f t="shared" si="20"/>
        <v>TÉCNICO PROFESIONAL</v>
      </c>
      <c r="I90" s="30">
        <f t="shared" si="21"/>
        <v>2450000</v>
      </c>
      <c r="J90" s="16">
        <v>26</v>
      </c>
      <c r="K90" s="30">
        <f t="shared" si="25"/>
        <v>2123333.3333333335</v>
      </c>
      <c r="L90" s="36">
        <f>IF(I90&lt;='Valores Vigentes'!D$4*2,'Valores Vigentes'!$D$5/30*J90,0)</f>
        <v>173333.33333333334</v>
      </c>
      <c r="M90" s="36">
        <f t="shared" si="26"/>
        <v>31850</v>
      </c>
      <c r="N90" s="36">
        <f t="shared" si="27"/>
        <v>74316.666666666686</v>
      </c>
      <c r="O90" s="36">
        <f t="shared" si="28"/>
        <v>31850</v>
      </c>
      <c r="P90" s="16">
        <f t="shared" si="22"/>
        <v>751704.54545454541</v>
      </c>
      <c r="Q90" s="36">
        <f t="shared" si="23"/>
        <v>27</v>
      </c>
      <c r="R90" s="36">
        <f t="shared" si="29"/>
        <v>0</v>
      </c>
      <c r="S90" s="30">
        <f t="shared" si="30"/>
        <v>2434710.3333333335</v>
      </c>
      <c r="T90" s="30">
        <f>(S90-L90+M90-O90-R90)*'Valores Vigentes'!$D$6</f>
        <v>90455.08</v>
      </c>
      <c r="U90" s="30">
        <f>(S90-L90+M90-O90-R90)*'Valores Vigentes'!$D$7</f>
        <v>90455.08</v>
      </c>
      <c r="V90" s="36">
        <f>IF(I90&gt;'Valores Vigentes'!$D$4*4,I90*1%,0)</f>
        <v>0</v>
      </c>
      <c r="W90" s="36">
        <f t="shared" si="24"/>
        <v>0</v>
      </c>
      <c r="X90" s="36">
        <f t="shared" si="31"/>
        <v>73500</v>
      </c>
      <c r="Y90" s="36">
        <f t="shared" si="32"/>
        <v>0</v>
      </c>
      <c r="Z90" s="30">
        <f t="shared" si="33"/>
        <v>254410.16</v>
      </c>
      <c r="AA90" s="30">
        <f t="shared" si="34"/>
        <v>2180300.1733333333</v>
      </c>
    </row>
    <row r="91" spans="1:27" ht="15.75" customHeight="1" x14ac:dyDescent="0.25">
      <c r="A91" s="16" t="str">
        <f>CONCATENATE(G91,COUNTIF($G$14:G91,G91))</f>
        <v>COMPRAS14</v>
      </c>
      <c r="B91" s="17" t="s">
        <v>142</v>
      </c>
      <c r="C91" s="17" t="s">
        <v>275</v>
      </c>
      <c r="D91" s="17">
        <v>2</v>
      </c>
      <c r="E91" s="17" t="s">
        <v>276</v>
      </c>
      <c r="F91" s="17" t="s">
        <v>276</v>
      </c>
      <c r="G91" s="17" t="s">
        <v>33</v>
      </c>
      <c r="H91" s="17" t="str">
        <f t="shared" si="20"/>
        <v>ASISTENTES</v>
      </c>
      <c r="I91" s="30">
        <f t="shared" si="21"/>
        <v>1626000</v>
      </c>
      <c r="J91" s="16">
        <v>30</v>
      </c>
      <c r="K91" s="30">
        <f t="shared" si="25"/>
        <v>1626000</v>
      </c>
      <c r="L91" s="36">
        <f>IF(I91&lt;='Valores Vigentes'!D$4*2,'Valores Vigentes'!$D$5/30*J91,0)</f>
        <v>200000</v>
      </c>
      <c r="M91" s="36">
        <f t="shared" si="26"/>
        <v>40650</v>
      </c>
      <c r="N91" s="36">
        <f t="shared" si="27"/>
        <v>0</v>
      </c>
      <c r="O91" s="36">
        <f t="shared" si="28"/>
        <v>40650</v>
      </c>
      <c r="P91" s="16">
        <f t="shared" si="22"/>
        <v>295636.36363636365</v>
      </c>
      <c r="Q91" s="36">
        <f t="shared" si="23"/>
        <v>16</v>
      </c>
      <c r="R91" s="36">
        <f t="shared" si="29"/>
        <v>0</v>
      </c>
      <c r="S91" s="30">
        <f t="shared" si="30"/>
        <v>1907316</v>
      </c>
      <c r="T91" s="30">
        <f>(S91-L91+M91-O91-R91)*'Valores Vigentes'!$D$6</f>
        <v>68292.639999999999</v>
      </c>
      <c r="U91" s="30">
        <f>(S91-L91+M91-O91-R91)*'Valores Vigentes'!$D$7</f>
        <v>68292.639999999999</v>
      </c>
      <c r="V91" s="36">
        <f>IF(I91&gt;'Valores Vigentes'!$D$4*4,I91*1%,0)</f>
        <v>0</v>
      </c>
      <c r="W91" s="36">
        <f t="shared" si="24"/>
        <v>0</v>
      </c>
      <c r="X91" s="36">
        <f t="shared" si="31"/>
        <v>48780</v>
      </c>
      <c r="Y91" s="36">
        <f t="shared" si="32"/>
        <v>38146.32</v>
      </c>
      <c r="Z91" s="30">
        <f t="shared" si="33"/>
        <v>223511.6</v>
      </c>
      <c r="AA91" s="30">
        <f t="shared" si="34"/>
        <v>1683804.4</v>
      </c>
    </row>
    <row r="92" spans="1:27" ht="15.75" customHeight="1" x14ac:dyDescent="0.25">
      <c r="A92" s="16" t="str">
        <f>CONCATENATE(G92,COUNTIF($G$14:G92,G92))</f>
        <v>COMPRAS15</v>
      </c>
      <c r="B92" s="17" t="s">
        <v>143</v>
      </c>
      <c r="C92" s="17" t="s">
        <v>278</v>
      </c>
      <c r="D92" s="17">
        <v>6</v>
      </c>
      <c r="E92" s="17" t="s">
        <v>276</v>
      </c>
      <c r="F92" s="17" t="s">
        <v>277</v>
      </c>
      <c r="G92" s="17" t="s">
        <v>33</v>
      </c>
      <c r="H92" s="17" t="str">
        <f t="shared" si="20"/>
        <v>PROFESIONAL</v>
      </c>
      <c r="I92" s="30">
        <f t="shared" si="21"/>
        <v>2950000</v>
      </c>
      <c r="J92" s="16">
        <v>27</v>
      </c>
      <c r="K92" s="30">
        <f t="shared" si="25"/>
        <v>2655000</v>
      </c>
      <c r="L92" s="36">
        <f>IF(I92&lt;='Valores Vigentes'!D$4*2,'Valores Vigentes'!$D$5/30*J92,0)</f>
        <v>0</v>
      </c>
      <c r="M92" s="36">
        <f t="shared" si="26"/>
        <v>39825</v>
      </c>
      <c r="N92" s="36">
        <f t="shared" si="27"/>
        <v>0</v>
      </c>
      <c r="O92" s="36">
        <f t="shared" si="28"/>
        <v>39825</v>
      </c>
      <c r="P92" s="16">
        <f t="shared" si="22"/>
        <v>0</v>
      </c>
      <c r="Q92" s="36">
        <f t="shared" si="23"/>
        <v>0</v>
      </c>
      <c r="R92" s="36">
        <f t="shared" si="29"/>
        <v>0</v>
      </c>
      <c r="S92" s="30">
        <f t="shared" si="30"/>
        <v>2734650</v>
      </c>
      <c r="T92" s="30">
        <f>(S92-L92+M92-O92-R92)*'Valores Vigentes'!$D$6</f>
        <v>109386</v>
      </c>
      <c r="U92" s="30">
        <f>(S92-L92+M92-O92-R92)*'Valores Vigentes'!$D$7</f>
        <v>109386</v>
      </c>
      <c r="V92" s="36">
        <f>IF(I92&gt;'Valores Vigentes'!$D$4*4,I92*1%,0)</f>
        <v>0</v>
      </c>
      <c r="W92" s="36">
        <f t="shared" si="24"/>
        <v>0</v>
      </c>
      <c r="X92" s="36">
        <f t="shared" si="31"/>
        <v>88500</v>
      </c>
      <c r="Y92" s="36">
        <f t="shared" si="32"/>
        <v>0</v>
      </c>
      <c r="Z92" s="30">
        <f t="shared" si="33"/>
        <v>307272</v>
      </c>
      <c r="AA92" s="30">
        <f t="shared" si="34"/>
        <v>2427378</v>
      </c>
    </row>
    <row r="93" spans="1:27" ht="15.75" customHeight="1" x14ac:dyDescent="0.25">
      <c r="A93" s="16" t="str">
        <f>CONCATENATE(G93,COUNTIF($G$14:G93,G93))</f>
        <v>MERCADEO7</v>
      </c>
      <c r="B93" s="17" t="s">
        <v>144</v>
      </c>
      <c r="C93" s="17" t="s">
        <v>275</v>
      </c>
      <c r="D93" s="17">
        <v>3</v>
      </c>
      <c r="E93" s="17" t="s">
        <v>277</v>
      </c>
      <c r="F93" s="17" t="s">
        <v>276</v>
      </c>
      <c r="G93" s="17" t="s">
        <v>37</v>
      </c>
      <c r="H93" s="17" t="str">
        <f t="shared" si="20"/>
        <v>SECRETARIAS</v>
      </c>
      <c r="I93" s="30">
        <f t="shared" si="21"/>
        <v>1813000</v>
      </c>
      <c r="J93" s="16">
        <v>28</v>
      </c>
      <c r="K93" s="30">
        <f t="shared" si="25"/>
        <v>1692133.3333333335</v>
      </c>
      <c r="L93" s="36">
        <f>IF(I93&lt;='Valores Vigentes'!D$4*2,'Valores Vigentes'!$D$5/30*J93,0)</f>
        <v>186666.66666666669</v>
      </c>
      <c r="M93" s="36">
        <f t="shared" si="26"/>
        <v>25382</v>
      </c>
      <c r="N93" s="36">
        <f t="shared" si="27"/>
        <v>0</v>
      </c>
      <c r="O93" s="36">
        <f t="shared" si="28"/>
        <v>25382</v>
      </c>
      <c r="P93" s="16">
        <f t="shared" si="22"/>
        <v>556261.36363636353</v>
      </c>
      <c r="Q93" s="36">
        <f t="shared" si="23"/>
        <v>27</v>
      </c>
      <c r="R93" s="36">
        <f t="shared" si="29"/>
        <v>0</v>
      </c>
      <c r="S93" s="30">
        <f t="shared" si="30"/>
        <v>1929591.0000000002</v>
      </c>
      <c r="T93" s="30">
        <f>(S93-L93+M93-O93-R93)*'Valores Vigentes'!$D$6</f>
        <v>69716.973333333342</v>
      </c>
      <c r="U93" s="30">
        <f>(S93-L93+M93-O93-R93)*'Valores Vigentes'!$D$7</f>
        <v>69716.973333333342</v>
      </c>
      <c r="V93" s="36">
        <f>IF(I93&gt;'Valores Vigentes'!$D$4*4,I93*1%,0)</f>
        <v>0</v>
      </c>
      <c r="W93" s="36">
        <f t="shared" si="24"/>
        <v>0</v>
      </c>
      <c r="X93" s="36">
        <f t="shared" si="31"/>
        <v>0</v>
      </c>
      <c r="Y93" s="36">
        <f t="shared" si="32"/>
        <v>38591.820000000007</v>
      </c>
      <c r="Z93" s="30">
        <f t="shared" si="33"/>
        <v>178025.76666666669</v>
      </c>
      <c r="AA93" s="30">
        <f t="shared" si="34"/>
        <v>1751565.2333333336</v>
      </c>
    </row>
    <row r="94" spans="1:27" ht="15.75" customHeight="1" x14ac:dyDescent="0.25">
      <c r="A94" s="16" t="str">
        <f>CONCATENATE(G94,COUNTIF($G$14:G94,G94))</f>
        <v>VENTAS35</v>
      </c>
      <c r="B94" s="17" t="s">
        <v>145</v>
      </c>
      <c r="C94" s="17" t="s">
        <v>278</v>
      </c>
      <c r="D94" s="17">
        <v>1</v>
      </c>
      <c r="E94" s="17" t="s">
        <v>277</v>
      </c>
      <c r="F94" s="17" t="s">
        <v>276</v>
      </c>
      <c r="G94" s="17" t="s">
        <v>31</v>
      </c>
      <c r="H94" s="17" t="str">
        <f t="shared" si="20"/>
        <v>AUXILIAR ADMON</v>
      </c>
      <c r="I94" s="30">
        <f t="shared" si="21"/>
        <v>1423500</v>
      </c>
      <c r="J94" s="16">
        <v>29</v>
      </c>
      <c r="K94" s="30">
        <f t="shared" si="25"/>
        <v>1376050</v>
      </c>
      <c r="L94" s="36">
        <f>IF(I94&lt;='Valores Vigentes'!D$4*2,'Valores Vigentes'!$D$5/30*J94,0)</f>
        <v>193333.33333333334</v>
      </c>
      <c r="M94" s="36">
        <f t="shared" si="26"/>
        <v>20640.75</v>
      </c>
      <c r="N94" s="36">
        <f t="shared" si="27"/>
        <v>48161.750000000007</v>
      </c>
      <c r="O94" s="36">
        <f t="shared" si="28"/>
        <v>20640.75</v>
      </c>
      <c r="P94" s="16">
        <f t="shared" si="22"/>
        <v>323522.72727272724</v>
      </c>
      <c r="Q94" s="36">
        <f t="shared" si="23"/>
        <v>20</v>
      </c>
      <c r="R94" s="36">
        <f t="shared" si="29"/>
        <v>0</v>
      </c>
      <c r="S94" s="30">
        <f t="shared" si="30"/>
        <v>1658846.5833333333</v>
      </c>
      <c r="T94" s="30">
        <f>(S94-L94+M94-O94-R94)*'Valores Vigentes'!$D$6</f>
        <v>58620.53</v>
      </c>
      <c r="U94" s="30">
        <f>(S94-L94+M94-O94-R94)*'Valores Vigentes'!$D$7</f>
        <v>58620.53</v>
      </c>
      <c r="V94" s="36">
        <f>IF(I94&gt;'Valores Vigentes'!$D$4*4,I94*1%,0)</f>
        <v>0</v>
      </c>
      <c r="W94" s="36">
        <f t="shared" si="24"/>
        <v>0</v>
      </c>
      <c r="X94" s="36">
        <f t="shared" si="31"/>
        <v>0</v>
      </c>
      <c r="Y94" s="36">
        <f t="shared" si="32"/>
        <v>33176.931666666664</v>
      </c>
      <c r="Z94" s="30">
        <f t="shared" si="33"/>
        <v>150417.99166666667</v>
      </c>
      <c r="AA94" s="30">
        <f t="shared" si="34"/>
        <v>1508428.5916666666</v>
      </c>
    </row>
    <row r="95" spans="1:27" ht="15.75" customHeight="1" x14ac:dyDescent="0.25">
      <c r="A95" s="16" t="str">
        <f>CONCATENATE(G95,COUNTIF($G$14:G95,G95))</f>
        <v>PERSONAL2</v>
      </c>
      <c r="B95" s="17" t="s">
        <v>146</v>
      </c>
      <c r="C95" s="17" t="s">
        <v>278</v>
      </c>
      <c r="D95" s="17">
        <v>2</v>
      </c>
      <c r="E95" s="17" t="s">
        <v>276</v>
      </c>
      <c r="F95" s="17" t="s">
        <v>276</v>
      </c>
      <c r="G95" s="17" t="s">
        <v>45</v>
      </c>
      <c r="H95" s="17" t="str">
        <f t="shared" si="20"/>
        <v>ASISTENTES</v>
      </c>
      <c r="I95" s="30">
        <f t="shared" si="21"/>
        <v>1626000</v>
      </c>
      <c r="J95" s="16">
        <v>26</v>
      </c>
      <c r="K95" s="30">
        <f t="shared" si="25"/>
        <v>1409200</v>
      </c>
      <c r="L95" s="36">
        <f>IF(I95&lt;='Valores Vigentes'!D$4*2,'Valores Vigentes'!$D$5/30*J95,0)</f>
        <v>173333.33333333334</v>
      </c>
      <c r="M95" s="36">
        <f t="shared" si="26"/>
        <v>21138</v>
      </c>
      <c r="N95" s="36">
        <f t="shared" si="27"/>
        <v>0</v>
      </c>
      <c r="O95" s="36">
        <f t="shared" si="28"/>
        <v>35230</v>
      </c>
      <c r="P95" s="16">
        <f t="shared" si="22"/>
        <v>184772.72727272729</v>
      </c>
      <c r="Q95" s="36">
        <f t="shared" si="23"/>
        <v>10</v>
      </c>
      <c r="R95" s="36">
        <f t="shared" si="29"/>
        <v>0</v>
      </c>
      <c r="S95" s="30">
        <f t="shared" si="30"/>
        <v>1638911.3333333333</v>
      </c>
      <c r="T95" s="30">
        <f>(S95-L95+M95-O95-R95)*'Valores Vigentes'!$D$6</f>
        <v>58059.44</v>
      </c>
      <c r="U95" s="30">
        <f>(S95-L95+M95-O95-R95)*'Valores Vigentes'!$D$7</f>
        <v>58059.44</v>
      </c>
      <c r="V95" s="36">
        <f>IF(I95&gt;'Valores Vigentes'!$D$4*4,I95*1%,0)</f>
        <v>0</v>
      </c>
      <c r="W95" s="36">
        <f t="shared" si="24"/>
        <v>0</v>
      </c>
      <c r="X95" s="36">
        <f t="shared" si="31"/>
        <v>48780</v>
      </c>
      <c r="Y95" s="36">
        <f t="shared" si="32"/>
        <v>32778.226666666669</v>
      </c>
      <c r="Z95" s="30">
        <f t="shared" si="33"/>
        <v>197677.10666666669</v>
      </c>
      <c r="AA95" s="30">
        <f t="shared" si="34"/>
        <v>1441234.2266666666</v>
      </c>
    </row>
    <row r="96" spans="1:27" ht="15.75" customHeight="1" x14ac:dyDescent="0.25">
      <c r="A96" s="16" t="str">
        <f>CONCATENATE(G96,COUNTIF($G$14:G96,G96))</f>
        <v>VENTAS36</v>
      </c>
      <c r="B96" s="17" t="s">
        <v>147</v>
      </c>
      <c r="C96" s="17" t="s">
        <v>278</v>
      </c>
      <c r="D96" s="17">
        <v>1</v>
      </c>
      <c r="E96" s="17" t="s">
        <v>276</v>
      </c>
      <c r="F96" s="17" t="s">
        <v>276</v>
      </c>
      <c r="G96" s="17" t="s">
        <v>31</v>
      </c>
      <c r="H96" s="17" t="str">
        <f t="shared" si="20"/>
        <v>AUXILIAR ADMON</v>
      </c>
      <c r="I96" s="30">
        <f t="shared" si="21"/>
        <v>1423500</v>
      </c>
      <c r="J96" s="16">
        <v>30</v>
      </c>
      <c r="K96" s="30">
        <f t="shared" si="25"/>
        <v>1423500</v>
      </c>
      <c r="L96" s="36">
        <f>IF(I96&lt;='Valores Vigentes'!D$4*2,'Valores Vigentes'!$D$5/30*J96,0)</f>
        <v>200000</v>
      </c>
      <c r="M96" s="36">
        <f t="shared" si="26"/>
        <v>35587.5</v>
      </c>
      <c r="N96" s="36">
        <f t="shared" si="27"/>
        <v>49822.500000000007</v>
      </c>
      <c r="O96" s="36">
        <f t="shared" si="28"/>
        <v>35587.5</v>
      </c>
      <c r="P96" s="16">
        <f t="shared" si="22"/>
        <v>355874.99999999994</v>
      </c>
      <c r="Q96" s="36">
        <f t="shared" si="23"/>
        <v>22</v>
      </c>
      <c r="R96" s="36">
        <f t="shared" si="29"/>
        <v>0</v>
      </c>
      <c r="S96" s="30">
        <f t="shared" si="30"/>
        <v>1744519.5</v>
      </c>
      <c r="T96" s="30">
        <f>(S96-L96+M96-O96-R96)*'Valores Vigentes'!$D$6</f>
        <v>61780.78</v>
      </c>
      <c r="U96" s="30">
        <f>(S96-L96+M96-O96-R96)*'Valores Vigentes'!$D$7</f>
        <v>61780.78</v>
      </c>
      <c r="V96" s="36">
        <f>IF(I96&gt;'Valores Vigentes'!$D$4*4,I96*1%,0)</f>
        <v>0</v>
      </c>
      <c r="W96" s="36">
        <f t="shared" si="24"/>
        <v>0</v>
      </c>
      <c r="X96" s="36">
        <f t="shared" si="31"/>
        <v>42705</v>
      </c>
      <c r="Y96" s="36">
        <f t="shared" si="32"/>
        <v>34890.39</v>
      </c>
      <c r="Z96" s="30">
        <f t="shared" si="33"/>
        <v>201156.95</v>
      </c>
      <c r="AA96" s="30">
        <f t="shared" si="34"/>
        <v>1543362.55</v>
      </c>
    </row>
    <row r="97" spans="1:27" ht="15.75" customHeight="1" x14ac:dyDescent="0.25">
      <c r="A97" s="16" t="str">
        <f>CONCATENATE(G97,COUNTIF($G$14:G97,G97))</f>
        <v>ADMON10</v>
      </c>
      <c r="B97" s="17" t="s">
        <v>148</v>
      </c>
      <c r="C97" s="17" t="s">
        <v>278</v>
      </c>
      <c r="D97" s="17">
        <v>4</v>
      </c>
      <c r="E97" s="17" t="s">
        <v>276</v>
      </c>
      <c r="F97" s="17" t="s">
        <v>277</v>
      </c>
      <c r="G97" s="17" t="s">
        <v>35</v>
      </c>
      <c r="H97" s="17" t="str">
        <f t="shared" si="20"/>
        <v>TÉCNICO PROFESIONAL</v>
      </c>
      <c r="I97" s="30">
        <f t="shared" si="21"/>
        <v>2450000</v>
      </c>
      <c r="J97" s="16">
        <v>28</v>
      </c>
      <c r="K97" s="30">
        <f t="shared" si="25"/>
        <v>2286666.666666667</v>
      </c>
      <c r="L97" s="36">
        <f>IF(I97&lt;='Valores Vigentes'!D$4*2,'Valores Vigentes'!$D$5/30*J97,0)</f>
        <v>186666.66666666669</v>
      </c>
      <c r="M97" s="36">
        <f t="shared" si="26"/>
        <v>34300</v>
      </c>
      <c r="N97" s="36">
        <f t="shared" si="27"/>
        <v>0</v>
      </c>
      <c r="O97" s="36">
        <f t="shared" si="28"/>
        <v>34300</v>
      </c>
      <c r="P97" s="16">
        <f t="shared" si="22"/>
        <v>222727.27272727271</v>
      </c>
      <c r="Q97" s="36">
        <f t="shared" si="23"/>
        <v>8</v>
      </c>
      <c r="R97" s="36">
        <f t="shared" si="29"/>
        <v>0</v>
      </c>
      <c r="S97" s="30">
        <f t="shared" si="30"/>
        <v>2541941.333333334</v>
      </c>
      <c r="T97" s="30">
        <f>(S97-L97+M97-O97-R97)*'Valores Vigentes'!$D$6</f>
        <v>94210.986666666693</v>
      </c>
      <c r="U97" s="30">
        <f>(S97-L97+M97-O97-R97)*'Valores Vigentes'!$D$7</f>
        <v>94210.986666666693</v>
      </c>
      <c r="V97" s="36">
        <f>IF(I97&gt;'Valores Vigentes'!$D$4*4,I97*1%,0)</f>
        <v>0</v>
      </c>
      <c r="W97" s="36">
        <f t="shared" si="24"/>
        <v>0</v>
      </c>
      <c r="X97" s="36">
        <f t="shared" si="31"/>
        <v>73500</v>
      </c>
      <c r="Y97" s="36">
        <f t="shared" si="32"/>
        <v>0</v>
      </c>
      <c r="Z97" s="30">
        <f t="shared" si="33"/>
        <v>261921.97333333339</v>
      </c>
      <c r="AA97" s="30">
        <f t="shared" si="34"/>
        <v>2280019.3600000003</v>
      </c>
    </row>
    <row r="98" spans="1:27" ht="15.75" customHeight="1" x14ac:dyDescent="0.25">
      <c r="A98" s="16" t="str">
        <f>CONCATENATE(G98,COUNTIF($G$14:G98,G98))</f>
        <v>VENTAS37</v>
      </c>
      <c r="B98" s="17" t="s">
        <v>149</v>
      </c>
      <c r="C98" s="17" t="s">
        <v>278</v>
      </c>
      <c r="D98" s="17">
        <v>4</v>
      </c>
      <c r="E98" s="17" t="s">
        <v>276</v>
      </c>
      <c r="F98" s="17" t="s">
        <v>277</v>
      </c>
      <c r="G98" s="17" t="s">
        <v>31</v>
      </c>
      <c r="H98" s="17" t="str">
        <f t="shared" si="20"/>
        <v>TÉCNICO PROFESIONAL</v>
      </c>
      <c r="I98" s="30">
        <f t="shared" si="21"/>
        <v>2450000</v>
      </c>
      <c r="J98" s="16">
        <v>30</v>
      </c>
      <c r="K98" s="30">
        <f t="shared" si="25"/>
        <v>2450000</v>
      </c>
      <c r="L98" s="36">
        <f>IF(I98&lt;='Valores Vigentes'!D$4*2,'Valores Vigentes'!$D$5/30*J98,0)</f>
        <v>200000</v>
      </c>
      <c r="M98" s="36">
        <f t="shared" si="26"/>
        <v>61250</v>
      </c>
      <c r="N98" s="36">
        <f t="shared" si="27"/>
        <v>85750.000000000015</v>
      </c>
      <c r="O98" s="36">
        <f t="shared" si="28"/>
        <v>36750</v>
      </c>
      <c r="P98" s="16">
        <f t="shared" si="22"/>
        <v>417613.63636363635</v>
      </c>
      <c r="Q98" s="36">
        <f t="shared" si="23"/>
        <v>15</v>
      </c>
      <c r="R98" s="36">
        <f t="shared" si="29"/>
        <v>0</v>
      </c>
      <c r="S98" s="30">
        <f t="shared" si="30"/>
        <v>2833765</v>
      </c>
      <c r="T98" s="30">
        <f>(S98-L98+M98-O98-R98)*'Valores Vigentes'!$D$6</f>
        <v>106330.6</v>
      </c>
      <c r="U98" s="30">
        <f>(S98-L98+M98-O98-R98)*'Valores Vigentes'!$D$7</f>
        <v>106330.6</v>
      </c>
      <c r="V98" s="36">
        <f>IF(I98&gt;'Valores Vigentes'!$D$4*4,I98*1%,0)</f>
        <v>0</v>
      </c>
      <c r="W98" s="36">
        <f t="shared" si="24"/>
        <v>0</v>
      </c>
      <c r="X98" s="36">
        <f t="shared" si="31"/>
        <v>73500</v>
      </c>
      <c r="Y98" s="36">
        <f t="shared" si="32"/>
        <v>0</v>
      </c>
      <c r="Z98" s="30">
        <f t="shared" si="33"/>
        <v>286161.2</v>
      </c>
      <c r="AA98" s="30">
        <f t="shared" si="34"/>
        <v>2547603.7999999998</v>
      </c>
    </row>
    <row r="99" spans="1:27" ht="15.75" customHeight="1" x14ac:dyDescent="0.25">
      <c r="A99" s="16" t="str">
        <f>CONCATENATE(G99,COUNTIF($G$14:G99,G99))</f>
        <v>VENTAS38</v>
      </c>
      <c r="B99" s="17" t="s">
        <v>150</v>
      </c>
      <c r="C99" s="17" t="s">
        <v>278</v>
      </c>
      <c r="D99" s="17">
        <v>8</v>
      </c>
      <c r="E99" s="17" t="s">
        <v>277</v>
      </c>
      <c r="F99" s="17" t="s">
        <v>276</v>
      </c>
      <c r="G99" s="17" t="s">
        <v>31</v>
      </c>
      <c r="H99" s="17" t="str">
        <f t="shared" si="20"/>
        <v>ASESOR</v>
      </c>
      <c r="I99" s="30">
        <f t="shared" si="21"/>
        <v>3900000</v>
      </c>
      <c r="J99" s="16">
        <v>27</v>
      </c>
      <c r="K99" s="30">
        <f t="shared" si="25"/>
        <v>3510000</v>
      </c>
      <c r="L99" s="36">
        <f>IF(I99&lt;='Valores Vigentes'!D$4*2,'Valores Vigentes'!$D$5/30*J99,0)</f>
        <v>0</v>
      </c>
      <c r="M99" s="36">
        <f t="shared" si="26"/>
        <v>52650</v>
      </c>
      <c r="N99" s="36">
        <f t="shared" si="27"/>
        <v>122850.00000000001</v>
      </c>
      <c r="O99" s="36">
        <f t="shared" si="28"/>
        <v>52650</v>
      </c>
      <c r="P99" s="16">
        <f t="shared" si="22"/>
        <v>398863.63636363641</v>
      </c>
      <c r="Q99" s="36">
        <f t="shared" si="23"/>
        <v>9</v>
      </c>
      <c r="R99" s="36">
        <f t="shared" si="29"/>
        <v>0</v>
      </c>
      <c r="S99" s="30">
        <f t="shared" si="30"/>
        <v>3738159</v>
      </c>
      <c r="T99" s="30">
        <f>(S99-L99+M99-O99-R99)*'Valores Vigentes'!$D$6</f>
        <v>149526.36000000002</v>
      </c>
      <c r="U99" s="30">
        <f>(S99-L99+M99-O99-R99)*'Valores Vigentes'!$D$7</f>
        <v>149526.36000000002</v>
      </c>
      <c r="V99" s="36">
        <f>IF(I99&gt;'Valores Vigentes'!$D$4*4,I99*1%,0)</f>
        <v>0</v>
      </c>
      <c r="W99" s="36">
        <f t="shared" si="24"/>
        <v>0</v>
      </c>
      <c r="X99" s="36">
        <f t="shared" si="31"/>
        <v>0</v>
      </c>
      <c r="Y99" s="36">
        <f t="shared" si="32"/>
        <v>74763.180000000008</v>
      </c>
      <c r="Z99" s="30">
        <f t="shared" si="33"/>
        <v>373815.9</v>
      </c>
      <c r="AA99" s="30">
        <f t="shared" si="34"/>
        <v>3364343.1</v>
      </c>
    </row>
    <row r="100" spans="1:27" ht="15.75" customHeight="1" x14ac:dyDescent="0.25">
      <c r="A100" s="16" t="str">
        <f>CONCATENATE(G100,COUNTIF($G$14:G100,G100))</f>
        <v>COMPRAS16</v>
      </c>
      <c r="B100" s="17" t="s">
        <v>151</v>
      </c>
      <c r="C100" s="17" t="s">
        <v>278</v>
      </c>
      <c r="D100" s="17">
        <v>6</v>
      </c>
      <c r="E100" s="17" t="s">
        <v>276</v>
      </c>
      <c r="F100" s="17" t="s">
        <v>276</v>
      </c>
      <c r="G100" s="17" t="s">
        <v>33</v>
      </c>
      <c r="H100" s="17" t="str">
        <f t="shared" si="20"/>
        <v>PROFESIONAL</v>
      </c>
      <c r="I100" s="30">
        <f t="shared" si="21"/>
        <v>2950000</v>
      </c>
      <c r="J100" s="16">
        <v>25</v>
      </c>
      <c r="K100" s="30">
        <f t="shared" si="25"/>
        <v>2458333.333333333</v>
      </c>
      <c r="L100" s="36">
        <f>IF(I100&lt;='Valores Vigentes'!D$4*2,'Valores Vigentes'!$D$5/30*J100,0)</f>
        <v>0</v>
      </c>
      <c r="M100" s="36">
        <f t="shared" si="26"/>
        <v>36874.999999999993</v>
      </c>
      <c r="N100" s="36">
        <f t="shared" si="27"/>
        <v>0</v>
      </c>
      <c r="O100" s="36">
        <f t="shared" si="28"/>
        <v>61458.333333333328</v>
      </c>
      <c r="P100" s="16">
        <f t="shared" si="22"/>
        <v>636931.81818181812</v>
      </c>
      <c r="Q100" s="36">
        <f t="shared" si="23"/>
        <v>19</v>
      </c>
      <c r="R100" s="36">
        <f t="shared" si="29"/>
        <v>0</v>
      </c>
      <c r="S100" s="30">
        <f t="shared" si="30"/>
        <v>2556685.666666666</v>
      </c>
      <c r="T100" s="30">
        <f>(S100-L100+M100-O100-R100)*'Valores Vigentes'!$D$6</f>
        <v>101284.09333333331</v>
      </c>
      <c r="U100" s="30">
        <f>(S100-L100+M100-O100-R100)*'Valores Vigentes'!$D$7</f>
        <v>101284.09333333331</v>
      </c>
      <c r="V100" s="36">
        <f>IF(I100&gt;'Valores Vigentes'!$D$4*4,I100*1%,0)</f>
        <v>0</v>
      </c>
      <c r="W100" s="36">
        <f t="shared" si="24"/>
        <v>0</v>
      </c>
      <c r="X100" s="36">
        <f t="shared" si="31"/>
        <v>88500</v>
      </c>
      <c r="Y100" s="36">
        <f t="shared" si="32"/>
        <v>51133.713333333319</v>
      </c>
      <c r="Z100" s="30">
        <f t="shared" si="33"/>
        <v>342201.89999999997</v>
      </c>
      <c r="AA100" s="30">
        <f t="shared" si="34"/>
        <v>2214483.7666666661</v>
      </c>
    </row>
    <row r="101" spans="1:27" ht="15.75" customHeight="1" x14ac:dyDescent="0.25">
      <c r="A101" s="16" t="str">
        <f>CONCATENATE(G101,COUNTIF($G$14:G101,G101))</f>
        <v>FINANCIERO7</v>
      </c>
      <c r="B101" s="17" t="s">
        <v>152</v>
      </c>
      <c r="C101" s="17" t="s">
        <v>278</v>
      </c>
      <c r="D101" s="17">
        <v>1</v>
      </c>
      <c r="E101" s="17" t="s">
        <v>277</v>
      </c>
      <c r="F101" s="17" t="s">
        <v>276</v>
      </c>
      <c r="G101" s="17" t="s">
        <v>43</v>
      </c>
      <c r="H101" s="17" t="str">
        <f t="shared" si="20"/>
        <v>AUXILIAR ADMON</v>
      </c>
      <c r="I101" s="30">
        <f t="shared" si="21"/>
        <v>1423500</v>
      </c>
      <c r="J101" s="16">
        <v>26</v>
      </c>
      <c r="K101" s="30">
        <f t="shared" si="25"/>
        <v>1233700</v>
      </c>
      <c r="L101" s="36">
        <f>IF(I101&lt;='Valores Vigentes'!D$4*2,'Valores Vigentes'!$D$5/30*J101,0)</f>
        <v>173333.33333333334</v>
      </c>
      <c r="M101" s="36">
        <f t="shared" si="26"/>
        <v>18505.5</v>
      </c>
      <c r="N101" s="36">
        <f t="shared" si="27"/>
        <v>0</v>
      </c>
      <c r="O101" s="36">
        <f t="shared" si="28"/>
        <v>18505.5</v>
      </c>
      <c r="P101" s="16">
        <f t="shared" si="22"/>
        <v>48528.409090909088</v>
      </c>
      <c r="Q101" s="36">
        <f t="shared" si="23"/>
        <v>3</v>
      </c>
      <c r="R101" s="36">
        <f t="shared" si="29"/>
        <v>0</v>
      </c>
      <c r="S101" s="30">
        <f t="shared" si="30"/>
        <v>1444047.3333333333</v>
      </c>
      <c r="T101" s="30">
        <f>(S101-L101+M101-O101-R101)*'Valores Vigentes'!$D$6</f>
        <v>50828.56</v>
      </c>
      <c r="U101" s="30">
        <f>(S101-L101+M101-O101-R101)*'Valores Vigentes'!$D$7</f>
        <v>50828.56</v>
      </c>
      <c r="V101" s="36">
        <f>IF(I101&gt;'Valores Vigentes'!$D$4*4,I101*1%,0)</f>
        <v>0</v>
      </c>
      <c r="W101" s="36">
        <f t="shared" si="24"/>
        <v>0</v>
      </c>
      <c r="X101" s="36">
        <f t="shared" si="31"/>
        <v>0</v>
      </c>
      <c r="Y101" s="36">
        <f t="shared" si="32"/>
        <v>28880.946666666667</v>
      </c>
      <c r="Z101" s="30">
        <f t="shared" si="33"/>
        <v>130538.06666666667</v>
      </c>
      <c r="AA101" s="30">
        <f t="shared" si="34"/>
        <v>1313509.2666666666</v>
      </c>
    </row>
    <row r="102" spans="1:27" ht="15.75" customHeight="1" x14ac:dyDescent="0.25">
      <c r="A102" s="16" t="str">
        <f>CONCATENATE(G102,COUNTIF($G$14:G102,G102))</f>
        <v>VENTAS39</v>
      </c>
      <c r="B102" s="17" t="s">
        <v>153</v>
      </c>
      <c r="C102" s="17" t="s">
        <v>278</v>
      </c>
      <c r="D102" s="17">
        <v>5</v>
      </c>
      <c r="E102" s="17" t="s">
        <v>276</v>
      </c>
      <c r="F102" s="17" t="s">
        <v>276</v>
      </c>
      <c r="G102" s="17" t="s">
        <v>31</v>
      </c>
      <c r="H102" s="17" t="str">
        <f t="shared" si="20"/>
        <v>ASESOR VENTAS</v>
      </c>
      <c r="I102" s="30">
        <f t="shared" si="21"/>
        <v>2650000</v>
      </c>
      <c r="J102" s="16">
        <v>26</v>
      </c>
      <c r="K102" s="30">
        <f t="shared" si="25"/>
        <v>2296666.6666666665</v>
      </c>
      <c r="L102" s="36">
        <f>IF(I102&lt;='Valores Vigentes'!D$4*2,'Valores Vigentes'!$D$5/30*J102,0)</f>
        <v>173333.33333333334</v>
      </c>
      <c r="M102" s="36">
        <f t="shared" si="26"/>
        <v>34450</v>
      </c>
      <c r="N102" s="36">
        <f t="shared" si="27"/>
        <v>80383.333333333328</v>
      </c>
      <c r="O102" s="36">
        <f t="shared" si="28"/>
        <v>57416.666666666664</v>
      </c>
      <c r="P102" s="16">
        <f t="shared" si="22"/>
        <v>481818.18181818182</v>
      </c>
      <c r="Q102" s="36">
        <f t="shared" si="23"/>
        <v>16</v>
      </c>
      <c r="R102" s="36">
        <f t="shared" si="29"/>
        <v>0</v>
      </c>
      <c r="S102" s="30">
        <f t="shared" si="30"/>
        <v>2642266</v>
      </c>
      <c r="T102" s="30">
        <f>(S102-L102+M102-O102-R102)*'Valores Vigentes'!$D$6</f>
        <v>97838.64</v>
      </c>
      <c r="U102" s="30">
        <f>(S102-L102+M102-O102-R102)*'Valores Vigentes'!$D$7</f>
        <v>97838.64</v>
      </c>
      <c r="V102" s="36">
        <f>IF(I102&gt;'Valores Vigentes'!$D$4*4,I102*1%,0)</f>
        <v>0</v>
      </c>
      <c r="W102" s="36">
        <f t="shared" si="24"/>
        <v>0</v>
      </c>
      <c r="X102" s="36">
        <f t="shared" si="31"/>
        <v>79500</v>
      </c>
      <c r="Y102" s="36">
        <f t="shared" si="32"/>
        <v>52845.32</v>
      </c>
      <c r="Z102" s="30">
        <f t="shared" si="33"/>
        <v>328022.60000000003</v>
      </c>
      <c r="AA102" s="30">
        <f t="shared" si="34"/>
        <v>2314243.4</v>
      </c>
    </row>
    <row r="103" spans="1:27" ht="15.75" customHeight="1" x14ac:dyDescent="0.25">
      <c r="A103" s="16" t="str">
        <f>CONCATENATE(G103,COUNTIF($G$14:G103,G103))</f>
        <v>PUBLICIDAD1</v>
      </c>
      <c r="B103" s="17" t="s">
        <v>154</v>
      </c>
      <c r="C103" s="17" t="s">
        <v>275</v>
      </c>
      <c r="D103" s="17">
        <v>5</v>
      </c>
      <c r="E103" s="17" t="s">
        <v>277</v>
      </c>
      <c r="F103" s="17" t="s">
        <v>276</v>
      </c>
      <c r="G103" s="17" t="s">
        <v>47</v>
      </c>
      <c r="H103" s="17" t="str">
        <f t="shared" si="20"/>
        <v>ASESOR VENTAS</v>
      </c>
      <c r="I103" s="30">
        <f t="shared" si="21"/>
        <v>2650000</v>
      </c>
      <c r="J103" s="16">
        <v>28</v>
      </c>
      <c r="K103" s="30">
        <f t="shared" si="25"/>
        <v>2473333.333333333</v>
      </c>
      <c r="L103" s="36">
        <f>IF(I103&lt;='Valores Vigentes'!D$4*2,'Valores Vigentes'!$D$5/30*J103,0)</f>
        <v>186666.66666666669</v>
      </c>
      <c r="M103" s="36">
        <f t="shared" si="26"/>
        <v>37099.999999999993</v>
      </c>
      <c r="N103" s="36">
        <f t="shared" si="27"/>
        <v>0</v>
      </c>
      <c r="O103" s="36">
        <f t="shared" si="28"/>
        <v>37099.999999999993</v>
      </c>
      <c r="P103" s="16">
        <f t="shared" si="22"/>
        <v>722727.27272727271</v>
      </c>
      <c r="Q103" s="36">
        <f t="shared" si="23"/>
        <v>24</v>
      </c>
      <c r="R103" s="36">
        <f t="shared" si="29"/>
        <v>0</v>
      </c>
      <c r="S103" s="30">
        <f t="shared" si="30"/>
        <v>2734224</v>
      </c>
      <c r="T103" s="30">
        <f>(S103-L103+M103-O103-R103)*'Valores Vigentes'!$D$6</f>
        <v>101902.29333333333</v>
      </c>
      <c r="U103" s="30">
        <f>(S103-L103+M103-O103-R103)*'Valores Vigentes'!$D$7</f>
        <v>101902.29333333333</v>
      </c>
      <c r="V103" s="36">
        <f>IF(I103&gt;'Valores Vigentes'!$D$4*4,I103*1%,0)</f>
        <v>0</v>
      </c>
      <c r="W103" s="36">
        <f t="shared" si="24"/>
        <v>0</v>
      </c>
      <c r="X103" s="36">
        <f t="shared" si="31"/>
        <v>0</v>
      </c>
      <c r="Y103" s="36">
        <f t="shared" si="32"/>
        <v>54684.480000000003</v>
      </c>
      <c r="Z103" s="30">
        <f t="shared" si="33"/>
        <v>258489.06666666668</v>
      </c>
      <c r="AA103" s="30">
        <f t="shared" si="34"/>
        <v>2475734.9333333331</v>
      </c>
    </row>
    <row r="104" spans="1:27" ht="15.75" customHeight="1" x14ac:dyDescent="0.25">
      <c r="A104" s="16" t="str">
        <f>CONCATENATE(G104,COUNTIF($G$14:G104,G104))</f>
        <v>COMPRAS17</v>
      </c>
      <c r="B104" s="17" t="s">
        <v>155</v>
      </c>
      <c r="C104" s="17" t="s">
        <v>278</v>
      </c>
      <c r="D104" s="17">
        <v>7</v>
      </c>
      <c r="E104" s="17" t="s">
        <v>276</v>
      </c>
      <c r="F104" s="17" t="s">
        <v>276</v>
      </c>
      <c r="G104" s="17" t="s">
        <v>33</v>
      </c>
      <c r="H104" s="17" t="str">
        <f t="shared" si="20"/>
        <v>COORDINADOR</v>
      </c>
      <c r="I104" s="30">
        <f t="shared" si="21"/>
        <v>3250000</v>
      </c>
      <c r="J104" s="16">
        <v>25</v>
      </c>
      <c r="K104" s="30">
        <f t="shared" si="25"/>
        <v>2708333.333333333</v>
      </c>
      <c r="L104" s="36">
        <f>IF(I104&lt;='Valores Vigentes'!D$4*2,'Valores Vigentes'!$D$5/30*J104,0)</f>
        <v>0</v>
      </c>
      <c r="M104" s="36">
        <f t="shared" si="26"/>
        <v>40624.999999999993</v>
      </c>
      <c r="N104" s="36">
        <f t="shared" si="27"/>
        <v>0</v>
      </c>
      <c r="O104" s="36">
        <f t="shared" si="28"/>
        <v>67708.333333333328</v>
      </c>
      <c r="P104" s="16">
        <f t="shared" si="22"/>
        <v>590909.09090909082</v>
      </c>
      <c r="Q104" s="36">
        <f t="shared" si="23"/>
        <v>16</v>
      </c>
      <c r="R104" s="36">
        <f t="shared" si="29"/>
        <v>0</v>
      </c>
      <c r="S104" s="30">
        <f t="shared" si="30"/>
        <v>2816682.6666666665</v>
      </c>
      <c r="T104" s="30">
        <f>(S104-L104+M104-O104-R104)*'Valores Vigentes'!$D$6</f>
        <v>111583.97333333333</v>
      </c>
      <c r="U104" s="30">
        <f>(S104-L104+M104-O104-R104)*'Valores Vigentes'!$D$7</f>
        <v>111583.97333333333</v>
      </c>
      <c r="V104" s="36">
        <f>IF(I104&gt;'Valores Vigentes'!$D$4*4,I104*1%,0)</f>
        <v>0</v>
      </c>
      <c r="W104" s="36">
        <f t="shared" si="24"/>
        <v>0</v>
      </c>
      <c r="X104" s="36">
        <f t="shared" si="31"/>
        <v>97500</v>
      </c>
      <c r="Y104" s="36">
        <f t="shared" si="32"/>
        <v>56333.653333333328</v>
      </c>
      <c r="Z104" s="30">
        <f t="shared" si="33"/>
        <v>377001.6</v>
      </c>
      <c r="AA104" s="30">
        <f t="shared" si="34"/>
        <v>2439681.0666666664</v>
      </c>
    </row>
    <row r="105" spans="1:27" ht="15.75" customHeight="1" x14ac:dyDescent="0.25">
      <c r="A105" s="16" t="str">
        <f>CONCATENATE(G105,COUNTIF($G$14:G105,G105))</f>
        <v>ADMON11</v>
      </c>
      <c r="B105" s="17" t="s">
        <v>156</v>
      </c>
      <c r="C105" s="17" t="s">
        <v>275</v>
      </c>
      <c r="D105" s="17">
        <v>7</v>
      </c>
      <c r="E105" s="17" t="s">
        <v>276</v>
      </c>
      <c r="F105" s="17" t="s">
        <v>276</v>
      </c>
      <c r="G105" s="17" t="s">
        <v>35</v>
      </c>
      <c r="H105" s="17" t="str">
        <f t="shared" si="20"/>
        <v>COORDINADOR</v>
      </c>
      <c r="I105" s="30">
        <f t="shared" si="21"/>
        <v>3250000</v>
      </c>
      <c r="J105" s="16">
        <v>30</v>
      </c>
      <c r="K105" s="30">
        <f t="shared" si="25"/>
        <v>3250000</v>
      </c>
      <c r="L105" s="36">
        <f>IF(I105&lt;='Valores Vigentes'!D$4*2,'Valores Vigentes'!$D$5/30*J105,0)</f>
        <v>0</v>
      </c>
      <c r="M105" s="36">
        <f t="shared" si="26"/>
        <v>81250</v>
      </c>
      <c r="N105" s="36">
        <f t="shared" si="27"/>
        <v>0</v>
      </c>
      <c r="O105" s="36">
        <f t="shared" si="28"/>
        <v>81250</v>
      </c>
      <c r="P105" s="16">
        <f t="shared" si="22"/>
        <v>332386.36363636359</v>
      </c>
      <c r="Q105" s="36">
        <f t="shared" si="23"/>
        <v>9</v>
      </c>
      <c r="R105" s="36">
        <f t="shared" si="29"/>
        <v>0</v>
      </c>
      <c r="S105" s="30">
        <f t="shared" si="30"/>
        <v>3412509</v>
      </c>
      <c r="T105" s="30">
        <f>(S105-L105+M105-O105-R105)*'Valores Vigentes'!$D$6</f>
        <v>136500.36000000002</v>
      </c>
      <c r="U105" s="30">
        <f>(S105-L105+M105-O105-R105)*'Valores Vigentes'!$D$7</f>
        <v>136500.36000000002</v>
      </c>
      <c r="V105" s="36">
        <f>IF(I105&gt;'Valores Vigentes'!$D$4*4,I105*1%,0)</f>
        <v>0</v>
      </c>
      <c r="W105" s="36">
        <f t="shared" si="24"/>
        <v>0</v>
      </c>
      <c r="X105" s="36">
        <f t="shared" si="31"/>
        <v>97500</v>
      </c>
      <c r="Y105" s="36">
        <f t="shared" si="32"/>
        <v>68250.180000000008</v>
      </c>
      <c r="Z105" s="30">
        <f t="shared" si="33"/>
        <v>438750.9</v>
      </c>
      <c r="AA105" s="30">
        <f t="shared" si="34"/>
        <v>2973758.1</v>
      </c>
    </row>
    <row r="106" spans="1:27" ht="15.75" customHeight="1" x14ac:dyDescent="0.25">
      <c r="A106" s="16" t="str">
        <f>CONCATENATE(G106,COUNTIF($G$14:G106,G106))</f>
        <v>VENTAS40</v>
      </c>
      <c r="B106" s="17" t="s">
        <v>157</v>
      </c>
      <c r="C106" s="17" t="s">
        <v>275</v>
      </c>
      <c r="D106" s="17">
        <v>6</v>
      </c>
      <c r="E106" s="17" t="s">
        <v>276</v>
      </c>
      <c r="F106" s="17" t="s">
        <v>277</v>
      </c>
      <c r="G106" s="17" t="s">
        <v>31</v>
      </c>
      <c r="H106" s="17" t="str">
        <f t="shared" si="20"/>
        <v>PROFESIONAL</v>
      </c>
      <c r="I106" s="30">
        <f t="shared" si="21"/>
        <v>2950000</v>
      </c>
      <c r="J106" s="16">
        <v>27</v>
      </c>
      <c r="K106" s="30">
        <f t="shared" si="25"/>
        <v>2655000</v>
      </c>
      <c r="L106" s="36">
        <f>IF(I106&lt;='Valores Vigentes'!D$4*2,'Valores Vigentes'!$D$5/30*J106,0)</f>
        <v>0</v>
      </c>
      <c r="M106" s="36">
        <f t="shared" si="26"/>
        <v>39825</v>
      </c>
      <c r="N106" s="36">
        <f t="shared" si="27"/>
        <v>92925.000000000015</v>
      </c>
      <c r="O106" s="36">
        <f t="shared" si="28"/>
        <v>39825</v>
      </c>
      <c r="P106" s="16">
        <f t="shared" si="22"/>
        <v>301704.54545454547</v>
      </c>
      <c r="Q106" s="36">
        <f t="shared" si="23"/>
        <v>9</v>
      </c>
      <c r="R106" s="36">
        <f t="shared" si="29"/>
        <v>0</v>
      </c>
      <c r="S106" s="30">
        <f t="shared" si="30"/>
        <v>2827584</v>
      </c>
      <c r="T106" s="30">
        <f>(S106-L106+M106-O106-R106)*'Valores Vigentes'!$D$6</f>
        <v>113103.36</v>
      </c>
      <c r="U106" s="30">
        <f>(S106-L106+M106-O106-R106)*'Valores Vigentes'!$D$7</f>
        <v>113103.36</v>
      </c>
      <c r="V106" s="36">
        <f>IF(I106&gt;'Valores Vigentes'!$D$4*4,I106*1%,0)</f>
        <v>0</v>
      </c>
      <c r="W106" s="36">
        <f t="shared" si="24"/>
        <v>0</v>
      </c>
      <c r="X106" s="36">
        <f t="shared" si="31"/>
        <v>88500</v>
      </c>
      <c r="Y106" s="36">
        <f t="shared" si="32"/>
        <v>0</v>
      </c>
      <c r="Z106" s="30">
        <f t="shared" si="33"/>
        <v>314706.71999999997</v>
      </c>
      <c r="AA106" s="30">
        <f t="shared" si="34"/>
        <v>2512877.2800000003</v>
      </c>
    </row>
    <row r="107" spans="1:27" ht="15.75" customHeight="1" x14ac:dyDescent="0.25">
      <c r="A107" s="16" t="str">
        <f>CONCATENATE(G107,COUNTIF($G$14:G107,G107))</f>
        <v>VENTAS41</v>
      </c>
      <c r="B107" s="17" t="s">
        <v>158</v>
      </c>
      <c r="C107" s="17" t="s">
        <v>278</v>
      </c>
      <c r="D107" s="17">
        <v>3</v>
      </c>
      <c r="E107" s="17" t="s">
        <v>277</v>
      </c>
      <c r="F107" s="17" t="s">
        <v>276</v>
      </c>
      <c r="G107" s="17" t="s">
        <v>31</v>
      </c>
      <c r="H107" s="17" t="str">
        <f t="shared" si="20"/>
        <v>SECRETARIAS</v>
      </c>
      <c r="I107" s="30">
        <f t="shared" si="21"/>
        <v>1813000</v>
      </c>
      <c r="J107" s="16">
        <v>25</v>
      </c>
      <c r="K107" s="30">
        <f t="shared" si="25"/>
        <v>1510833.3333333335</v>
      </c>
      <c r="L107" s="36">
        <f>IF(I107&lt;='Valores Vigentes'!D$4*2,'Valores Vigentes'!$D$5/30*J107,0)</f>
        <v>166666.66666666669</v>
      </c>
      <c r="M107" s="36">
        <f t="shared" si="26"/>
        <v>22662.5</v>
      </c>
      <c r="N107" s="36">
        <f t="shared" si="27"/>
        <v>52879.166666666679</v>
      </c>
      <c r="O107" s="36">
        <f t="shared" si="28"/>
        <v>22662.5</v>
      </c>
      <c r="P107" s="16">
        <f t="shared" si="22"/>
        <v>309034.09090909088</v>
      </c>
      <c r="Q107" s="36">
        <f t="shared" si="23"/>
        <v>15</v>
      </c>
      <c r="R107" s="36">
        <f t="shared" si="29"/>
        <v>0</v>
      </c>
      <c r="S107" s="30">
        <f t="shared" si="30"/>
        <v>1775719.166666667</v>
      </c>
      <c r="T107" s="30">
        <f>(S107-L107+M107-O107-R107)*'Valores Vigentes'!$D$6</f>
        <v>64362.100000000013</v>
      </c>
      <c r="U107" s="30">
        <f>(S107-L107+M107-O107-R107)*'Valores Vigentes'!$D$7</f>
        <v>64362.100000000013</v>
      </c>
      <c r="V107" s="36">
        <f>IF(I107&gt;'Valores Vigentes'!$D$4*4,I107*1%,0)</f>
        <v>0</v>
      </c>
      <c r="W107" s="36">
        <f t="shared" si="24"/>
        <v>0</v>
      </c>
      <c r="X107" s="36">
        <f t="shared" si="31"/>
        <v>0</v>
      </c>
      <c r="Y107" s="36">
        <f t="shared" si="32"/>
        <v>35514.383333333339</v>
      </c>
      <c r="Z107" s="30">
        <f t="shared" si="33"/>
        <v>164238.58333333337</v>
      </c>
      <c r="AA107" s="30">
        <f t="shared" si="34"/>
        <v>1611480.5833333335</v>
      </c>
    </row>
    <row r="108" spans="1:27" ht="15.75" customHeight="1" x14ac:dyDescent="0.25">
      <c r="A108" s="16" t="str">
        <f>CONCATENATE(G108,COUNTIF($G$14:G108,G108))</f>
        <v>VENTAS42</v>
      </c>
      <c r="B108" s="17" t="s">
        <v>159</v>
      </c>
      <c r="C108" s="17" t="s">
        <v>275</v>
      </c>
      <c r="D108" s="17">
        <v>1</v>
      </c>
      <c r="E108" s="17" t="s">
        <v>277</v>
      </c>
      <c r="F108" s="17" t="s">
        <v>276</v>
      </c>
      <c r="G108" s="17" t="s">
        <v>31</v>
      </c>
      <c r="H108" s="17" t="str">
        <f t="shared" si="20"/>
        <v>AUXILIAR ADMON</v>
      </c>
      <c r="I108" s="30">
        <f t="shared" si="21"/>
        <v>1423500</v>
      </c>
      <c r="J108" s="16">
        <v>27</v>
      </c>
      <c r="K108" s="30">
        <f t="shared" si="25"/>
        <v>1281150</v>
      </c>
      <c r="L108" s="36">
        <f>IF(I108&lt;='Valores Vigentes'!D$4*2,'Valores Vigentes'!$D$5/30*J108,0)</f>
        <v>180000</v>
      </c>
      <c r="M108" s="36">
        <f t="shared" si="26"/>
        <v>19217.25</v>
      </c>
      <c r="N108" s="36">
        <f t="shared" si="27"/>
        <v>44840.250000000007</v>
      </c>
      <c r="O108" s="36">
        <f t="shared" si="28"/>
        <v>19217.25</v>
      </c>
      <c r="P108" s="16">
        <f t="shared" si="22"/>
        <v>226465.90909090906</v>
      </c>
      <c r="Q108" s="36">
        <f t="shared" si="23"/>
        <v>14</v>
      </c>
      <c r="R108" s="36">
        <f t="shared" si="29"/>
        <v>0</v>
      </c>
      <c r="S108" s="30">
        <f t="shared" si="30"/>
        <v>1544438.75</v>
      </c>
      <c r="T108" s="30">
        <f>(S108-L108+M108-O108-R108)*'Valores Vigentes'!$D$6</f>
        <v>54577.55</v>
      </c>
      <c r="U108" s="30">
        <f>(S108-L108+M108-O108-R108)*'Valores Vigentes'!$D$7</f>
        <v>54577.55</v>
      </c>
      <c r="V108" s="36">
        <f>IF(I108&gt;'Valores Vigentes'!$D$4*4,I108*1%,0)</f>
        <v>0</v>
      </c>
      <c r="W108" s="36">
        <f t="shared" si="24"/>
        <v>0</v>
      </c>
      <c r="X108" s="36">
        <f t="shared" si="31"/>
        <v>0</v>
      </c>
      <c r="Y108" s="36">
        <f t="shared" si="32"/>
        <v>30888.775000000001</v>
      </c>
      <c r="Z108" s="30">
        <f t="shared" si="33"/>
        <v>140043.875</v>
      </c>
      <c r="AA108" s="30">
        <f t="shared" si="34"/>
        <v>1404394.875</v>
      </c>
    </row>
    <row r="109" spans="1:27" ht="15.75" customHeight="1" x14ac:dyDescent="0.25">
      <c r="A109" s="16" t="str">
        <f>CONCATENATE(G109,COUNTIF($G$14:G109,G109))</f>
        <v>VENTAS43</v>
      </c>
      <c r="B109" s="17" t="s">
        <v>160</v>
      </c>
      <c r="C109" s="17" t="s">
        <v>278</v>
      </c>
      <c r="D109" s="17">
        <v>1</v>
      </c>
      <c r="E109" s="17" t="s">
        <v>276</v>
      </c>
      <c r="F109" s="17" t="s">
        <v>276</v>
      </c>
      <c r="G109" s="17" t="s">
        <v>31</v>
      </c>
      <c r="H109" s="17" t="str">
        <f t="shared" si="20"/>
        <v>AUXILIAR ADMON</v>
      </c>
      <c r="I109" s="30">
        <f t="shared" si="21"/>
        <v>1423500</v>
      </c>
      <c r="J109" s="16">
        <v>26</v>
      </c>
      <c r="K109" s="30">
        <f t="shared" si="25"/>
        <v>1233700</v>
      </c>
      <c r="L109" s="36">
        <f>IF(I109&lt;='Valores Vigentes'!D$4*2,'Valores Vigentes'!$D$5/30*J109,0)</f>
        <v>173333.33333333334</v>
      </c>
      <c r="M109" s="36">
        <f t="shared" si="26"/>
        <v>18505.5</v>
      </c>
      <c r="N109" s="36">
        <f t="shared" si="27"/>
        <v>43179.500000000007</v>
      </c>
      <c r="O109" s="36">
        <f t="shared" si="28"/>
        <v>30842.5</v>
      </c>
      <c r="P109" s="16">
        <f t="shared" si="22"/>
        <v>485284.09090909088</v>
      </c>
      <c r="Q109" s="36">
        <f t="shared" si="23"/>
        <v>30</v>
      </c>
      <c r="R109" s="36">
        <f t="shared" si="29"/>
        <v>0</v>
      </c>
      <c r="S109" s="30">
        <f t="shared" si="30"/>
        <v>1499590.8333333333</v>
      </c>
      <c r="T109" s="30">
        <f>(S109-L109+M109-O109-R109)*'Valores Vigentes'!$D$6</f>
        <v>52556.82</v>
      </c>
      <c r="U109" s="30">
        <f>(S109-L109+M109-O109-R109)*'Valores Vigentes'!$D$7</f>
        <v>52556.82</v>
      </c>
      <c r="V109" s="36">
        <f>IF(I109&gt;'Valores Vigentes'!$D$4*4,I109*1%,0)</f>
        <v>0</v>
      </c>
      <c r="W109" s="36">
        <f t="shared" si="24"/>
        <v>0</v>
      </c>
      <c r="X109" s="36">
        <f t="shared" si="31"/>
        <v>42705</v>
      </c>
      <c r="Y109" s="36">
        <f t="shared" si="32"/>
        <v>29991.816666666666</v>
      </c>
      <c r="Z109" s="30">
        <f t="shared" si="33"/>
        <v>177810.45666666667</v>
      </c>
      <c r="AA109" s="30">
        <f t="shared" si="34"/>
        <v>1321780.3766666665</v>
      </c>
    </row>
    <row r="110" spans="1:27" ht="15.75" customHeight="1" x14ac:dyDescent="0.25">
      <c r="A110" s="16" t="str">
        <f>CONCATENATE(G110,COUNTIF($G$14:G110,G110))</f>
        <v>ADMON12</v>
      </c>
      <c r="B110" s="17" t="s">
        <v>161</v>
      </c>
      <c r="C110" s="17" t="s">
        <v>278</v>
      </c>
      <c r="D110" s="17">
        <v>8</v>
      </c>
      <c r="E110" s="17" t="s">
        <v>277</v>
      </c>
      <c r="F110" s="17" t="s">
        <v>276</v>
      </c>
      <c r="G110" s="17" t="s">
        <v>35</v>
      </c>
      <c r="H110" s="17" t="str">
        <f t="shared" si="20"/>
        <v>ASESOR</v>
      </c>
      <c r="I110" s="30">
        <f t="shared" si="21"/>
        <v>3900000</v>
      </c>
      <c r="J110" s="16">
        <v>29</v>
      </c>
      <c r="K110" s="30">
        <f t="shared" si="25"/>
        <v>3770000</v>
      </c>
      <c r="L110" s="36">
        <f>IF(I110&lt;='Valores Vigentes'!D$4*2,'Valores Vigentes'!$D$5/30*J110,0)</f>
        <v>0</v>
      </c>
      <c r="M110" s="36">
        <f t="shared" si="26"/>
        <v>56550</v>
      </c>
      <c r="N110" s="36">
        <f t="shared" si="27"/>
        <v>0</v>
      </c>
      <c r="O110" s="36">
        <f t="shared" si="28"/>
        <v>56550</v>
      </c>
      <c r="P110" s="16">
        <f t="shared" si="22"/>
        <v>354545.45454545459</v>
      </c>
      <c r="Q110" s="36">
        <f t="shared" si="23"/>
        <v>8</v>
      </c>
      <c r="R110" s="36">
        <f t="shared" si="29"/>
        <v>0</v>
      </c>
      <c r="S110" s="30">
        <f t="shared" si="30"/>
        <v>3883108.0000000005</v>
      </c>
      <c r="T110" s="30">
        <f>(S110-L110+M110-O110-R110)*'Valores Vigentes'!$D$6</f>
        <v>155324.32000000004</v>
      </c>
      <c r="U110" s="30">
        <f>(S110-L110+M110-O110-R110)*'Valores Vigentes'!$D$7</f>
        <v>155324.32000000004</v>
      </c>
      <c r="V110" s="36">
        <f>IF(I110&gt;'Valores Vigentes'!$D$4*4,I110*1%,0)</f>
        <v>0</v>
      </c>
      <c r="W110" s="36">
        <f t="shared" si="24"/>
        <v>0</v>
      </c>
      <c r="X110" s="36">
        <f t="shared" si="31"/>
        <v>0</v>
      </c>
      <c r="Y110" s="36">
        <f t="shared" si="32"/>
        <v>77662.160000000018</v>
      </c>
      <c r="Z110" s="30">
        <f t="shared" si="33"/>
        <v>388310.8000000001</v>
      </c>
      <c r="AA110" s="30">
        <f t="shared" si="34"/>
        <v>3494797.2</v>
      </c>
    </row>
    <row r="111" spans="1:27" ht="15.75" customHeight="1" x14ac:dyDescent="0.25">
      <c r="A111" s="16" t="str">
        <f>CONCATENATE(G111,COUNTIF($G$14:G111,G111))</f>
        <v>PUBLICIDAD2</v>
      </c>
      <c r="B111" s="17" t="s">
        <v>162</v>
      </c>
      <c r="C111" s="17" t="s">
        <v>275</v>
      </c>
      <c r="D111" s="17">
        <v>7</v>
      </c>
      <c r="E111" s="17" t="s">
        <v>276</v>
      </c>
      <c r="F111" s="17" t="s">
        <v>276</v>
      </c>
      <c r="G111" s="17" t="s">
        <v>47</v>
      </c>
      <c r="H111" s="17" t="str">
        <f t="shared" ref="H111:H142" si="35">VLOOKUP(D111,SALARIOSACTUALES,2,0)</f>
        <v>COORDINADOR</v>
      </c>
      <c r="I111" s="30">
        <f t="shared" ref="I111:I142" si="36">VLOOKUP(D111,SALARIOSACTUALES,3,0)</f>
        <v>3250000</v>
      </c>
      <c r="J111" s="16">
        <v>26</v>
      </c>
      <c r="K111" s="30">
        <f t="shared" si="25"/>
        <v>2816666.6666666665</v>
      </c>
      <c r="L111" s="36">
        <f>IF(I111&lt;='Valores Vigentes'!D$4*2,'Valores Vigentes'!$D$5/30*J111,0)</f>
        <v>0</v>
      </c>
      <c r="M111" s="36">
        <f t="shared" si="26"/>
        <v>42249.999999999993</v>
      </c>
      <c r="N111" s="36">
        <f t="shared" si="27"/>
        <v>0</v>
      </c>
      <c r="O111" s="36">
        <f t="shared" si="28"/>
        <v>70416.666666666672</v>
      </c>
      <c r="P111" s="16">
        <f t="shared" ref="P111:P142" si="37">VLOOKUP(B111,HORASEXTRAS,10,0)</f>
        <v>443181.81818181812</v>
      </c>
      <c r="Q111" s="36">
        <f t="shared" ref="Q111:Q142" si="38">VLOOKUP(B111,HORASEXTRAS,11,0)</f>
        <v>12</v>
      </c>
      <c r="R111" s="36">
        <f t="shared" si="29"/>
        <v>0</v>
      </c>
      <c r="S111" s="30">
        <f t="shared" si="30"/>
        <v>2929345.333333333</v>
      </c>
      <c r="T111" s="30">
        <f>(S111-L111+M111-O111-R111)*'Valores Vigentes'!$D$6</f>
        <v>116047.14666666667</v>
      </c>
      <c r="U111" s="30">
        <f>(S111-L111+M111-O111-R111)*'Valores Vigentes'!$D$7</f>
        <v>116047.14666666667</v>
      </c>
      <c r="V111" s="36">
        <f>IF(I111&gt;'Valores Vigentes'!$D$4*4,I111*1%,0)</f>
        <v>0</v>
      </c>
      <c r="W111" s="36">
        <f t="shared" ref="W111:W142" si="39">HLOOKUP(S111,RETEFUENTE,2,1)</f>
        <v>0</v>
      </c>
      <c r="X111" s="36">
        <f t="shared" si="31"/>
        <v>97500</v>
      </c>
      <c r="Y111" s="36">
        <f t="shared" si="32"/>
        <v>58586.906666666662</v>
      </c>
      <c r="Z111" s="30">
        <f t="shared" si="33"/>
        <v>388181.2</v>
      </c>
      <c r="AA111" s="30">
        <f t="shared" si="34"/>
        <v>2541164.1333333328</v>
      </c>
    </row>
    <row r="112" spans="1:27" ht="15.75" customHeight="1" x14ac:dyDescent="0.25">
      <c r="A112" s="16" t="str">
        <f>CONCATENATE(G112,COUNTIF($G$14:G112,G112))</f>
        <v>VENTAS44</v>
      </c>
      <c r="B112" s="17" t="s">
        <v>163</v>
      </c>
      <c r="C112" s="17" t="s">
        <v>275</v>
      </c>
      <c r="D112" s="17">
        <v>4</v>
      </c>
      <c r="E112" s="17" t="s">
        <v>276</v>
      </c>
      <c r="F112" s="17" t="s">
        <v>276</v>
      </c>
      <c r="G112" s="17" t="s">
        <v>31</v>
      </c>
      <c r="H112" s="17" t="str">
        <f t="shared" si="35"/>
        <v>TÉCNICO PROFESIONAL</v>
      </c>
      <c r="I112" s="30">
        <f t="shared" si="36"/>
        <v>2450000</v>
      </c>
      <c r="J112" s="16">
        <v>27</v>
      </c>
      <c r="K112" s="30">
        <f t="shared" si="25"/>
        <v>2205000</v>
      </c>
      <c r="L112" s="36">
        <f>IF(I112&lt;='Valores Vigentes'!D$4*2,'Valores Vigentes'!$D$5/30*J112,0)</f>
        <v>180000</v>
      </c>
      <c r="M112" s="36">
        <f t="shared" si="26"/>
        <v>33075</v>
      </c>
      <c r="N112" s="36">
        <f t="shared" si="27"/>
        <v>77175.000000000015</v>
      </c>
      <c r="O112" s="36">
        <f t="shared" si="28"/>
        <v>55125</v>
      </c>
      <c r="P112" s="16">
        <f t="shared" si="37"/>
        <v>83522.727272727265</v>
      </c>
      <c r="Q112" s="36">
        <f t="shared" si="38"/>
        <v>3</v>
      </c>
      <c r="R112" s="36">
        <f t="shared" si="29"/>
        <v>0</v>
      </c>
      <c r="S112" s="30">
        <f t="shared" si="30"/>
        <v>2550378</v>
      </c>
      <c r="T112" s="30">
        <f>(S112-L112+M112-O112-R112)*'Valores Vigentes'!$D$6</f>
        <v>93933.119999999995</v>
      </c>
      <c r="U112" s="30">
        <f>(S112-L112+M112-O112-R112)*'Valores Vigentes'!$D$7</f>
        <v>93933.119999999995</v>
      </c>
      <c r="V112" s="36">
        <f>IF(I112&gt;'Valores Vigentes'!$D$4*4,I112*1%,0)</f>
        <v>0</v>
      </c>
      <c r="W112" s="36">
        <f t="shared" si="39"/>
        <v>0</v>
      </c>
      <c r="X112" s="36">
        <f t="shared" si="31"/>
        <v>73500</v>
      </c>
      <c r="Y112" s="36">
        <f t="shared" si="32"/>
        <v>51007.56</v>
      </c>
      <c r="Z112" s="30">
        <f t="shared" si="33"/>
        <v>312373.8</v>
      </c>
      <c r="AA112" s="30">
        <f t="shared" si="34"/>
        <v>2238004.2000000002</v>
      </c>
    </row>
    <row r="113" spans="1:27" ht="15.75" customHeight="1" x14ac:dyDescent="0.25">
      <c r="A113" s="16" t="str">
        <f>CONCATENATE(G113,COUNTIF($G$14:G113,G113))</f>
        <v>JURIDICA4</v>
      </c>
      <c r="B113" s="17" t="s">
        <v>164</v>
      </c>
      <c r="C113" s="17" t="s">
        <v>275</v>
      </c>
      <c r="D113" s="17">
        <v>7</v>
      </c>
      <c r="E113" s="17" t="s">
        <v>277</v>
      </c>
      <c r="F113" s="17" t="s">
        <v>276</v>
      </c>
      <c r="G113" s="17" t="s">
        <v>41</v>
      </c>
      <c r="H113" s="17" t="str">
        <f t="shared" si="35"/>
        <v>COORDINADOR</v>
      </c>
      <c r="I113" s="30">
        <f t="shared" si="36"/>
        <v>3250000</v>
      </c>
      <c r="J113" s="16">
        <v>25</v>
      </c>
      <c r="K113" s="30">
        <f t="shared" si="25"/>
        <v>2708333.333333333</v>
      </c>
      <c r="L113" s="36">
        <f>IF(I113&lt;='Valores Vigentes'!D$4*2,'Valores Vigentes'!$D$5/30*J113,0)</f>
        <v>0</v>
      </c>
      <c r="M113" s="36">
        <f t="shared" si="26"/>
        <v>40624.999999999993</v>
      </c>
      <c r="N113" s="36">
        <f t="shared" si="27"/>
        <v>0</v>
      </c>
      <c r="O113" s="36">
        <f t="shared" si="28"/>
        <v>40624.999999999993</v>
      </c>
      <c r="P113" s="16">
        <f t="shared" si="37"/>
        <v>480113.63636363629</v>
      </c>
      <c r="Q113" s="36">
        <f t="shared" si="38"/>
        <v>13</v>
      </c>
      <c r="R113" s="36">
        <f t="shared" si="29"/>
        <v>0</v>
      </c>
      <c r="S113" s="30">
        <f t="shared" si="30"/>
        <v>2789596.333333333</v>
      </c>
      <c r="T113" s="30">
        <f>(S113-L113+M113-O113-R113)*'Valores Vigentes'!$D$6</f>
        <v>111583.85333333332</v>
      </c>
      <c r="U113" s="30">
        <f>(S113-L113+M113-O113-R113)*'Valores Vigentes'!$D$7</f>
        <v>111583.85333333332</v>
      </c>
      <c r="V113" s="36">
        <f>IF(I113&gt;'Valores Vigentes'!$D$4*4,I113*1%,0)</f>
        <v>0</v>
      </c>
      <c r="W113" s="36">
        <f t="shared" si="39"/>
        <v>0</v>
      </c>
      <c r="X113" s="36">
        <f t="shared" si="31"/>
        <v>0</v>
      </c>
      <c r="Y113" s="36">
        <f t="shared" si="32"/>
        <v>55791.926666666659</v>
      </c>
      <c r="Z113" s="30">
        <f t="shared" si="33"/>
        <v>278959.6333333333</v>
      </c>
      <c r="AA113" s="30">
        <f t="shared" si="34"/>
        <v>2510636.6999999997</v>
      </c>
    </row>
    <row r="114" spans="1:27" ht="15.75" customHeight="1" x14ac:dyDescent="0.25">
      <c r="A114" s="16" t="str">
        <f>CONCATENATE(G114,COUNTIF($G$14:G114,G114))</f>
        <v>FACTURACION5</v>
      </c>
      <c r="B114" s="17" t="s">
        <v>165</v>
      </c>
      <c r="C114" s="17" t="s">
        <v>278</v>
      </c>
      <c r="D114" s="17">
        <v>7</v>
      </c>
      <c r="E114" s="17" t="s">
        <v>276</v>
      </c>
      <c r="F114" s="17" t="s">
        <v>277</v>
      </c>
      <c r="G114" s="17" t="s">
        <v>39</v>
      </c>
      <c r="H114" s="17" t="str">
        <f t="shared" si="35"/>
        <v>COORDINADOR</v>
      </c>
      <c r="I114" s="30">
        <f t="shared" si="36"/>
        <v>3250000</v>
      </c>
      <c r="J114" s="16">
        <v>25</v>
      </c>
      <c r="K114" s="30">
        <f t="shared" si="25"/>
        <v>2708333.333333333</v>
      </c>
      <c r="L114" s="36">
        <f>IF(I114&lt;='Valores Vigentes'!D$4*2,'Valores Vigentes'!$D$5/30*J114,0)</f>
        <v>0</v>
      </c>
      <c r="M114" s="36">
        <f t="shared" si="26"/>
        <v>40624.999999999993</v>
      </c>
      <c r="N114" s="36">
        <f t="shared" si="27"/>
        <v>0</v>
      </c>
      <c r="O114" s="36">
        <f t="shared" si="28"/>
        <v>40624.999999999993</v>
      </c>
      <c r="P114" s="16">
        <f t="shared" si="37"/>
        <v>332386.36363636359</v>
      </c>
      <c r="Q114" s="36">
        <f t="shared" si="38"/>
        <v>9</v>
      </c>
      <c r="R114" s="36">
        <f t="shared" si="29"/>
        <v>0</v>
      </c>
      <c r="S114" s="30">
        <f t="shared" si="30"/>
        <v>2789592.333333333</v>
      </c>
      <c r="T114" s="30">
        <f>(S114-L114+M114-O114-R114)*'Valores Vigentes'!$D$6</f>
        <v>111583.69333333333</v>
      </c>
      <c r="U114" s="30">
        <f>(S114-L114+M114-O114-R114)*'Valores Vigentes'!$D$7</f>
        <v>111583.69333333333</v>
      </c>
      <c r="V114" s="36">
        <f>IF(I114&gt;'Valores Vigentes'!$D$4*4,I114*1%,0)</f>
        <v>0</v>
      </c>
      <c r="W114" s="36">
        <f t="shared" si="39"/>
        <v>0</v>
      </c>
      <c r="X114" s="36">
        <f t="shared" si="31"/>
        <v>97500</v>
      </c>
      <c r="Y114" s="36">
        <f t="shared" si="32"/>
        <v>0</v>
      </c>
      <c r="Z114" s="30">
        <f t="shared" si="33"/>
        <v>320667.38666666666</v>
      </c>
      <c r="AA114" s="30">
        <f t="shared" si="34"/>
        <v>2468924.9466666663</v>
      </c>
    </row>
    <row r="115" spans="1:27" ht="15.75" customHeight="1" x14ac:dyDescent="0.25">
      <c r="A115" s="16" t="str">
        <f>CONCATENATE(G115,COUNTIF($G$14:G115,G115))</f>
        <v>VENTAS45</v>
      </c>
      <c r="B115" s="17" t="s">
        <v>166</v>
      </c>
      <c r="C115" s="17" t="s">
        <v>278</v>
      </c>
      <c r="D115" s="17">
        <v>1</v>
      </c>
      <c r="E115" s="17" t="s">
        <v>276</v>
      </c>
      <c r="F115" s="17" t="s">
        <v>276</v>
      </c>
      <c r="G115" s="17" t="s">
        <v>31</v>
      </c>
      <c r="H115" s="17" t="str">
        <f t="shared" si="35"/>
        <v>AUXILIAR ADMON</v>
      </c>
      <c r="I115" s="30">
        <f t="shared" si="36"/>
        <v>1423500</v>
      </c>
      <c r="J115" s="16">
        <v>25</v>
      </c>
      <c r="K115" s="30">
        <f t="shared" si="25"/>
        <v>1186250</v>
      </c>
      <c r="L115" s="36">
        <f>IF(I115&lt;='Valores Vigentes'!D$4*2,'Valores Vigentes'!$D$5/30*J115,0)</f>
        <v>166666.66666666669</v>
      </c>
      <c r="M115" s="36">
        <f t="shared" si="26"/>
        <v>17793.75</v>
      </c>
      <c r="N115" s="36">
        <f t="shared" si="27"/>
        <v>41518.750000000007</v>
      </c>
      <c r="O115" s="36">
        <f t="shared" si="28"/>
        <v>29656.25</v>
      </c>
      <c r="P115" s="16">
        <f t="shared" si="37"/>
        <v>80880.681818181809</v>
      </c>
      <c r="Q115" s="36">
        <f t="shared" si="38"/>
        <v>5</v>
      </c>
      <c r="R115" s="36">
        <f t="shared" si="29"/>
        <v>0</v>
      </c>
      <c r="S115" s="30">
        <f t="shared" si="30"/>
        <v>1441890.4166666667</v>
      </c>
      <c r="T115" s="30">
        <f>(S115-L115+M115-O115-R115)*'Valores Vigentes'!$D$6</f>
        <v>50534.450000000004</v>
      </c>
      <c r="U115" s="30">
        <f>(S115-L115+M115-O115-R115)*'Valores Vigentes'!$D$7</f>
        <v>50534.450000000004</v>
      </c>
      <c r="V115" s="36">
        <f>IF(I115&gt;'Valores Vigentes'!$D$4*4,I115*1%,0)</f>
        <v>0</v>
      </c>
      <c r="W115" s="36">
        <f t="shared" si="39"/>
        <v>0</v>
      </c>
      <c r="X115" s="36">
        <f t="shared" si="31"/>
        <v>42705</v>
      </c>
      <c r="Y115" s="36">
        <f t="shared" si="32"/>
        <v>28837.808333333334</v>
      </c>
      <c r="Z115" s="30">
        <f t="shared" si="33"/>
        <v>172611.70833333337</v>
      </c>
      <c r="AA115" s="30">
        <f t="shared" si="34"/>
        <v>1269278.7083333335</v>
      </c>
    </row>
    <row r="116" spans="1:27" ht="15.75" customHeight="1" x14ac:dyDescent="0.25">
      <c r="A116" s="16" t="str">
        <f>CONCATENATE(G116,COUNTIF($G$14:G116,G116))</f>
        <v>VENTAS46</v>
      </c>
      <c r="B116" s="17" t="s">
        <v>167</v>
      </c>
      <c r="C116" s="17" t="s">
        <v>275</v>
      </c>
      <c r="D116" s="17">
        <v>1</v>
      </c>
      <c r="E116" s="17" t="s">
        <v>277</v>
      </c>
      <c r="F116" s="17" t="s">
        <v>276</v>
      </c>
      <c r="G116" s="17" t="s">
        <v>31</v>
      </c>
      <c r="H116" s="17" t="str">
        <f t="shared" si="35"/>
        <v>AUXILIAR ADMON</v>
      </c>
      <c r="I116" s="30">
        <f t="shared" si="36"/>
        <v>1423500</v>
      </c>
      <c r="J116" s="16">
        <v>30</v>
      </c>
      <c r="K116" s="30">
        <f t="shared" si="25"/>
        <v>1423500</v>
      </c>
      <c r="L116" s="36">
        <f>IF(I116&lt;='Valores Vigentes'!D$4*2,'Valores Vigentes'!$D$5/30*J116,0)</f>
        <v>200000</v>
      </c>
      <c r="M116" s="36">
        <f t="shared" si="26"/>
        <v>35587.5</v>
      </c>
      <c r="N116" s="36">
        <f t="shared" si="27"/>
        <v>49822.500000000007</v>
      </c>
      <c r="O116" s="36">
        <f t="shared" si="28"/>
        <v>21352.5</v>
      </c>
      <c r="P116" s="16">
        <f t="shared" si="37"/>
        <v>32352.272727272724</v>
      </c>
      <c r="Q116" s="36">
        <f t="shared" si="38"/>
        <v>2</v>
      </c>
      <c r="R116" s="36">
        <f t="shared" si="29"/>
        <v>0</v>
      </c>
      <c r="S116" s="30">
        <f t="shared" si="30"/>
        <v>1730264.5</v>
      </c>
      <c r="T116" s="30">
        <f>(S116-L116+M116-O116-R116)*'Valores Vigentes'!$D$6</f>
        <v>61779.98</v>
      </c>
      <c r="U116" s="30">
        <f>(S116-L116+M116-O116-R116)*'Valores Vigentes'!$D$7</f>
        <v>61779.98</v>
      </c>
      <c r="V116" s="36">
        <f>IF(I116&gt;'Valores Vigentes'!$D$4*4,I116*1%,0)</f>
        <v>0</v>
      </c>
      <c r="W116" s="36">
        <f t="shared" si="39"/>
        <v>0</v>
      </c>
      <c r="X116" s="36">
        <f t="shared" si="31"/>
        <v>0</v>
      </c>
      <c r="Y116" s="36">
        <f t="shared" si="32"/>
        <v>34605.29</v>
      </c>
      <c r="Z116" s="30">
        <f t="shared" si="33"/>
        <v>158165.25</v>
      </c>
      <c r="AA116" s="30">
        <f t="shared" si="34"/>
        <v>1572099.25</v>
      </c>
    </row>
    <row r="117" spans="1:27" ht="15.75" customHeight="1" x14ac:dyDescent="0.25">
      <c r="A117" s="16" t="str">
        <f>CONCATENATE(G117,COUNTIF($G$14:G117,G117))</f>
        <v>PERSONAL3</v>
      </c>
      <c r="B117" s="17" t="s">
        <v>168</v>
      </c>
      <c r="C117" s="17" t="s">
        <v>278</v>
      </c>
      <c r="D117" s="17">
        <v>6</v>
      </c>
      <c r="E117" s="17" t="s">
        <v>276</v>
      </c>
      <c r="F117" s="17" t="s">
        <v>276</v>
      </c>
      <c r="G117" s="17" t="s">
        <v>45</v>
      </c>
      <c r="H117" s="17" t="str">
        <f t="shared" si="35"/>
        <v>PROFESIONAL</v>
      </c>
      <c r="I117" s="30">
        <f t="shared" si="36"/>
        <v>2950000</v>
      </c>
      <c r="J117" s="16">
        <v>29</v>
      </c>
      <c r="K117" s="30">
        <f t="shared" si="25"/>
        <v>2851666.6666666665</v>
      </c>
      <c r="L117" s="36">
        <f>IF(I117&lt;='Valores Vigentes'!D$4*2,'Valores Vigentes'!$D$5/30*J117,0)</f>
        <v>0</v>
      </c>
      <c r="M117" s="36">
        <f t="shared" si="26"/>
        <v>42774.999999999993</v>
      </c>
      <c r="N117" s="36">
        <f t="shared" si="27"/>
        <v>0</v>
      </c>
      <c r="O117" s="36">
        <f t="shared" si="28"/>
        <v>71291.666666666672</v>
      </c>
      <c r="P117" s="16">
        <f t="shared" si="37"/>
        <v>603409.09090909094</v>
      </c>
      <c r="Q117" s="36">
        <f t="shared" si="38"/>
        <v>18</v>
      </c>
      <c r="R117" s="36">
        <f t="shared" si="29"/>
        <v>0</v>
      </c>
      <c r="S117" s="30">
        <f t="shared" si="30"/>
        <v>2965751.333333333</v>
      </c>
      <c r="T117" s="30">
        <f>(S117-L117+M117-O117-R117)*'Valores Vigentes'!$D$6</f>
        <v>117489.38666666666</v>
      </c>
      <c r="U117" s="30">
        <f>(S117-L117+M117-O117-R117)*'Valores Vigentes'!$D$7</f>
        <v>117489.38666666666</v>
      </c>
      <c r="V117" s="36">
        <f>IF(I117&gt;'Valores Vigentes'!$D$4*4,I117*1%,0)</f>
        <v>0</v>
      </c>
      <c r="W117" s="36">
        <f t="shared" si="39"/>
        <v>0</v>
      </c>
      <c r="X117" s="36">
        <f t="shared" si="31"/>
        <v>88500</v>
      </c>
      <c r="Y117" s="36">
        <f t="shared" si="32"/>
        <v>59315.026666666665</v>
      </c>
      <c r="Z117" s="30">
        <f t="shared" si="33"/>
        <v>382793.8</v>
      </c>
      <c r="AA117" s="30">
        <f t="shared" si="34"/>
        <v>2582957.5333333332</v>
      </c>
    </row>
    <row r="118" spans="1:27" ht="15.75" customHeight="1" x14ac:dyDescent="0.25">
      <c r="A118" s="16" t="str">
        <f>CONCATENATE(G118,COUNTIF($G$14:G118,G118))</f>
        <v>ADMON13</v>
      </c>
      <c r="B118" s="17" t="s">
        <v>169</v>
      </c>
      <c r="C118" s="17" t="s">
        <v>278</v>
      </c>
      <c r="D118" s="17">
        <v>5</v>
      </c>
      <c r="E118" s="17" t="s">
        <v>276</v>
      </c>
      <c r="F118" s="17" t="s">
        <v>277</v>
      </c>
      <c r="G118" s="17" t="s">
        <v>35</v>
      </c>
      <c r="H118" s="17" t="str">
        <f t="shared" si="35"/>
        <v>ASESOR VENTAS</v>
      </c>
      <c r="I118" s="30">
        <f t="shared" si="36"/>
        <v>2650000</v>
      </c>
      <c r="J118" s="16">
        <v>26</v>
      </c>
      <c r="K118" s="30">
        <f t="shared" si="25"/>
        <v>2296666.6666666665</v>
      </c>
      <c r="L118" s="36">
        <f>IF(I118&lt;='Valores Vigentes'!D$4*2,'Valores Vigentes'!$D$5/30*J118,0)</f>
        <v>173333.33333333334</v>
      </c>
      <c r="M118" s="36">
        <f t="shared" si="26"/>
        <v>34450</v>
      </c>
      <c r="N118" s="36">
        <f t="shared" si="27"/>
        <v>0</v>
      </c>
      <c r="O118" s="36">
        <f t="shared" si="28"/>
        <v>34450</v>
      </c>
      <c r="P118" s="16">
        <f t="shared" si="37"/>
        <v>752840.90909090906</v>
      </c>
      <c r="Q118" s="36">
        <f t="shared" si="38"/>
        <v>25</v>
      </c>
      <c r="R118" s="36">
        <f t="shared" si="29"/>
        <v>0</v>
      </c>
      <c r="S118" s="30">
        <f t="shared" si="30"/>
        <v>2538925</v>
      </c>
      <c r="T118" s="30">
        <f>(S118-L118+M118-O118-R118)*'Valores Vigentes'!$D$6</f>
        <v>94623.666666666657</v>
      </c>
      <c r="U118" s="30">
        <f>(S118-L118+M118-O118-R118)*'Valores Vigentes'!$D$7</f>
        <v>94623.666666666657</v>
      </c>
      <c r="V118" s="36">
        <f>IF(I118&gt;'Valores Vigentes'!$D$4*4,I118*1%,0)</f>
        <v>0</v>
      </c>
      <c r="W118" s="36">
        <f t="shared" si="39"/>
        <v>0</v>
      </c>
      <c r="X118" s="36">
        <f t="shared" si="31"/>
        <v>79500</v>
      </c>
      <c r="Y118" s="36">
        <f t="shared" si="32"/>
        <v>0</v>
      </c>
      <c r="Z118" s="30">
        <f t="shared" si="33"/>
        <v>268747.33333333331</v>
      </c>
      <c r="AA118" s="30">
        <f t="shared" si="34"/>
        <v>2270177.6666666665</v>
      </c>
    </row>
    <row r="119" spans="1:27" ht="15.75" customHeight="1" x14ac:dyDescent="0.25">
      <c r="A119" s="16" t="str">
        <f>CONCATENATE(G119,COUNTIF($G$14:G119,G119))</f>
        <v>VENTAS47</v>
      </c>
      <c r="B119" s="17" t="s">
        <v>170</v>
      </c>
      <c r="C119" s="17" t="s">
        <v>278</v>
      </c>
      <c r="D119" s="17">
        <v>1</v>
      </c>
      <c r="E119" s="17" t="s">
        <v>276</v>
      </c>
      <c r="F119" s="17" t="s">
        <v>277</v>
      </c>
      <c r="G119" s="17" t="s">
        <v>31</v>
      </c>
      <c r="H119" s="17" t="str">
        <f t="shared" si="35"/>
        <v>AUXILIAR ADMON</v>
      </c>
      <c r="I119" s="30">
        <f t="shared" si="36"/>
        <v>1423500</v>
      </c>
      <c r="J119" s="16">
        <v>25</v>
      </c>
      <c r="K119" s="30">
        <f t="shared" si="25"/>
        <v>1186250</v>
      </c>
      <c r="L119" s="36">
        <f>IF(I119&lt;='Valores Vigentes'!D$4*2,'Valores Vigentes'!$D$5/30*J119,0)</f>
        <v>166666.66666666669</v>
      </c>
      <c r="M119" s="36">
        <f t="shared" si="26"/>
        <v>17793.75</v>
      </c>
      <c r="N119" s="36">
        <f t="shared" si="27"/>
        <v>41518.750000000007</v>
      </c>
      <c r="O119" s="36">
        <f t="shared" si="28"/>
        <v>17793.75</v>
      </c>
      <c r="P119" s="16">
        <f t="shared" si="37"/>
        <v>485284.09090909088</v>
      </c>
      <c r="Q119" s="36">
        <f t="shared" si="38"/>
        <v>30</v>
      </c>
      <c r="R119" s="36">
        <f t="shared" si="29"/>
        <v>0</v>
      </c>
      <c r="S119" s="30">
        <f t="shared" si="30"/>
        <v>1430052.9166666667</v>
      </c>
      <c r="T119" s="30">
        <f>(S119-L119+M119-O119-R119)*'Valores Vigentes'!$D$6</f>
        <v>50535.450000000004</v>
      </c>
      <c r="U119" s="30">
        <f>(S119-L119+M119-O119-R119)*'Valores Vigentes'!$D$7</f>
        <v>50535.450000000004</v>
      </c>
      <c r="V119" s="36">
        <f>IF(I119&gt;'Valores Vigentes'!$D$4*4,I119*1%,0)</f>
        <v>0</v>
      </c>
      <c r="W119" s="36">
        <f t="shared" si="39"/>
        <v>0</v>
      </c>
      <c r="X119" s="36">
        <f t="shared" si="31"/>
        <v>42705</v>
      </c>
      <c r="Y119" s="36">
        <f t="shared" si="32"/>
        <v>0</v>
      </c>
      <c r="Z119" s="30">
        <f t="shared" si="33"/>
        <v>143775.90000000002</v>
      </c>
      <c r="AA119" s="30">
        <f t="shared" si="34"/>
        <v>1286277.0166666666</v>
      </c>
    </row>
    <row r="120" spans="1:27" ht="15.75" customHeight="1" x14ac:dyDescent="0.25">
      <c r="A120" s="16" t="str">
        <f>CONCATENATE(G120,COUNTIF($G$14:G120,G120))</f>
        <v>VENTAS48</v>
      </c>
      <c r="B120" s="17" t="s">
        <v>171</v>
      </c>
      <c r="C120" s="17" t="s">
        <v>275</v>
      </c>
      <c r="D120" s="17">
        <v>7</v>
      </c>
      <c r="E120" s="17" t="s">
        <v>276</v>
      </c>
      <c r="F120" s="17" t="s">
        <v>277</v>
      </c>
      <c r="G120" s="17" t="s">
        <v>31</v>
      </c>
      <c r="H120" s="17" t="str">
        <f t="shared" si="35"/>
        <v>COORDINADOR</v>
      </c>
      <c r="I120" s="30">
        <f t="shared" si="36"/>
        <v>3250000</v>
      </c>
      <c r="J120" s="16">
        <v>27</v>
      </c>
      <c r="K120" s="30">
        <f t="shared" si="25"/>
        <v>2925000</v>
      </c>
      <c r="L120" s="36">
        <f>IF(I120&lt;='Valores Vigentes'!D$4*2,'Valores Vigentes'!$D$5/30*J120,0)</f>
        <v>0</v>
      </c>
      <c r="M120" s="36">
        <f t="shared" si="26"/>
        <v>43875</v>
      </c>
      <c r="N120" s="36">
        <f t="shared" si="27"/>
        <v>102375.00000000001</v>
      </c>
      <c r="O120" s="36">
        <f t="shared" si="28"/>
        <v>43875</v>
      </c>
      <c r="P120" s="16">
        <f t="shared" si="37"/>
        <v>923295.45454545435</v>
      </c>
      <c r="Q120" s="36">
        <f t="shared" si="38"/>
        <v>25</v>
      </c>
      <c r="R120" s="36">
        <f t="shared" si="29"/>
        <v>0</v>
      </c>
      <c r="S120" s="30">
        <f t="shared" si="30"/>
        <v>3115150</v>
      </c>
      <c r="T120" s="30">
        <f>(S120-L120+M120-O120-R120)*'Valores Vigentes'!$D$6</f>
        <v>124606</v>
      </c>
      <c r="U120" s="30">
        <f>(S120-L120+M120-O120-R120)*'Valores Vigentes'!$D$7</f>
        <v>124606</v>
      </c>
      <c r="V120" s="36">
        <f>IF(I120&gt;'Valores Vigentes'!$D$4*4,I120*1%,0)</f>
        <v>0</v>
      </c>
      <c r="W120" s="36">
        <f t="shared" si="39"/>
        <v>0</v>
      </c>
      <c r="X120" s="36">
        <f t="shared" si="31"/>
        <v>97500</v>
      </c>
      <c r="Y120" s="36">
        <f t="shared" si="32"/>
        <v>0</v>
      </c>
      <c r="Z120" s="30">
        <f t="shared" si="33"/>
        <v>346712</v>
      </c>
      <c r="AA120" s="30">
        <f t="shared" si="34"/>
        <v>2768438</v>
      </c>
    </row>
    <row r="121" spans="1:27" ht="15.75" customHeight="1" x14ac:dyDescent="0.25">
      <c r="A121" s="16" t="str">
        <f>CONCATENATE(G121,COUNTIF($G$14:G121,G121))</f>
        <v>COMPRAS18</v>
      </c>
      <c r="B121" s="17" t="s">
        <v>172</v>
      </c>
      <c r="C121" s="17" t="s">
        <v>278</v>
      </c>
      <c r="D121" s="17">
        <v>5</v>
      </c>
      <c r="E121" s="17" t="s">
        <v>277</v>
      </c>
      <c r="F121" s="17" t="s">
        <v>276</v>
      </c>
      <c r="G121" s="17" t="s">
        <v>33</v>
      </c>
      <c r="H121" s="17" t="str">
        <f t="shared" si="35"/>
        <v>ASESOR VENTAS</v>
      </c>
      <c r="I121" s="30">
        <f t="shared" si="36"/>
        <v>2650000</v>
      </c>
      <c r="J121" s="16">
        <v>28</v>
      </c>
      <c r="K121" s="30">
        <f t="shared" si="25"/>
        <v>2473333.333333333</v>
      </c>
      <c r="L121" s="36">
        <f>IF(I121&lt;='Valores Vigentes'!D$4*2,'Valores Vigentes'!$D$5/30*J121,0)</f>
        <v>186666.66666666669</v>
      </c>
      <c r="M121" s="36">
        <f t="shared" si="26"/>
        <v>37099.999999999993</v>
      </c>
      <c r="N121" s="36">
        <f t="shared" si="27"/>
        <v>0</v>
      </c>
      <c r="O121" s="36">
        <f t="shared" si="28"/>
        <v>37099.999999999993</v>
      </c>
      <c r="P121" s="16">
        <f t="shared" si="37"/>
        <v>391477.27272727271</v>
      </c>
      <c r="Q121" s="36">
        <f t="shared" si="38"/>
        <v>13</v>
      </c>
      <c r="R121" s="36">
        <f t="shared" si="29"/>
        <v>0</v>
      </c>
      <c r="S121" s="30">
        <f t="shared" si="30"/>
        <v>2734213</v>
      </c>
      <c r="T121" s="30">
        <f>(S121-L121+M121-O121-R121)*'Valores Vigentes'!$D$6</f>
        <v>101901.85333333335</v>
      </c>
      <c r="U121" s="30">
        <f>(S121-L121+M121-O121-R121)*'Valores Vigentes'!$D$7</f>
        <v>101901.85333333335</v>
      </c>
      <c r="V121" s="36">
        <f>IF(I121&gt;'Valores Vigentes'!$D$4*4,I121*1%,0)</f>
        <v>0</v>
      </c>
      <c r="W121" s="36">
        <f t="shared" si="39"/>
        <v>0</v>
      </c>
      <c r="X121" s="36">
        <f t="shared" si="31"/>
        <v>0</v>
      </c>
      <c r="Y121" s="36">
        <f t="shared" si="32"/>
        <v>54684.26</v>
      </c>
      <c r="Z121" s="30">
        <f t="shared" si="33"/>
        <v>258487.9666666667</v>
      </c>
      <c r="AA121" s="30">
        <f t="shared" si="34"/>
        <v>2475725.0333333332</v>
      </c>
    </row>
    <row r="122" spans="1:27" ht="15.75" customHeight="1" x14ac:dyDescent="0.25">
      <c r="A122" s="16" t="str">
        <f>CONCATENATE(G122,COUNTIF($G$14:G122,G122))</f>
        <v>JURIDICA5</v>
      </c>
      <c r="B122" s="17" t="s">
        <v>173</v>
      </c>
      <c r="C122" s="17" t="s">
        <v>275</v>
      </c>
      <c r="D122" s="17">
        <v>1</v>
      </c>
      <c r="E122" s="17" t="s">
        <v>276</v>
      </c>
      <c r="F122" s="17" t="s">
        <v>277</v>
      </c>
      <c r="G122" s="17" t="s">
        <v>41</v>
      </c>
      <c r="H122" s="17" t="str">
        <f t="shared" si="35"/>
        <v>AUXILIAR ADMON</v>
      </c>
      <c r="I122" s="30">
        <f t="shared" si="36"/>
        <v>1423500</v>
      </c>
      <c r="J122" s="16">
        <v>26</v>
      </c>
      <c r="K122" s="30">
        <f t="shared" si="25"/>
        <v>1233700</v>
      </c>
      <c r="L122" s="36">
        <f>IF(I122&lt;='Valores Vigentes'!D$4*2,'Valores Vigentes'!$D$5/30*J122,0)</f>
        <v>173333.33333333334</v>
      </c>
      <c r="M122" s="36">
        <f t="shared" si="26"/>
        <v>18505.5</v>
      </c>
      <c r="N122" s="36">
        <f t="shared" si="27"/>
        <v>0</v>
      </c>
      <c r="O122" s="36">
        <f t="shared" si="28"/>
        <v>18505.5</v>
      </c>
      <c r="P122" s="16">
        <f t="shared" si="37"/>
        <v>274994.31818181818</v>
      </c>
      <c r="Q122" s="36">
        <f t="shared" si="38"/>
        <v>17</v>
      </c>
      <c r="R122" s="36">
        <f t="shared" si="29"/>
        <v>0</v>
      </c>
      <c r="S122" s="30">
        <f t="shared" si="30"/>
        <v>1444061.3333333333</v>
      </c>
      <c r="T122" s="30">
        <f>(S122-L122+M122-O122-R122)*'Valores Vigentes'!$D$6</f>
        <v>50829.120000000003</v>
      </c>
      <c r="U122" s="30">
        <f>(S122-L122+M122-O122-R122)*'Valores Vigentes'!$D$7</f>
        <v>50829.120000000003</v>
      </c>
      <c r="V122" s="36">
        <f>IF(I122&gt;'Valores Vigentes'!$D$4*4,I122*1%,0)</f>
        <v>0</v>
      </c>
      <c r="W122" s="36">
        <f t="shared" si="39"/>
        <v>0</v>
      </c>
      <c r="X122" s="36">
        <f t="shared" si="31"/>
        <v>42705</v>
      </c>
      <c r="Y122" s="36">
        <f t="shared" si="32"/>
        <v>0</v>
      </c>
      <c r="Z122" s="30">
        <f t="shared" si="33"/>
        <v>144363.24</v>
      </c>
      <c r="AA122" s="30">
        <f t="shared" si="34"/>
        <v>1299698.0933333333</v>
      </c>
    </row>
    <row r="123" spans="1:27" ht="15.75" customHeight="1" x14ac:dyDescent="0.25">
      <c r="A123" s="16" t="str">
        <f>CONCATENATE(G123,COUNTIF($G$14:G123,G123))</f>
        <v>PUBLICIDAD3</v>
      </c>
      <c r="B123" s="17" t="s">
        <v>174</v>
      </c>
      <c r="C123" s="17" t="s">
        <v>275</v>
      </c>
      <c r="D123" s="17">
        <v>3</v>
      </c>
      <c r="E123" s="17" t="s">
        <v>276</v>
      </c>
      <c r="F123" s="17" t="s">
        <v>276</v>
      </c>
      <c r="G123" s="17" t="s">
        <v>47</v>
      </c>
      <c r="H123" s="17" t="str">
        <f t="shared" si="35"/>
        <v>SECRETARIAS</v>
      </c>
      <c r="I123" s="30">
        <f t="shared" si="36"/>
        <v>1813000</v>
      </c>
      <c r="J123" s="16">
        <v>29</v>
      </c>
      <c r="K123" s="30">
        <f t="shared" si="25"/>
        <v>1752566.6666666667</v>
      </c>
      <c r="L123" s="36">
        <f>IF(I123&lt;='Valores Vigentes'!D$4*2,'Valores Vigentes'!$D$5/30*J123,0)</f>
        <v>193333.33333333334</v>
      </c>
      <c r="M123" s="36">
        <f t="shared" si="26"/>
        <v>26288.5</v>
      </c>
      <c r="N123" s="36">
        <f t="shared" si="27"/>
        <v>0</v>
      </c>
      <c r="O123" s="36">
        <f t="shared" si="28"/>
        <v>43814.166666666672</v>
      </c>
      <c r="P123" s="16">
        <f t="shared" si="37"/>
        <v>473852.27272727265</v>
      </c>
      <c r="Q123" s="36">
        <f t="shared" si="38"/>
        <v>23</v>
      </c>
      <c r="R123" s="36">
        <f t="shared" si="29"/>
        <v>0</v>
      </c>
      <c r="S123" s="30">
        <f t="shared" si="30"/>
        <v>2016025.6666666667</v>
      </c>
      <c r="T123" s="30">
        <f>(S123-L123+M123-O123-R123)*'Valores Vigentes'!$D$6</f>
        <v>72206.666666666672</v>
      </c>
      <c r="U123" s="30">
        <f>(S123-L123+M123-O123-R123)*'Valores Vigentes'!$D$7</f>
        <v>72206.666666666672</v>
      </c>
      <c r="V123" s="36">
        <f>IF(I123&gt;'Valores Vigentes'!$D$4*4,I123*1%,0)</f>
        <v>0</v>
      </c>
      <c r="W123" s="36">
        <f t="shared" si="39"/>
        <v>0</v>
      </c>
      <c r="X123" s="36">
        <f t="shared" si="31"/>
        <v>54390</v>
      </c>
      <c r="Y123" s="36">
        <f t="shared" si="32"/>
        <v>40320.513333333336</v>
      </c>
      <c r="Z123" s="30">
        <f t="shared" si="33"/>
        <v>239123.84666666668</v>
      </c>
      <c r="AA123" s="30">
        <f t="shared" si="34"/>
        <v>1776901.82</v>
      </c>
    </row>
    <row r="124" spans="1:27" ht="15.75" customHeight="1" x14ac:dyDescent="0.25">
      <c r="A124" s="16" t="str">
        <f>CONCATENATE(G124,COUNTIF($G$14:G124,G124))</f>
        <v>VENTAS49</v>
      </c>
      <c r="B124" s="17" t="s">
        <v>175</v>
      </c>
      <c r="C124" s="17" t="s">
        <v>278</v>
      </c>
      <c r="D124" s="17">
        <v>7</v>
      </c>
      <c r="E124" s="17" t="s">
        <v>276</v>
      </c>
      <c r="F124" s="17" t="s">
        <v>276</v>
      </c>
      <c r="G124" s="17" t="s">
        <v>31</v>
      </c>
      <c r="H124" s="17" t="str">
        <f t="shared" si="35"/>
        <v>COORDINADOR</v>
      </c>
      <c r="I124" s="30">
        <f t="shared" si="36"/>
        <v>3250000</v>
      </c>
      <c r="J124" s="16">
        <v>26</v>
      </c>
      <c r="K124" s="30">
        <f t="shared" si="25"/>
        <v>2816666.6666666665</v>
      </c>
      <c r="L124" s="36">
        <f>IF(I124&lt;='Valores Vigentes'!D$4*2,'Valores Vigentes'!$D$5/30*J124,0)</f>
        <v>0</v>
      </c>
      <c r="M124" s="36">
        <f t="shared" si="26"/>
        <v>42249.999999999993</v>
      </c>
      <c r="N124" s="36">
        <f t="shared" si="27"/>
        <v>98583.333333333343</v>
      </c>
      <c r="O124" s="36">
        <f t="shared" si="28"/>
        <v>70416.666666666672</v>
      </c>
      <c r="P124" s="16">
        <f t="shared" si="37"/>
        <v>1107954.5454545454</v>
      </c>
      <c r="Q124" s="36">
        <f t="shared" si="38"/>
        <v>30</v>
      </c>
      <c r="R124" s="36">
        <f t="shared" si="29"/>
        <v>0</v>
      </c>
      <c r="S124" s="30">
        <f t="shared" si="30"/>
        <v>3027946.6666666665</v>
      </c>
      <c r="T124" s="30">
        <f>(S124-L124+M124-O124-R124)*'Valores Vigentes'!$D$6</f>
        <v>119991.2</v>
      </c>
      <c r="U124" s="30">
        <f>(S124-L124+M124-O124-R124)*'Valores Vigentes'!$D$7</f>
        <v>119991.2</v>
      </c>
      <c r="V124" s="36">
        <f>IF(I124&gt;'Valores Vigentes'!$D$4*4,I124*1%,0)</f>
        <v>0</v>
      </c>
      <c r="W124" s="36">
        <f t="shared" si="39"/>
        <v>0</v>
      </c>
      <c r="X124" s="36">
        <f t="shared" si="31"/>
        <v>97500</v>
      </c>
      <c r="Y124" s="36">
        <f t="shared" si="32"/>
        <v>60558.933333333334</v>
      </c>
      <c r="Z124" s="30">
        <f t="shared" si="33"/>
        <v>398041.33333333337</v>
      </c>
      <c r="AA124" s="30">
        <f t="shared" si="34"/>
        <v>2629905.333333333</v>
      </c>
    </row>
    <row r="125" spans="1:27" ht="15.75" customHeight="1" x14ac:dyDescent="0.25">
      <c r="A125" s="16" t="str">
        <f>CONCATENATE(G125,COUNTIF($G$14:G125,G125))</f>
        <v>CARTERA1</v>
      </c>
      <c r="B125" s="17" t="s">
        <v>176</v>
      </c>
      <c r="C125" s="17" t="s">
        <v>278</v>
      </c>
      <c r="D125" s="17">
        <v>2</v>
      </c>
      <c r="E125" s="17" t="s">
        <v>276</v>
      </c>
      <c r="F125" s="17" t="s">
        <v>276</v>
      </c>
      <c r="G125" s="17" t="s">
        <v>49</v>
      </c>
      <c r="H125" s="17" t="str">
        <f t="shared" si="35"/>
        <v>ASISTENTES</v>
      </c>
      <c r="I125" s="30">
        <f t="shared" si="36"/>
        <v>1626000</v>
      </c>
      <c r="J125" s="16">
        <v>25</v>
      </c>
      <c r="K125" s="30">
        <f t="shared" si="25"/>
        <v>1355000</v>
      </c>
      <c r="L125" s="36">
        <f>IF(I125&lt;='Valores Vigentes'!D$4*2,'Valores Vigentes'!$D$5/30*J125,0)</f>
        <v>166666.66666666669</v>
      </c>
      <c r="M125" s="36">
        <f t="shared" si="26"/>
        <v>20325</v>
      </c>
      <c r="N125" s="36">
        <f t="shared" si="27"/>
        <v>0</v>
      </c>
      <c r="O125" s="36">
        <f t="shared" si="28"/>
        <v>33875</v>
      </c>
      <c r="P125" s="16">
        <f t="shared" si="37"/>
        <v>406500</v>
      </c>
      <c r="Q125" s="36">
        <f t="shared" si="38"/>
        <v>22</v>
      </c>
      <c r="R125" s="36">
        <f t="shared" si="29"/>
        <v>0</v>
      </c>
      <c r="S125" s="30">
        <f t="shared" si="30"/>
        <v>1575888.6666666667</v>
      </c>
      <c r="T125" s="30">
        <f>(S125-L125+M125-O125-R125)*'Valores Vigentes'!$D$6</f>
        <v>55826.880000000005</v>
      </c>
      <c r="U125" s="30">
        <f>(S125-L125+M125-O125-R125)*'Valores Vigentes'!$D$7</f>
        <v>55826.880000000005</v>
      </c>
      <c r="V125" s="36">
        <f>IF(I125&gt;'Valores Vigentes'!$D$4*4,I125*1%,0)</f>
        <v>0</v>
      </c>
      <c r="W125" s="36">
        <f t="shared" si="39"/>
        <v>0</v>
      </c>
      <c r="X125" s="36">
        <f t="shared" si="31"/>
        <v>48780</v>
      </c>
      <c r="Y125" s="36">
        <f t="shared" si="32"/>
        <v>31517.773333333334</v>
      </c>
      <c r="Z125" s="30">
        <f t="shared" si="33"/>
        <v>191951.53333333335</v>
      </c>
      <c r="AA125" s="30">
        <f t="shared" si="34"/>
        <v>1383937.1333333333</v>
      </c>
    </row>
    <row r="126" spans="1:27" ht="15.75" customHeight="1" x14ac:dyDescent="0.25">
      <c r="A126" s="16" t="str">
        <f>CONCATENATE(G126,COUNTIF($G$14:G126,G126))</f>
        <v>ADMON14</v>
      </c>
      <c r="B126" s="17" t="s">
        <v>177</v>
      </c>
      <c r="C126" s="17" t="s">
        <v>278</v>
      </c>
      <c r="D126" s="17">
        <v>6</v>
      </c>
      <c r="E126" s="17" t="s">
        <v>276</v>
      </c>
      <c r="F126" s="17" t="s">
        <v>277</v>
      </c>
      <c r="G126" s="17" t="s">
        <v>35</v>
      </c>
      <c r="H126" s="17" t="str">
        <f t="shared" si="35"/>
        <v>PROFESIONAL</v>
      </c>
      <c r="I126" s="30">
        <f t="shared" si="36"/>
        <v>2950000</v>
      </c>
      <c r="J126" s="16">
        <v>28</v>
      </c>
      <c r="K126" s="30">
        <f t="shared" si="25"/>
        <v>2753333.333333333</v>
      </c>
      <c r="L126" s="36">
        <f>IF(I126&lt;='Valores Vigentes'!D$4*2,'Valores Vigentes'!$D$5/30*J126,0)</f>
        <v>0</v>
      </c>
      <c r="M126" s="36">
        <f t="shared" si="26"/>
        <v>41299.999999999993</v>
      </c>
      <c r="N126" s="36">
        <f t="shared" si="27"/>
        <v>0</v>
      </c>
      <c r="O126" s="36">
        <f t="shared" si="28"/>
        <v>41299.999999999993</v>
      </c>
      <c r="P126" s="16">
        <f t="shared" si="37"/>
        <v>838068.18181818177</v>
      </c>
      <c r="Q126" s="36">
        <f t="shared" si="38"/>
        <v>25</v>
      </c>
      <c r="R126" s="36">
        <f t="shared" si="29"/>
        <v>0</v>
      </c>
      <c r="S126" s="30">
        <f t="shared" si="30"/>
        <v>2835958.333333333</v>
      </c>
      <c r="T126" s="30">
        <f>(S126-L126+M126-O126-R126)*'Valores Vigentes'!$D$6</f>
        <v>113438.33333333333</v>
      </c>
      <c r="U126" s="30">
        <f>(S126-L126+M126-O126-R126)*'Valores Vigentes'!$D$7</f>
        <v>113438.33333333333</v>
      </c>
      <c r="V126" s="36">
        <f>IF(I126&gt;'Valores Vigentes'!$D$4*4,I126*1%,0)</f>
        <v>0</v>
      </c>
      <c r="W126" s="36">
        <f t="shared" si="39"/>
        <v>0</v>
      </c>
      <c r="X126" s="36">
        <f t="shared" si="31"/>
        <v>88500</v>
      </c>
      <c r="Y126" s="36">
        <f t="shared" si="32"/>
        <v>0</v>
      </c>
      <c r="Z126" s="30">
        <f t="shared" si="33"/>
        <v>315376.66666666663</v>
      </c>
      <c r="AA126" s="30">
        <f t="shared" si="34"/>
        <v>2520581.6666666665</v>
      </c>
    </row>
    <row r="127" spans="1:27" ht="15.75" customHeight="1" x14ac:dyDescent="0.25">
      <c r="A127" s="16" t="str">
        <f>CONCATENATE(G127,COUNTIF($G$14:G127,G127))</f>
        <v>MERCADEO8</v>
      </c>
      <c r="B127" s="17" t="s">
        <v>178</v>
      </c>
      <c r="C127" s="17" t="s">
        <v>275</v>
      </c>
      <c r="D127" s="17">
        <v>5</v>
      </c>
      <c r="E127" s="17" t="s">
        <v>276</v>
      </c>
      <c r="F127" s="17" t="s">
        <v>276</v>
      </c>
      <c r="G127" s="17" t="s">
        <v>37</v>
      </c>
      <c r="H127" s="17" t="str">
        <f t="shared" si="35"/>
        <v>ASESOR VENTAS</v>
      </c>
      <c r="I127" s="30">
        <f t="shared" si="36"/>
        <v>2650000</v>
      </c>
      <c r="J127" s="16">
        <v>27</v>
      </c>
      <c r="K127" s="30">
        <f t="shared" si="25"/>
        <v>2385000</v>
      </c>
      <c r="L127" s="36">
        <f>IF(I127&lt;='Valores Vigentes'!D$4*2,'Valores Vigentes'!$D$5/30*J127,0)</f>
        <v>180000</v>
      </c>
      <c r="M127" s="36">
        <f t="shared" si="26"/>
        <v>35775</v>
      </c>
      <c r="N127" s="36">
        <f t="shared" si="27"/>
        <v>0</v>
      </c>
      <c r="O127" s="36">
        <f t="shared" si="28"/>
        <v>59625</v>
      </c>
      <c r="P127" s="16">
        <f t="shared" si="37"/>
        <v>752840.90909090906</v>
      </c>
      <c r="Q127" s="36">
        <f t="shared" si="38"/>
        <v>25</v>
      </c>
      <c r="R127" s="36">
        <f t="shared" si="29"/>
        <v>0</v>
      </c>
      <c r="S127" s="30">
        <f t="shared" si="30"/>
        <v>2660425</v>
      </c>
      <c r="T127" s="30">
        <f>(S127-L127+M127-O127-R127)*'Valores Vigentes'!$D$6</f>
        <v>98263</v>
      </c>
      <c r="U127" s="30">
        <f>(S127-L127+M127-O127-R127)*'Valores Vigentes'!$D$7</f>
        <v>98263</v>
      </c>
      <c r="V127" s="36">
        <f>IF(I127&gt;'Valores Vigentes'!$D$4*4,I127*1%,0)</f>
        <v>0</v>
      </c>
      <c r="W127" s="36">
        <f t="shared" si="39"/>
        <v>0</v>
      </c>
      <c r="X127" s="36">
        <f t="shared" si="31"/>
        <v>79500</v>
      </c>
      <c r="Y127" s="36">
        <f t="shared" si="32"/>
        <v>53208.5</v>
      </c>
      <c r="Z127" s="30">
        <f t="shared" si="33"/>
        <v>329234.5</v>
      </c>
      <c r="AA127" s="30">
        <f t="shared" si="34"/>
        <v>2331190.5</v>
      </c>
    </row>
    <row r="128" spans="1:27" ht="15.75" customHeight="1" x14ac:dyDescent="0.25">
      <c r="A128" s="16" t="str">
        <f>CONCATENATE(G128,COUNTIF($G$14:G128,G128))</f>
        <v>ADMON15</v>
      </c>
      <c r="B128" s="17" t="s">
        <v>179</v>
      </c>
      <c r="C128" s="17" t="s">
        <v>275</v>
      </c>
      <c r="D128" s="17">
        <v>6</v>
      </c>
      <c r="E128" s="17" t="s">
        <v>276</v>
      </c>
      <c r="F128" s="17" t="s">
        <v>276</v>
      </c>
      <c r="G128" s="17" t="s">
        <v>35</v>
      </c>
      <c r="H128" s="17" t="str">
        <f t="shared" si="35"/>
        <v>PROFESIONAL</v>
      </c>
      <c r="I128" s="30">
        <f t="shared" si="36"/>
        <v>2950000</v>
      </c>
      <c r="J128" s="16">
        <v>28</v>
      </c>
      <c r="K128" s="30">
        <f t="shared" si="25"/>
        <v>2753333.333333333</v>
      </c>
      <c r="L128" s="36">
        <f>IF(I128&lt;='Valores Vigentes'!D$4*2,'Valores Vigentes'!$D$5/30*J128,0)</f>
        <v>0</v>
      </c>
      <c r="M128" s="36">
        <f t="shared" si="26"/>
        <v>41299.999999999993</v>
      </c>
      <c r="N128" s="36">
        <f t="shared" si="27"/>
        <v>0</v>
      </c>
      <c r="O128" s="36">
        <f t="shared" si="28"/>
        <v>68833.333333333328</v>
      </c>
      <c r="P128" s="16">
        <f t="shared" si="37"/>
        <v>435795.45454545453</v>
      </c>
      <c r="Q128" s="36">
        <f t="shared" si="38"/>
        <v>13</v>
      </c>
      <c r="R128" s="36">
        <f t="shared" si="29"/>
        <v>0</v>
      </c>
      <c r="S128" s="30">
        <f t="shared" si="30"/>
        <v>2863479.6666666665</v>
      </c>
      <c r="T128" s="30">
        <f>(S128-L128+M128-O128-R128)*'Valores Vigentes'!$D$6</f>
        <v>113437.85333333332</v>
      </c>
      <c r="U128" s="30">
        <f>(S128-L128+M128-O128-R128)*'Valores Vigentes'!$D$7</f>
        <v>113437.85333333332</v>
      </c>
      <c r="V128" s="36">
        <f>IF(I128&gt;'Valores Vigentes'!$D$4*4,I128*1%,0)</f>
        <v>0</v>
      </c>
      <c r="W128" s="36">
        <f t="shared" si="39"/>
        <v>0</v>
      </c>
      <c r="X128" s="36">
        <f t="shared" si="31"/>
        <v>88500</v>
      </c>
      <c r="Y128" s="36">
        <f t="shared" si="32"/>
        <v>57269.593333333331</v>
      </c>
      <c r="Z128" s="30">
        <f t="shared" si="33"/>
        <v>372645.3</v>
      </c>
      <c r="AA128" s="30">
        <f t="shared" si="34"/>
        <v>2490834.3666666667</v>
      </c>
    </row>
    <row r="129" spans="1:27" ht="15.75" customHeight="1" x14ac:dyDescent="0.25">
      <c r="A129" s="16" t="str">
        <f>CONCATENATE(G129,COUNTIF($G$14:G129,G129))</f>
        <v>PERSONAL4</v>
      </c>
      <c r="B129" s="17" t="s">
        <v>180</v>
      </c>
      <c r="C129" s="17" t="s">
        <v>278</v>
      </c>
      <c r="D129" s="17">
        <v>8</v>
      </c>
      <c r="E129" s="17" t="s">
        <v>276</v>
      </c>
      <c r="F129" s="17" t="s">
        <v>276</v>
      </c>
      <c r="G129" s="17" t="s">
        <v>45</v>
      </c>
      <c r="H129" s="17" t="str">
        <f t="shared" si="35"/>
        <v>ASESOR</v>
      </c>
      <c r="I129" s="30">
        <f t="shared" si="36"/>
        <v>3900000</v>
      </c>
      <c r="J129" s="16">
        <v>26</v>
      </c>
      <c r="K129" s="30">
        <f t="shared" si="25"/>
        <v>3380000</v>
      </c>
      <c r="L129" s="36">
        <f>IF(I129&lt;='Valores Vigentes'!D$4*2,'Valores Vigentes'!$D$5/30*J129,0)</f>
        <v>0</v>
      </c>
      <c r="M129" s="36">
        <f t="shared" si="26"/>
        <v>50700</v>
      </c>
      <c r="N129" s="36">
        <f t="shared" si="27"/>
        <v>0</v>
      </c>
      <c r="O129" s="36">
        <f t="shared" si="28"/>
        <v>84500</v>
      </c>
      <c r="P129" s="16">
        <f t="shared" si="37"/>
        <v>842045.45454545459</v>
      </c>
      <c r="Q129" s="36">
        <f t="shared" si="38"/>
        <v>19</v>
      </c>
      <c r="R129" s="36">
        <f t="shared" si="29"/>
        <v>0</v>
      </c>
      <c r="S129" s="30">
        <f t="shared" si="30"/>
        <v>3515219.0000000005</v>
      </c>
      <c r="T129" s="30">
        <f>(S129-L129+M129-O129-R129)*'Valores Vigentes'!$D$6</f>
        <v>139256.76</v>
      </c>
      <c r="U129" s="30">
        <f>(S129-L129+M129-O129-R129)*'Valores Vigentes'!$D$7</f>
        <v>139256.76</v>
      </c>
      <c r="V129" s="36">
        <f>IF(I129&gt;'Valores Vigentes'!$D$4*4,I129*1%,0)</f>
        <v>0</v>
      </c>
      <c r="W129" s="36">
        <f t="shared" si="39"/>
        <v>0</v>
      </c>
      <c r="X129" s="36">
        <f t="shared" si="31"/>
        <v>117000</v>
      </c>
      <c r="Y129" s="36">
        <f t="shared" si="32"/>
        <v>70304.38</v>
      </c>
      <c r="Z129" s="30">
        <f t="shared" si="33"/>
        <v>465817.9</v>
      </c>
      <c r="AA129" s="30">
        <f t="shared" si="34"/>
        <v>3049401.1000000006</v>
      </c>
    </row>
    <row r="130" spans="1:27" ht="15.75" customHeight="1" x14ac:dyDescent="0.25">
      <c r="A130" s="16" t="str">
        <f>CONCATENATE(G130,COUNTIF($G$14:G130,G130))</f>
        <v>CARTERA2</v>
      </c>
      <c r="B130" s="17" t="s">
        <v>181</v>
      </c>
      <c r="C130" s="17" t="s">
        <v>278</v>
      </c>
      <c r="D130" s="17">
        <v>3</v>
      </c>
      <c r="E130" s="17" t="s">
        <v>276</v>
      </c>
      <c r="F130" s="17" t="s">
        <v>276</v>
      </c>
      <c r="G130" s="17" t="s">
        <v>49</v>
      </c>
      <c r="H130" s="17" t="str">
        <f t="shared" si="35"/>
        <v>SECRETARIAS</v>
      </c>
      <c r="I130" s="30">
        <f t="shared" si="36"/>
        <v>1813000</v>
      </c>
      <c r="J130" s="16">
        <v>28</v>
      </c>
      <c r="K130" s="30">
        <f t="shared" si="25"/>
        <v>1692133.3333333335</v>
      </c>
      <c r="L130" s="36">
        <f>IF(I130&lt;='Valores Vigentes'!D$4*2,'Valores Vigentes'!$D$5/30*J130,0)</f>
        <v>186666.66666666669</v>
      </c>
      <c r="M130" s="36">
        <f t="shared" si="26"/>
        <v>25382</v>
      </c>
      <c r="N130" s="36">
        <f t="shared" si="27"/>
        <v>0</v>
      </c>
      <c r="O130" s="36">
        <f t="shared" si="28"/>
        <v>42303.333333333343</v>
      </c>
      <c r="P130" s="16">
        <f t="shared" si="37"/>
        <v>226624.99999999997</v>
      </c>
      <c r="Q130" s="36">
        <f t="shared" si="38"/>
        <v>11</v>
      </c>
      <c r="R130" s="36">
        <f t="shared" si="29"/>
        <v>0</v>
      </c>
      <c r="S130" s="30">
        <f t="shared" si="30"/>
        <v>1946496.3333333335</v>
      </c>
      <c r="T130" s="30">
        <f>(S130-L130+M130-O130-R130)*'Valores Vigentes'!$D$6</f>
        <v>69716.333333333343</v>
      </c>
      <c r="U130" s="30">
        <f>(S130-L130+M130-O130-R130)*'Valores Vigentes'!$D$7</f>
        <v>69716.333333333343</v>
      </c>
      <c r="V130" s="36">
        <f>IF(I130&gt;'Valores Vigentes'!$D$4*4,I130*1%,0)</f>
        <v>0</v>
      </c>
      <c r="W130" s="36">
        <f t="shared" si="39"/>
        <v>0</v>
      </c>
      <c r="X130" s="36">
        <f t="shared" si="31"/>
        <v>54390</v>
      </c>
      <c r="Y130" s="36">
        <f t="shared" si="32"/>
        <v>38929.926666666674</v>
      </c>
      <c r="Z130" s="30">
        <f t="shared" si="33"/>
        <v>232752.59333333335</v>
      </c>
      <c r="AA130" s="30">
        <f t="shared" si="34"/>
        <v>1713743.7400000002</v>
      </c>
    </row>
    <row r="131" spans="1:27" ht="15.75" customHeight="1" x14ac:dyDescent="0.25">
      <c r="A131" s="16" t="str">
        <f>CONCATENATE(G131,COUNTIF($G$14:G131,G131))</f>
        <v>VENTAS50</v>
      </c>
      <c r="B131" s="17" t="s">
        <v>182</v>
      </c>
      <c r="C131" s="17" t="s">
        <v>278</v>
      </c>
      <c r="D131" s="17">
        <v>2</v>
      </c>
      <c r="E131" s="17" t="s">
        <v>276</v>
      </c>
      <c r="F131" s="17" t="s">
        <v>276</v>
      </c>
      <c r="G131" s="17" t="s">
        <v>31</v>
      </c>
      <c r="H131" s="17" t="str">
        <f t="shared" si="35"/>
        <v>ASISTENTES</v>
      </c>
      <c r="I131" s="30">
        <f t="shared" si="36"/>
        <v>1626000</v>
      </c>
      <c r="J131" s="16">
        <v>25</v>
      </c>
      <c r="K131" s="30">
        <f t="shared" si="25"/>
        <v>1355000</v>
      </c>
      <c r="L131" s="36">
        <f>IF(I131&lt;='Valores Vigentes'!D$4*2,'Valores Vigentes'!$D$5/30*J131,0)</f>
        <v>166666.66666666669</v>
      </c>
      <c r="M131" s="36">
        <f t="shared" si="26"/>
        <v>20325</v>
      </c>
      <c r="N131" s="36">
        <f t="shared" si="27"/>
        <v>47425.000000000007</v>
      </c>
      <c r="O131" s="36">
        <f t="shared" si="28"/>
        <v>33875</v>
      </c>
      <c r="P131" s="16">
        <f t="shared" si="37"/>
        <v>203250</v>
      </c>
      <c r="Q131" s="36">
        <f t="shared" si="38"/>
        <v>11</v>
      </c>
      <c r="R131" s="36">
        <f t="shared" si="29"/>
        <v>0</v>
      </c>
      <c r="S131" s="30">
        <f t="shared" si="30"/>
        <v>1623302.6666666667</v>
      </c>
      <c r="T131" s="30">
        <f>(S131-L131+M131-O131-R131)*'Valores Vigentes'!$D$6</f>
        <v>57723.44</v>
      </c>
      <c r="U131" s="30">
        <f>(S131-L131+M131-O131-R131)*'Valores Vigentes'!$D$7</f>
        <v>57723.44</v>
      </c>
      <c r="V131" s="36">
        <f>IF(I131&gt;'Valores Vigentes'!$D$4*4,I131*1%,0)</f>
        <v>0</v>
      </c>
      <c r="W131" s="36">
        <f t="shared" si="39"/>
        <v>0</v>
      </c>
      <c r="X131" s="36">
        <f t="shared" si="31"/>
        <v>48780</v>
      </c>
      <c r="Y131" s="36">
        <f t="shared" si="32"/>
        <v>32466.053333333337</v>
      </c>
      <c r="Z131" s="30">
        <f t="shared" si="33"/>
        <v>196692.93333333335</v>
      </c>
      <c r="AA131" s="30">
        <f t="shared" si="34"/>
        <v>1426609.7333333334</v>
      </c>
    </row>
    <row r="132" spans="1:27" ht="15.75" customHeight="1" x14ac:dyDescent="0.25">
      <c r="A132" s="16" t="str">
        <f>CONCATENATE(G132,COUNTIF($G$14:G132,G132))</f>
        <v>ADMON16</v>
      </c>
      <c r="B132" s="17" t="s">
        <v>183</v>
      </c>
      <c r="C132" s="17" t="s">
        <v>278</v>
      </c>
      <c r="D132" s="17">
        <v>1</v>
      </c>
      <c r="E132" s="17" t="s">
        <v>276</v>
      </c>
      <c r="F132" s="17" t="s">
        <v>277</v>
      </c>
      <c r="G132" s="17" t="s">
        <v>35</v>
      </c>
      <c r="H132" s="17" t="str">
        <f t="shared" si="35"/>
        <v>AUXILIAR ADMON</v>
      </c>
      <c r="I132" s="30">
        <f t="shared" si="36"/>
        <v>1423500</v>
      </c>
      <c r="J132" s="16">
        <v>30</v>
      </c>
      <c r="K132" s="30">
        <f t="shared" si="25"/>
        <v>1423500</v>
      </c>
      <c r="L132" s="36">
        <f>IF(I132&lt;='Valores Vigentes'!D$4*2,'Valores Vigentes'!$D$5/30*J132,0)</f>
        <v>200000</v>
      </c>
      <c r="M132" s="36">
        <f t="shared" si="26"/>
        <v>35587.5</v>
      </c>
      <c r="N132" s="36">
        <f t="shared" si="27"/>
        <v>0</v>
      </c>
      <c r="O132" s="36">
        <f t="shared" si="28"/>
        <v>21352.5</v>
      </c>
      <c r="P132" s="16">
        <f t="shared" si="37"/>
        <v>32352.272727272724</v>
      </c>
      <c r="Q132" s="36">
        <f t="shared" si="38"/>
        <v>2</v>
      </c>
      <c r="R132" s="36">
        <f t="shared" si="29"/>
        <v>0</v>
      </c>
      <c r="S132" s="30">
        <f t="shared" si="30"/>
        <v>1680442</v>
      </c>
      <c r="T132" s="30">
        <f>(S132-L132+M132-O132-R132)*'Valores Vigentes'!$D$6</f>
        <v>59787.08</v>
      </c>
      <c r="U132" s="30">
        <f>(S132-L132+M132-O132-R132)*'Valores Vigentes'!$D$7</f>
        <v>59787.08</v>
      </c>
      <c r="V132" s="36">
        <f>IF(I132&gt;'Valores Vigentes'!$D$4*4,I132*1%,0)</f>
        <v>0</v>
      </c>
      <c r="W132" s="36">
        <f t="shared" si="39"/>
        <v>0</v>
      </c>
      <c r="X132" s="36">
        <f t="shared" si="31"/>
        <v>42705</v>
      </c>
      <c r="Y132" s="36">
        <f t="shared" si="32"/>
        <v>0</v>
      </c>
      <c r="Z132" s="30">
        <f t="shared" si="33"/>
        <v>162279.16</v>
      </c>
      <c r="AA132" s="30">
        <f t="shared" si="34"/>
        <v>1518162.84</v>
      </c>
    </row>
    <row r="133" spans="1:27" ht="15.75" customHeight="1" x14ac:dyDescent="0.25">
      <c r="A133" s="16" t="str">
        <f>CONCATENATE(G133,COUNTIF($G$14:G133,G133))</f>
        <v>VENTAS51</v>
      </c>
      <c r="B133" s="17" t="s">
        <v>184</v>
      </c>
      <c r="C133" s="17" t="s">
        <v>275</v>
      </c>
      <c r="D133" s="17">
        <v>5</v>
      </c>
      <c r="E133" s="17" t="s">
        <v>276</v>
      </c>
      <c r="F133" s="17" t="s">
        <v>276</v>
      </c>
      <c r="G133" s="17" t="s">
        <v>31</v>
      </c>
      <c r="H133" s="17" t="str">
        <f t="shared" si="35"/>
        <v>ASESOR VENTAS</v>
      </c>
      <c r="I133" s="30">
        <f t="shared" si="36"/>
        <v>2650000</v>
      </c>
      <c r="J133" s="16">
        <v>30</v>
      </c>
      <c r="K133" s="30">
        <f t="shared" si="25"/>
        <v>2650000</v>
      </c>
      <c r="L133" s="36">
        <f>IF(I133&lt;='Valores Vigentes'!D$4*2,'Valores Vigentes'!$D$5/30*J133,0)</f>
        <v>200000</v>
      </c>
      <c r="M133" s="36">
        <f t="shared" si="26"/>
        <v>66250</v>
      </c>
      <c r="N133" s="36">
        <f t="shared" si="27"/>
        <v>92750.000000000015</v>
      </c>
      <c r="O133" s="36">
        <f t="shared" si="28"/>
        <v>66250</v>
      </c>
      <c r="P133" s="16">
        <f t="shared" si="37"/>
        <v>903409.09090909094</v>
      </c>
      <c r="Q133" s="36">
        <f t="shared" si="38"/>
        <v>30</v>
      </c>
      <c r="R133" s="36">
        <f t="shared" si="29"/>
        <v>0</v>
      </c>
      <c r="S133" s="30">
        <f t="shared" si="30"/>
        <v>3075280</v>
      </c>
      <c r="T133" s="30">
        <f>(S133-L133+M133-O133-R133)*'Valores Vigentes'!$D$6</f>
        <v>115011.2</v>
      </c>
      <c r="U133" s="30">
        <f>(S133-L133+M133-O133-R133)*'Valores Vigentes'!$D$7</f>
        <v>115011.2</v>
      </c>
      <c r="V133" s="36">
        <f>IF(I133&gt;'Valores Vigentes'!$D$4*4,I133*1%,0)</f>
        <v>0</v>
      </c>
      <c r="W133" s="36">
        <f t="shared" si="39"/>
        <v>0</v>
      </c>
      <c r="X133" s="36">
        <f t="shared" si="31"/>
        <v>79500</v>
      </c>
      <c r="Y133" s="36">
        <f t="shared" si="32"/>
        <v>61505.599999999999</v>
      </c>
      <c r="Z133" s="30">
        <f t="shared" si="33"/>
        <v>371028</v>
      </c>
      <c r="AA133" s="30">
        <f t="shared" si="34"/>
        <v>2704252</v>
      </c>
    </row>
    <row r="134" spans="1:27" ht="15.75" customHeight="1" x14ac:dyDescent="0.25">
      <c r="A134" s="16" t="str">
        <f>CONCATENATE(G134,COUNTIF($G$14:G134,G134))</f>
        <v>PERSONAL5</v>
      </c>
      <c r="B134" s="17" t="s">
        <v>185</v>
      </c>
      <c r="C134" s="17" t="s">
        <v>275</v>
      </c>
      <c r="D134" s="17">
        <v>7</v>
      </c>
      <c r="E134" s="17" t="s">
        <v>277</v>
      </c>
      <c r="F134" s="17" t="s">
        <v>276</v>
      </c>
      <c r="G134" s="17" t="s">
        <v>45</v>
      </c>
      <c r="H134" s="17" t="str">
        <f t="shared" si="35"/>
        <v>COORDINADOR</v>
      </c>
      <c r="I134" s="30">
        <f t="shared" si="36"/>
        <v>3250000</v>
      </c>
      <c r="J134" s="16">
        <v>26</v>
      </c>
      <c r="K134" s="30">
        <f t="shared" si="25"/>
        <v>2816666.6666666665</v>
      </c>
      <c r="L134" s="36">
        <f>IF(I134&lt;='Valores Vigentes'!D$4*2,'Valores Vigentes'!$D$5/30*J134,0)</f>
        <v>0</v>
      </c>
      <c r="M134" s="36">
        <f t="shared" si="26"/>
        <v>42249.999999999993</v>
      </c>
      <c r="N134" s="36">
        <f t="shared" si="27"/>
        <v>0</v>
      </c>
      <c r="O134" s="36">
        <f t="shared" si="28"/>
        <v>42249.999999999993</v>
      </c>
      <c r="P134" s="16">
        <f t="shared" si="37"/>
        <v>886363.63636363624</v>
      </c>
      <c r="Q134" s="36">
        <f t="shared" si="38"/>
        <v>24</v>
      </c>
      <c r="R134" s="36">
        <f t="shared" si="29"/>
        <v>0</v>
      </c>
      <c r="S134" s="30">
        <f t="shared" si="30"/>
        <v>2901190.6666666665</v>
      </c>
      <c r="T134" s="30">
        <f>(S134-L134+M134-O134-R134)*'Valores Vigentes'!$D$6</f>
        <v>116047.62666666666</v>
      </c>
      <c r="U134" s="30">
        <f>(S134-L134+M134-O134-R134)*'Valores Vigentes'!$D$7</f>
        <v>116047.62666666666</v>
      </c>
      <c r="V134" s="36">
        <f>IF(I134&gt;'Valores Vigentes'!$D$4*4,I134*1%,0)</f>
        <v>0</v>
      </c>
      <c r="W134" s="36">
        <f t="shared" si="39"/>
        <v>0</v>
      </c>
      <c r="X134" s="36">
        <f t="shared" si="31"/>
        <v>0</v>
      </c>
      <c r="Y134" s="36">
        <f t="shared" si="32"/>
        <v>58023.813333333332</v>
      </c>
      <c r="Z134" s="30">
        <f t="shared" si="33"/>
        <v>290119.06666666665</v>
      </c>
      <c r="AA134" s="30">
        <f t="shared" si="34"/>
        <v>2611071.5999999996</v>
      </c>
    </row>
    <row r="135" spans="1:27" ht="15.75" customHeight="1" x14ac:dyDescent="0.25">
      <c r="A135" s="16" t="str">
        <f>CONCATENATE(G135,COUNTIF($G$14:G135,G135))</f>
        <v>VENTAS52</v>
      </c>
      <c r="B135" s="17" t="s">
        <v>186</v>
      </c>
      <c r="C135" s="17" t="s">
        <v>275</v>
      </c>
      <c r="D135" s="17">
        <v>4</v>
      </c>
      <c r="E135" s="17" t="s">
        <v>277</v>
      </c>
      <c r="F135" s="17" t="s">
        <v>276</v>
      </c>
      <c r="G135" s="17" t="s">
        <v>31</v>
      </c>
      <c r="H135" s="17" t="str">
        <f t="shared" si="35"/>
        <v>TÉCNICO PROFESIONAL</v>
      </c>
      <c r="I135" s="30">
        <f t="shared" si="36"/>
        <v>2450000</v>
      </c>
      <c r="J135" s="16">
        <v>28</v>
      </c>
      <c r="K135" s="30">
        <f t="shared" si="25"/>
        <v>2286666.666666667</v>
      </c>
      <c r="L135" s="36">
        <f>IF(I135&lt;='Valores Vigentes'!D$4*2,'Valores Vigentes'!$D$5/30*J135,0)</f>
        <v>186666.66666666669</v>
      </c>
      <c r="M135" s="36">
        <f t="shared" si="26"/>
        <v>34300</v>
      </c>
      <c r="N135" s="36">
        <f t="shared" si="27"/>
        <v>80033.333333333358</v>
      </c>
      <c r="O135" s="36">
        <f t="shared" si="28"/>
        <v>34300</v>
      </c>
      <c r="P135" s="16">
        <f t="shared" si="37"/>
        <v>668181.81818181812</v>
      </c>
      <c r="Q135" s="36">
        <f t="shared" si="38"/>
        <v>24</v>
      </c>
      <c r="R135" s="36">
        <f t="shared" si="29"/>
        <v>0</v>
      </c>
      <c r="S135" s="30">
        <f t="shared" si="30"/>
        <v>2621990.666666667</v>
      </c>
      <c r="T135" s="30">
        <f>(S135-L135+M135-O135-R135)*'Valores Vigentes'!$D$6</f>
        <v>97412.960000000021</v>
      </c>
      <c r="U135" s="30">
        <f>(S135-L135+M135-O135-R135)*'Valores Vigentes'!$D$7</f>
        <v>97412.960000000021</v>
      </c>
      <c r="V135" s="36">
        <f>IF(I135&gt;'Valores Vigentes'!$D$4*4,I135*1%,0)</f>
        <v>0</v>
      </c>
      <c r="W135" s="36">
        <f t="shared" si="39"/>
        <v>0</v>
      </c>
      <c r="X135" s="36">
        <f t="shared" si="31"/>
        <v>0</v>
      </c>
      <c r="Y135" s="36">
        <f t="shared" si="32"/>
        <v>52439.813333333339</v>
      </c>
      <c r="Z135" s="30">
        <f t="shared" si="33"/>
        <v>247265.7333333334</v>
      </c>
      <c r="AA135" s="30">
        <f t="shared" si="34"/>
        <v>2374724.9333333336</v>
      </c>
    </row>
    <row r="136" spans="1:27" ht="15.75" customHeight="1" x14ac:dyDescent="0.25">
      <c r="A136" s="16" t="str">
        <f>CONCATENATE(G136,COUNTIF($G$14:G136,G136))</f>
        <v>PUBLICIDAD4</v>
      </c>
      <c r="B136" s="17" t="s">
        <v>187</v>
      </c>
      <c r="C136" s="17" t="s">
        <v>275</v>
      </c>
      <c r="D136" s="17">
        <v>3</v>
      </c>
      <c r="E136" s="17" t="s">
        <v>276</v>
      </c>
      <c r="F136" s="17" t="s">
        <v>277</v>
      </c>
      <c r="G136" s="17" t="s">
        <v>47</v>
      </c>
      <c r="H136" s="17" t="str">
        <f t="shared" si="35"/>
        <v>SECRETARIAS</v>
      </c>
      <c r="I136" s="30">
        <f t="shared" si="36"/>
        <v>1813000</v>
      </c>
      <c r="J136" s="16">
        <v>27</v>
      </c>
      <c r="K136" s="30">
        <f t="shared" si="25"/>
        <v>1631700</v>
      </c>
      <c r="L136" s="36">
        <f>IF(I136&lt;='Valores Vigentes'!D$4*2,'Valores Vigentes'!$D$5/30*J136,0)</f>
        <v>180000</v>
      </c>
      <c r="M136" s="36">
        <f t="shared" si="26"/>
        <v>24475.5</v>
      </c>
      <c r="N136" s="36">
        <f t="shared" si="27"/>
        <v>0</v>
      </c>
      <c r="O136" s="36">
        <f t="shared" si="28"/>
        <v>24475.5</v>
      </c>
      <c r="P136" s="16">
        <f t="shared" si="37"/>
        <v>412045.45454545447</v>
      </c>
      <c r="Q136" s="36">
        <f t="shared" si="38"/>
        <v>20</v>
      </c>
      <c r="R136" s="36">
        <f t="shared" si="29"/>
        <v>0</v>
      </c>
      <c r="S136" s="30">
        <f t="shared" si="30"/>
        <v>1860671</v>
      </c>
      <c r="T136" s="30">
        <f>(S136-L136+M136-O136-R136)*'Valores Vigentes'!$D$6</f>
        <v>67226.84</v>
      </c>
      <c r="U136" s="30">
        <f>(S136-L136+M136-O136-R136)*'Valores Vigentes'!$D$7</f>
        <v>67226.84</v>
      </c>
      <c r="V136" s="36">
        <f>IF(I136&gt;'Valores Vigentes'!$D$4*4,I136*1%,0)</f>
        <v>0</v>
      </c>
      <c r="W136" s="36">
        <f t="shared" si="39"/>
        <v>0</v>
      </c>
      <c r="X136" s="36">
        <f t="shared" si="31"/>
        <v>54390</v>
      </c>
      <c r="Y136" s="36">
        <f t="shared" si="32"/>
        <v>0</v>
      </c>
      <c r="Z136" s="30">
        <f t="shared" si="33"/>
        <v>188843.68</v>
      </c>
      <c r="AA136" s="30">
        <f t="shared" si="34"/>
        <v>1671827.32</v>
      </c>
    </row>
    <row r="137" spans="1:27" ht="15.75" customHeight="1" x14ac:dyDescent="0.25">
      <c r="A137" s="16" t="str">
        <f>CONCATENATE(G137,COUNTIF($G$14:G137,G137))</f>
        <v>CARTERA3</v>
      </c>
      <c r="B137" s="17" t="s">
        <v>188</v>
      </c>
      <c r="C137" s="17" t="s">
        <v>278</v>
      </c>
      <c r="D137" s="17">
        <v>7</v>
      </c>
      <c r="E137" s="17" t="s">
        <v>277</v>
      </c>
      <c r="F137" s="17" t="s">
        <v>276</v>
      </c>
      <c r="G137" s="17" t="s">
        <v>49</v>
      </c>
      <c r="H137" s="17" t="str">
        <f t="shared" si="35"/>
        <v>COORDINADOR</v>
      </c>
      <c r="I137" s="30">
        <f t="shared" si="36"/>
        <v>3250000</v>
      </c>
      <c r="J137" s="16">
        <v>28</v>
      </c>
      <c r="K137" s="30">
        <f t="shared" si="25"/>
        <v>3033333.333333333</v>
      </c>
      <c r="L137" s="36">
        <f>IF(I137&lt;='Valores Vigentes'!D$4*2,'Valores Vigentes'!$D$5/30*J137,0)</f>
        <v>0</v>
      </c>
      <c r="M137" s="36">
        <f t="shared" si="26"/>
        <v>45499.999999999993</v>
      </c>
      <c r="N137" s="36">
        <f t="shared" si="27"/>
        <v>0</v>
      </c>
      <c r="O137" s="36">
        <f t="shared" si="28"/>
        <v>45499.999999999993</v>
      </c>
      <c r="P137" s="16">
        <f t="shared" si="37"/>
        <v>221590.90909090906</v>
      </c>
      <c r="Q137" s="36">
        <f t="shared" si="38"/>
        <v>6</v>
      </c>
      <c r="R137" s="36">
        <f t="shared" si="29"/>
        <v>0</v>
      </c>
      <c r="S137" s="30">
        <f t="shared" si="30"/>
        <v>3124339.333333333</v>
      </c>
      <c r="T137" s="30">
        <f>(S137-L137+M137-O137-R137)*'Valores Vigentes'!$D$6</f>
        <v>124973.57333333332</v>
      </c>
      <c r="U137" s="30">
        <f>(S137-L137+M137-O137-R137)*'Valores Vigentes'!$D$7</f>
        <v>124973.57333333332</v>
      </c>
      <c r="V137" s="36">
        <f>IF(I137&gt;'Valores Vigentes'!$D$4*4,I137*1%,0)</f>
        <v>0</v>
      </c>
      <c r="W137" s="36">
        <f t="shared" si="39"/>
        <v>0</v>
      </c>
      <c r="X137" s="36">
        <f t="shared" si="31"/>
        <v>0</v>
      </c>
      <c r="Y137" s="36">
        <f t="shared" si="32"/>
        <v>62486.78666666666</v>
      </c>
      <c r="Z137" s="30">
        <f t="shared" si="33"/>
        <v>312433.93333333329</v>
      </c>
      <c r="AA137" s="30">
        <f t="shared" si="34"/>
        <v>2811905.4</v>
      </c>
    </row>
    <row r="138" spans="1:27" ht="15.75" customHeight="1" x14ac:dyDescent="0.25">
      <c r="A138" s="16" t="str">
        <f>CONCATENATE(G138,COUNTIF($G$14:G138,G138))</f>
        <v>ADMON17</v>
      </c>
      <c r="B138" s="17" t="s">
        <v>189</v>
      </c>
      <c r="C138" s="17" t="s">
        <v>278</v>
      </c>
      <c r="D138" s="17">
        <v>3</v>
      </c>
      <c r="E138" s="17" t="s">
        <v>276</v>
      </c>
      <c r="F138" s="17" t="s">
        <v>276</v>
      </c>
      <c r="G138" s="17" t="s">
        <v>35</v>
      </c>
      <c r="H138" s="17" t="str">
        <f t="shared" si="35"/>
        <v>SECRETARIAS</v>
      </c>
      <c r="I138" s="30">
        <f t="shared" si="36"/>
        <v>1813000</v>
      </c>
      <c r="J138" s="16">
        <v>29</v>
      </c>
      <c r="K138" s="30">
        <f t="shared" si="25"/>
        <v>1752566.6666666667</v>
      </c>
      <c r="L138" s="36">
        <f>IF(I138&lt;='Valores Vigentes'!D$4*2,'Valores Vigentes'!$D$5/30*J138,0)</f>
        <v>193333.33333333334</v>
      </c>
      <c r="M138" s="36">
        <f t="shared" si="26"/>
        <v>26288.5</v>
      </c>
      <c r="N138" s="36">
        <f t="shared" si="27"/>
        <v>0</v>
      </c>
      <c r="O138" s="36">
        <f t="shared" si="28"/>
        <v>43814.166666666672</v>
      </c>
      <c r="P138" s="16">
        <f t="shared" si="37"/>
        <v>82409.090909090897</v>
      </c>
      <c r="Q138" s="36">
        <f t="shared" si="38"/>
        <v>4</v>
      </c>
      <c r="R138" s="36">
        <f t="shared" si="29"/>
        <v>0</v>
      </c>
      <c r="S138" s="30">
        <f t="shared" si="30"/>
        <v>2016006.666666667</v>
      </c>
      <c r="T138" s="30">
        <f>(S138-L138+M138-O138-R138)*'Valores Vigentes'!$D$6</f>
        <v>72205.906666666677</v>
      </c>
      <c r="U138" s="30">
        <f>(S138-L138+M138-O138-R138)*'Valores Vigentes'!$D$7</f>
        <v>72205.906666666677</v>
      </c>
      <c r="V138" s="36">
        <f>IF(I138&gt;'Valores Vigentes'!$D$4*4,I138*1%,0)</f>
        <v>0</v>
      </c>
      <c r="W138" s="36">
        <f t="shared" si="39"/>
        <v>0</v>
      </c>
      <c r="X138" s="36">
        <f t="shared" si="31"/>
        <v>54390</v>
      </c>
      <c r="Y138" s="36">
        <f t="shared" si="32"/>
        <v>40320.133333333339</v>
      </c>
      <c r="Z138" s="30">
        <f t="shared" si="33"/>
        <v>239121.94666666668</v>
      </c>
      <c r="AA138" s="30">
        <f t="shared" si="34"/>
        <v>1776884.7200000002</v>
      </c>
    </row>
    <row r="139" spans="1:27" ht="15.75" customHeight="1" x14ac:dyDescent="0.25">
      <c r="A139" s="16" t="str">
        <f>CONCATENATE(G139,COUNTIF($G$14:G139,G139))</f>
        <v>VENTAS53</v>
      </c>
      <c r="B139" s="17" t="s">
        <v>190</v>
      </c>
      <c r="C139" s="17" t="s">
        <v>278</v>
      </c>
      <c r="D139" s="17">
        <v>3</v>
      </c>
      <c r="E139" s="17" t="s">
        <v>276</v>
      </c>
      <c r="F139" s="17" t="s">
        <v>277</v>
      </c>
      <c r="G139" s="17" t="s">
        <v>31</v>
      </c>
      <c r="H139" s="17" t="str">
        <f t="shared" si="35"/>
        <v>SECRETARIAS</v>
      </c>
      <c r="I139" s="30">
        <f t="shared" si="36"/>
        <v>1813000</v>
      </c>
      <c r="J139" s="16">
        <v>25</v>
      </c>
      <c r="K139" s="30">
        <f t="shared" si="25"/>
        <v>1510833.3333333335</v>
      </c>
      <c r="L139" s="36">
        <f>IF(I139&lt;='Valores Vigentes'!D$4*2,'Valores Vigentes'!$D$5/30*J139,0)</f>
        <v>166666.66666666669</v>
      </c>
      <c r="M139" s="36">
        <f t="shared" si="26"/>
        <v>22662.5</v>
      </c>
      <c r="N139" s="36">
        <f t="shared" si="27"/>
        <v>52879.166666666679</v>
      </c>
      <c r="O139" s="36">
        <f t="shared" si="28"/>
        <v>22662.5</v>
      </c>
      <c r="P139" s="16">
        <f t="shared" si="37"/>
        <v>123613.63636363635</v>
      </c>
      <c r="Q139" s="36">
        <f t="shared" si="38"/>
        <v>6</v>
      </c>
      <c r="R139" s="36">
        <f t="shared" si="29"/>
        <v>0</v>
      </c>
      <c r="S139" s="30">
        <f t="shared" si="30"/>
        <v>1775710.166666667</v>
      </c>
      <c r="T139" s="30">
        <f>(S139-L139+M139-O139-R139)*'Valores Vigentes'!$D$6</f>
        <v>64361.740000000013</v>
      </c>
      <c r="U139" s="30">
        <f>(S139-L139+M139-O139-R139)*'Valores Vigentes'!$D$7</f>
        <v>64361.740000000013</v>
      </c>
      <c r="V139" s="36">
        <f>IF(I139&gt;'Valores Vigentes'!$D$4*4,I139*1%,0)</f>
        <v>0</v>
      </c>
      <c r="W139" s="36">
        <f t="shared" si="39"/>
        <v>0</v>
      </c>
      <c r="X139" s="36">
        <f t="shared" si="31"/>
        <v>54390</v>
      </c>
      <c r="Y139" s="36">
        <f t="shared" si="32"/>
        <v>0</v>
      </c>
      <c r="Z139" s="30">
        <f t="shared" si="33"/>
        <v>183113.48000000004</v>
      </c>
      <c r="AA139" s="30">
        <f t="shared" si="34"/>
        <v>1592596.686666667</v>
      </c>
    </row>
    <row r="140" spans="1:27" ht="15.75" customHeight="1" x14ac:dyDescent="0.25">
      <c r="A140" s="16" t="str">
        <f>CONCATENATE(G140,COUNTIF($G$14:G140,G140))</f>
        <v>ADMON18</v>
      </c>
      <c r="B140" s="17" t="s">
        <v>191</v>
      </c>
      <c r="C140" s="17" t="s">
        <v>278</v>
      </c>
      <c r="D140" s="17">
        <v>6</v>
      </c>
      <c r="E140" s="17" t="s">
        <v>276</v>
      </c>
      <c r="F140" s="17" t="s">
        <v>276</v>
      </c>
      <c r="G140" s="17" t="s">
        <v>35</v>
      </c>
      <c r="H140" s="17" t="str">
        <f t="shared" si="35"/>
        <v>PROFESIONAL</v>
      </c>
      <c r="I140" s="30">
        <f t="shared" si="36"/>
        <v>2950000</v>
      </c>
      <c r="J140" s="16">
        <v>29</v>
      </c>
      <c r="K140" s="30">
        <f t="shared" si="25"/>
        <v>2851666.6666666665</v>
      </c>
      <c r="L140" s="36">
        <f>IF(I140&lt;='Valores Vigentes'!D$4*2,'Valores Vigentes'!$D$5/30*J140,0)</f>
        <v>0</v>
      </c>
      <c r="M140" s="36">
        <f t="shared" si="26"/>
        <v>42774.999999999993</v>
      </c>
      <c r="N140" s="36">
        <f t="shared" si="27"/>
        <v>0</v>
      </c>
      <c r="O140" s="36">
        <f t="shared" si="28"/>
        <v>71291.666666666672</v>
      </c>
      <c r="P140" s="16">
        <f t="shared" si="37"/>
        <v>905113.63636363635</v>
      </c>
      <c r="Q140" s="36">
        <f t="shared" si="38"/>
        <v>27</v>
      </c>
      <c r="R140" s="36">
        <f t="shared" si="29"/>
        <v>0</v>
      </c>
      <c r="S140" s="30">
        <f t="shared" si="30"/>
        <v>2965760.333333333</v>
      </c>
      <c r="T140" s="30">
        <f>(S140-L140+M140-O140-R140)*'Valores Vigentes'!$D$6</f>
        <v>117489.74666666666</v>
      </c>
      <c r="U140" s="30">
        <f>(S140-L140+M140-O140-R140)*'Valores Vigentes'!$D$7</f>
        <v>117489.74666666666</v>
      </c>
      <c r="V140" s="36">
        <f>IF(I140&gt;'Valores Vigentes'!$D$4*4,I140*1%,0)</f>
        <v>0</v>
      </c>
      <c r="W140" s="36">
        <f t="shared" si="39"/>
        <v>0</v>
      </c>
      <c r="X140" s="36">
        <f t="shared" si="31"/>
        <v>88500</v>
      </c>
      <c r="Y140" s="36">
        <f t="shared" si="32"/>
        <v>59315.206666666665</v>
      </c>
      <c r="Z140" s="30">
        <f t="shared" si="33"/>
        <v>382794.69999999995</v>
      </c>
      <c r="AA140" s="30">
        <f t="shared" si="34"/>
        <v>2582965.6333333328</v>
      </c>
    </row>
    <row r="141" spans="1:27" ht="15.75" customHeight="1" x14ac:dyDescent="0.25">
      <c r="A141" s="16" t="str">
        <f>CONCATENATE(G141,COUNTIF($G$14:G141,G141))</f>
        <v>TESORERIA1</v>
      </c>
      <c r="B141" s="17" t="s">
        <v>192</v>
      </c>
      <c r="C141" s="17" t="s">
        <v>278</v>
      </c>
      <c r="D141" s="17">
        <v>5</v>
      </c>
      <c r="E141" s="17" t="s">
        <v>277</v>
      </c>
      <c r="F141" s="17" t="s">
        <v>276</v>
      </c>
      <c r="G141" s="17" t="s">
        <v>51</v>
      </c>
      <c r="H141" s="17" t="str">
        <f t="shared" si="35"/>
        <v>ASESOR VENTAS</v>
      </c>
      <c r="I141" s="30">
        <f t="shared" si="36"/>
        <v>2650000</v>
      </c>
      <c r="J141" s="16">
        <v>30</v>
      </c>
      <c r="K141" s="30">
        <f t="shared" si="25"/>
        <v>2650000</v>
      </c>
      <c r="L141" s="36">
        <f>IF(I141&lt;='Valores Vigentes'!D$4*2,'Valores Vigentes'!$D$5/30*J141,0)</f>
        <v>200000</v>
      </c>
      <c r="M141" s="36">
        <f t="shared" si="26"/>
        <v>66250</v>
      </c>
      <c r="N141" s="36">
        <f t="shared" si="27"/>
        <v>0</v>
      </c>
      <c r="O141" s="36">
        <f t="shared" si="28"/>
        <v>39750</v>
      </c>
      <c r="P141" s="16">
        <f t="shared" si="37"/>
        <v>301136.36363636365</v>
      </c>
      <c r="Q141" s="36">
        <f t="shared" si="38"/>
        <v>10</v>
      </c>
      <c r="R141" s="36">
        <f t="shared" si="29"/>
        <v>0</v>
      </c>
      <c r="S141" s="30">
        <f t="shared" si="30"/>
        <v>2956010</v>
      </c>
      <c r="T141" s="30">
        <f>(S141-L141+M141-O141-R141)*'Valores Vigentes'!$D$6</f>
        <v>111300.40000000001</v>
      </c>
      <c r="U141" s="30">
        <f>(S141-L141+M141-O141-R141)*'Valores Vigentes'!$D$7</f>
        <v>111300.40000000001</v>
      </c>
      <c r="V141" s="36">
        <f>IF(I141&gt;'Valores Vigentes'!$D$4*4,I141*1%,0)</f>
        <v>0</v>
      </c>
      <c r="W141" s="36">
        <f t="shared" si="39"/>
        <v>0</v>
      </c>
      <c r="X141" s="36">
        <f t="shared" si="31"/>
        <v>0</v>
      </c>
      <c r="Y141" s="36">
        <f t="shared" si="32"/>
        <v>59120.200000000004</v>
      </c>
      <c r="Z141" s="30">
        <f t="shared" si="33"/>
        <v>281721</v>
      </c>
      <c r="AA141" s="30">
        <f t="shared" si="34"/>
        <v>2674289</v>
      </c>
    </row>
    <row r="142" spans="1:27" ht="15.75" customHeight="1" x14ac:dyDescent="0.25">
      <c r="A142" s="16" t="str">
        <f>CONCATENATE(G142,COUNTIF($G$14:G142,G142))</f>
        <v>VENTAS54</v>
      </c>
      <c r="B142" s="17" t="s">
        <v>193</v>
      </c>
      <c r="C142" s="17" t="s">
        <v>275</v>
      </c>
      <c r="D142" s="17">
        <v>1</v>
      </c>
      <c r="E142" s="17" t="s">
        <v>277</v>
      </c>
      <c r="F142" s="17" t="s">
        <v>276</v>
      </c>
      <c r="G142" s="17" t="s">
        <v>31</v>
      </c>
      <c r="H142" s="17" t="str">
        <f t="shared" si="35"/>
        <v>AUXILIAR ADMON</v>
      </c>
      <c r="I142" s="30">
        <f t="shared" si="36"/>
        <v>1423500</v>
      </c>
      <c r="J142" s="16">
        <v>28</v>
      </c>
      <c r="K142" s="30">
        <f t="shared" si="25"/>
        <v>1328600</v>
      </c>
      <c r="L142" s="36">
        <f>IF(I142&lt;='Valores Vigentes'!D$4*2,'Valores Vigentes'!$D$5/30*J142,0)</f>
        <v>186666.66666666669</v>
      </c>
      <c r="M142" s="36">
        <f t="shared" si="26"/>
        <v>19929</v>
      </c>
      <c r="N142" s="36">
        <f t="shared" si="27"/>
        <v>46501.000000000007</v>
      </c>
      <c r="O142" s="36">
        <f t="shared" si="28"/>
        <v>19929</v>
      </c>
      <c r="P142" s="16">
        <f t="shared" si="37"/>
        <v>80880.681818181809</v>
      </c>
      <c r="Q142" s="36">
        <f t="shared" si="38"/>
        <v>5</v>
      </c>
      <c r="R142" s="36">
        <f t="shared" si="29"/>
        <v>0</v>
      </c>
      <c r="S142" s="30">
        <f t="shared" si="30"/>
        <v>1601630.6666666667</v>
      </c>
      <c r="T142" s="30">
        <f>(S142-L142+M142-O142-R142)*'Valores Vigentes'!$D$6</f>
        <v>56598.559999999998</v>
      </c>
      <c r="U142" s="30">
        <f>(S142-L142+M142-O142-R142)*'Valores Vigentes'!$D$7</f>
        <v>56598.559999999998</v>
      </c>
      <c r="V142" s="36">
        <f>IF(I142&gt;'Valores Vigentes'!$D$4*4,I142*1%,0)</f>
        <v>0</v>
      </c>
      <c r="W142" s="36">
        <f t="shared" si="39"/>
        <v>0</v>
      </c>
      <c r="X142" s="36">
        <f t="shared" si="31"/>
        <v>0</v>
      </c>
      <c r="Y142" s="36">
        <f t="shared" si="32"/>
        <v>32032.613333333335</v>
      </c>
      <c r="Z142" s="30">
        <f t="shared" si="33"/>
        <v>145229.73333333334</v>
      </c>
      <c r="AA142" s="30">
        <f t="shared" si="34"/>
        <v>1456400.9333333333</v>
      </c>
    </row>
    <row r="143" spans="1:27" ht="15.75" customHeight="1" x14ac:dyDescent="0.25">
      <c r="A143" s="16" t="str">
        <f>CONCATENATE(G143,COUNTIF($G$14:G143,G143))</f>
        <v>VENTAS55</v>
      </c>
      <c r="B143" s="17" t="s">
        <v>194</v>
      </c>
      <c r="C143" s="17" t="s">
        <v>278</v>
      </c>
      <c r="D143" s="17">
        <v>7</v>
      </c>
      <c r="E143" s="17" t="s">
        <v>276</v>
      </c>
      <c r="F143" s="17" t="s">
        <v>277</v>
      </c>
      <c r="G143" s="17" t="s">
        <v>31</v>
      </c>
      <c r="H143" s="17" t="str">
        <f t="shared" ref="H143:H174" si="40">VLOOKUP(D143,SALARIOSACTUALES,2,0)</f>
        <v>COORDINADOR</v>
      </c>
      <c r="I143" s="30">
        <f t="shared" ref="I143:I174" si="41">VLOOKUP(D143,SALARIOSACTUALES,3,0)</f>
        <v>3250000</v>
      </c>
      <c r="J143" s="16">
        <v>25</v>
      </c>
      <c r="K143" s="30">
        <f t="shared" si="25"/>
        <v>2708333.333333333</v>
      </c>
      <c r="L143" s="36">
        <f>IF(I143&lt;='Valores Vigentes'!D$4*2,'Valores Vigentes'!$D$5/30*J143,0)</f>
        <v>0</v>
      </c>
      <c r="M143" s="36">
        <f t="shared" si="26"/>
        <v>40624.999999999993</v>
      </c>
      <c r="N143" s="36">
        <f t="shared" si="27"/>
        <v>94791.666666666672</v>
      </c>
      <c r="O143" s="36">
        <f t="shared" si="28"/>
        <v>40624.999999999993</v>
      </c>
      <c r="P143" s="16">
        <f t="shared" ref="P143:P174" si="42">VLOOKUP(B143,HORASEXTRAS,10,0)</f>
        <v>960227.27272727259</v>
      </c>
      <c r="Q143" s="36">
        <f t="shared" ref="Q143:Q174" si="43">VLOOKUP(B143,HORASEXTRAS,11,0)</f>
        <v>26</v>
      </c>
      <c r="R143" s="36">
        <f t="shared" si="29"/>
        <v>0</v>
      </c>
      <c r="S143" s="30">
        <f t="shared" si="30"/>
        <v>2884400.9999999995</v>
      </c>
      <c r="T143" s="30">
        <f>(S143-L143+M143-O143-R143)*'Valores Vigentes'!$D$6</f>
        <v>115376.03999999998</v>
      </c>
      <c r="U143" s="30">
        <f>(S143-L143+M143-O143-R143)*'Valores Vigentes'!$D$7</f>
        <v>115376.03999999998</v>
      </c>
      <c r="V143" s="36">
        <f>IF(I143&gt;'Valores Vigentes'!$D$4*4,I143*1%,0)</f>
        <v>0</v>
      </c>
      <c r="W143" s="36">
        <f t="shared" ref="W143:W174" si="44">HLOOKUP(S143,RETEFUENTE,2,1)</f>
        <v>0</v>
      </c>
      <c r="X143" s="36">
        <f t="shared" si="31"/>
        <v>97500</v>
      </c>
      <c r="Y143" s="36">
        <f t="shared" si="32"/>
        <v>0</v>
      </c>
      <c r="Z143" s="30">
        <f t="shared" si="33"/>
        <v>328252.07999999996</v>
      </c>
      <c r="AA143" s="30">
        <f t="shared" si="34"/>
        <v>2556148.9199999995</v>
      </c>
    </row>
    <row r="144" spans="1:27" ht="15.75" customHeight="1" x14ac:dyDescent="0.25">
      <c r="A144" s="16" t="str">
        <f>CONCATENATE(G144,COUNTIF($G$14:G144,G144))</f>
        <v>MERCADEO9</v>
      </c>
      <c r="B144" s="17" t="s">
        <v>195</v>
      </c>
      <c r="C144" s="17" t="s">
        <v>278</v>
      </c>
      <c r="D144" s="17">
        <v>4</v>
      </c>
      <c r="E144" s="17" t="s">
        <v>277</v>
      </c>
      <c r="F144" s="17" t="s">
        <v>276</v>
      </c>
      <c r="G144" s="17" t="s">
        <v>37</v>
      </c>
      <c r="H144" s="17" t="str">
        <f t="shared" si="40"/>
        <v>TÉCNICO PROFESIONAL</v>
      </c>
      <c r="I144" s="30">
        <f t="shared" si="41"/>
        <v>2450000</v>
      </c>
      <c r="J144" s="16">
        <v>28</v>
      </c>
      <c r="K144" s="30">
        <f t="shared" ref="K144:K185" si="45">I144/30*J144</f>
        <v>2286666.666666667</v>
      </c>
      <c r="L144" s="36">
        <f>IF(I144&lt;='Valores Vigentes'!D$4*2,'Valores Vigentes'!$D$5/30*J144,0)</f>
        <v>186666.66666666669</v>
      </c>
      <c r="M144" s="36">
        <f t="shared" ref="M144:M185" si="46">IF(J144=30,K144*2.5%,K144*1.5%)</f>
        <v>34300</v>
      </c>
      <c r="N144" s="36">
        <f t="shared" ref="N144:N185" si="47">IF(G144="VENTAS",K144*3.5%,0)</f>
        <v>0</v>
      </c>
      <c r="O144" s="36">
        <f t="shared" ref="O144:O185" si="48">IF(AND(E144="SI",F144="SI"),K144*2.5%,IF(OR(E144="SI",F144="SI"),K144*1.5%,K144*1%))</f>
        <v>34300</v>
      </c>
      <c r="P144" s="16">
        <f t="shared" si="42"/>
        <v>389772.72727272724</v>
      </c>
      <c r="Q144" s="36">
        <f t="shared" si="43"/>
        <v>14</v>
      </c>
      <c r="R144" s="36">
        <f t="shared" ref="R144:R185" si="49">IF(OR(D144=9,D144=10),I144*15%,0)</f>
        <v>0</v>
      </c>
      <c r="S144" s="30">
        <f t="shared" ref="S144:S185" si="50">SUM(K144:R144)-P144</f>
        <v>2541947.3333333335</v>
      </c>
      <c r="T144" s="30">
        <f>(S144-L144+M144-O144-R144)*'Valores Vigentes'!$D$6</f>
        <v>94211.226666666684</v>
      </c>
      <c r="U144" s="30">
        <f>(S144-L144+M144-O144-R144)*'Valores Vigentes'!$D$7</f>
        <v>94211.226666666684</v>
      </c>
      <c r="V144" s="36">
        <f>IF(I144&gt;'Valores Vigentes'!$D$4*4,I144*1%,0)</f>
        <v>0</v>
      </c>
      <c r="W144" s="36">
        <f t="shared" si="44"/>
        <v>0</v>
      </c>
      <c r="X144" s="36">
        <f t="shared" ref="X144:X185" si="51">IF(E144="SI",I144*3%,0)</f>
        <v>0</v>
      </c>
      <c r="Y144" s="36">
        <f t="shared" ref="Y144:Y185" si="52">IF(F144="SI",S144*2%,0)</f>
        <v>50838.94666666667</v>
      </c>
      <c r="Z144" s="30">
        <f t="shared" ref="Z144:Z185" si="53">SUM(T144:Y144)</f>
        <v>239261.40000000002</v>
      </c>
      <c r="AA144" s="30">
        <f t="shared" ref="AA144:AA185" si="54">S144-Z144</f>
        <v>2302685.9333333336</v>
      </c>
    </row>
    <row r="145" spans="1:27" ht="15.75" customHeight="1" x14ac:dyDescent="0.25">
      <c r="A145" s="16" t="str">
        <f>CONCATENATE(G145,COUNTIF($G$14:G145,G145))</f>
        <v>COMPRAS19</v>
      </c>
      <c r="B145" s="17" t="s">
        <v>196</v>
      </c>
      <c r="C145" s="17" t="s">
        <v>275</v>
      </c>
      <c r="D145" s="17">
        <v>3</v>
      </c>
      <c r="E145" s="17" t="s">
        <v>277</v>
      </c>
      <c r="F145" s="17" t="s">
        <v>276</v>
      </c>
      <c r="G145" s="17" t="s">
        <v>33</v>
      </c>
      <c r="H145" s="17" t="str">
        <f t="shared" si="40"/>
        <v>SECRETARIAS</v>
      </c>
      <c r="I145" s="30">
        <f t="shared" si="41"/>
        <v>1813000</v>
      </c>
      <c r="J145" s="16">
        <v>27</v>
      </c>
      <c r="K145" s="30">
        <f t="shared" si="45"/>
        <v>1631700</v>
      </c>
      <c r="L145" s="36">
        <f>IF(I145&lt;='Valores Vigentes'!D$4*2,'Valores Vigentes'!$D$5/30*J145,0)</f>
        <v>180000</v>
      </c>
      <c r="M145" s="36">
        <f t="shared" si="46"/>
        <v>24475.5</v>
      </c>
      <c r="N145" s="36">
        <f t="shared" si="47"/>
        <v>0</v>
      </c>
      <c r="O145" s="36">
        <f t="shared" si="48"/>
        <v>24475.5</v>
      </c>
      <c r="P145" s="16">
        <f t="shared" si="42"/>
        <v>226624.99999999997</v>
      </c>
      <c r="Q145" s="36">
        <f t="shared" si="43"/>
        <v>11</v>
      </c>
      <c r="R145" s="36">
        <f t="shared" si="49"/>
        <v>0</v>
      </c>
      <c r="S145" s="30">
        <f t="shared" si="50"/>
        <v>1860662</v>
      </c>
      <c r="T145" s="30">
        <f>(S145-L145+M145-O145-R145)*'Valores Vigentes'!$D$6</f>
        <v>67226.48</v>
      </c>
      <c r="U145" s="30">
        <f>(S145-L145+M145-O145-R145)*'Valores Vigentes'!$D$7</f>
        <v>67226.48</v>
      </c>
      <c r="V145" s="36">
        <f>IF(I145&gt;'Valores Vigentes'!$D$4*4,I145*1%,0)</f>
        <v>0</v>
      </c>
      <c r="W145" s="36">
        <f t="shared" si="44"/>
        <v>0</v>
      </c>
      <c r="X145" s="36">
        <f t="shared" si="51"/>
        <v>0</v>
      </c>
      <c r="Y145" s="36">
        <f t="shared" si="52"/>
        <v>37213.24</v>
      </c>
      <c r="Z145" s="30">
        <f t="shared" si="53"/>
        <v>171666.19999999998</v>
      </c>
      <c r="AA145" s="30">
        <f t="shared" si="54"/>
        <v>1688995.8</v>
      </c>
    </row>
    <row r="146" spans="1:27" ht="15.75" customHeight="1" x14ac:dyDescent="0.25">
      <c r="A146" s="16" t="str">
        <f>CONCATENATE(G146,COUNTIF($G$14:G146,G146))</f>
        <v>ADMON19</v>
      </c>
      <c r="B146" s="17" t="s">
        <v>197</v>
      </c>
      <c r="C146" s="17" t="s">
        <v>278</v>
      </c>
      <c r="D146" s="17">
        <v>2</v>
      </c>
      <c r="E146" s="17" t="s">
        <v>276</v>
      </c>
      <c r="F146" s="17" t="s">
        <v>277</v>
      </c>
      <c r="G146" s="17" t="s">
        <v>35</v>
      </c>
      <c r="H146" s="17" t="str">
        <f t="shared" si="40"/>
        <v>ASISTENTES</v>
      </c>
      <c r="I146" s="30">
        <f t="shared" si="41"/>
        <v>1626000</v>
      </c>
      <c r="J146" s="16">
        <v>25</v>
      </c>
      <c r="K146" s="30">
        <f t="shared" si="45"/>
        <v>1355000</v>
      </c>
      <c r="L146" s="36">
        <f>IF(I146&lt;='Valores Vigentes'!D$4*2,'Valores Vigentes'!$D$5/30*J146,0)</f>
        <v>166666.66666666669</v>
      </c>
      <c r="M146" s="36">
        <f t="shared" si="46"/>
        <v>20325</v>
      </c>
      <c r="N146" s="36">
        <f t="shared" si="47"/>
        <v>0</v>
      </c>
      <c r="O146" s="36">
        <f t="shared" si="48"/>
        <v>20325</v>
      </c>
      <c r="P146" s="16">
        <f t="shared" si="42"/>
        <v>369545.45454545459</v>
      </c>
      <c r="Q146" s="36">
        <f t="shared" si="43"/>
        <v>20</v>
      </c>
      <c r="R146" s="36">
        <f t="shared" si="49"/>
        <v>0</v>
      </c>
      <c r="S146" s="30">
        <f t="shared" si="50"/>
        <v>1562336.6666666667</v>
      </c>
      <c r="T146" s="30">
        <f>(S146-L146+M146-O146-R146)*'Valores Vigentes'!$D$6</f>
        <v>55826.8</v>
      </c>
      <c r="U146" s="30">
        <f>(S146-L146+M146-O146-R146)*'Valores Vigentes'!$D$7</f>
        <v>55826.8</v>
      </c>
      <c r="V146" s="36">
        <f>IF(I146&gt;'Valores Vigentes'!$D$4*4,I146*1%,0)</f>
        <v>0</v>
      </c>
      <c r="W146" s="36">
        <f t="shared" si="44"/>
        <v>0</v>
      </c>
      <c r="X146" s="36">
        <f t="shared" si="51"/>
        <v>48780</v>
      </c>
      <c r="Y146" s="36">
        <f t="shared" si="52"/>
        <v>0</v>
      </c>
      <c r="Z146" s="30">
        <f t="shared" si="53"/>
        <v>160433.60000000001</v>
      </c>
      <c r="AA146" s="30">
        <f t="shared" si="54"/>
        <v>1401903.0666666667</v>
      </c>
    </row>
    <row r="147" spans="1:27" ht="15.75" customHeight="1" x14ac:dyDescent="0.25">
      <c r="A147" s="16" t="str">
        <f>CONCATENATE(G147,COUNTIF($G$14:G147,G147))</f>
        <v>VENTAS56</v>
      </c>
      <c r="B147" s="17" t="s">
        <v>198</v>
      </c>
      <c r="C147" s="17" t="s">
        <v>278</v>
      </c>
      <c r="D147" s="17">
        <v>2</v>
      </c>
      <c r="E147" s="17" t="s">
        <v>276</v>
      </c>
      <c r="F147" s="17" t="s">
        <v>277</v>
      </c>
      <c r="G147" s="17" t="s">
        <v>31</v>
      </c>
      <c r="H147" s="17" t="str">
        <f t="shared" si="40"/>
        <v>ASISTENTES</v>
      </c>
      <c r="I147" s="30">
        <f t="shared" si="41"/>
        <v>1626000</v>
      </c>
      <c r="J147" s="16">
        <v>25</v>
      </c>
      <c r="K147" s="30">
        <f t="shared" si="45"/>
        <v>1355000</v>
      </c>
      <c r="L147" s="36">
        <f>IF(I147&lt;='Valores Vigentes'!D$4*2,'Valores Vigentes'!$D$5/30*J147,0)</f>
        <v>166666.66666666669</v>
      </c>
      <c r="M147" s="36">
        <f t="shared" si="46"/>
        <v>20325</v>
      </c>
      <c r="N147" s="36">
        <f t="shared" si="47"/>
        <v>47425.000000000007</v>
      </c>
      <c r="O147" s="36">
        <f t="shared" si="48"/>
        <v>20325</v>
      </c>
      <c r="P147" s="16">
        <f t="shared" si="42"/>
        <v>73909.090909090912</v>
      </c>
      <c r="Q147" s="36">
        <f t="shared" si="43"/>
        <v>4</v>
      </c>
      <c r="R147" s="36">
        <f t="shared" si="49"/>
        <v>0</v>
      </c>
      <c r="S147" s="30">
        <f t="shared" si="50"/>
        <v>1609745.6666666667</v>
      </c>
      <c r="T147" s="30">
        <f>(S147-L147+M147-O147-R147)*'Valores Vigentes'!$D$6</f>
        <v>57723.16</v>
      </c>
      <c r="U147" s="30">
        <f>(S147-L147+M147-O147-R147)*'Valores Vigentes'!$D$7</f>
        <v>57723.16</v>
      </c>
      <c r="V147" s="36">
        <f>IF(I147&gt;'Valores Vigentes'!$D$4*4,I147*1%,0)</f>
        <v>0</v>
      </c>
      <c r="W147" s="36">
        <f t="shared" si="44"/>
        <v>0</v>
      </c>
      <c r="X147" s="36">
        <f t="shared" si="51"/>
        <v>48780</v>
      </c>
      <c r="Y147" s="36">
        <f t="shared" si="52"/>
        <v>0</v>
      </c>
      <c r="Z147" s="30">
        <f t="shared" si="53"/>
        <v>164226.32</v>
      </c>
      <c r="AA147" s="30">
        <f t="shared" si="54"/>
        <v>1445519.3466666667</v>
      </c>
    </row>
    <row r="148" spans="1:27" ht="15.75" customHeight="1" x14ac:dyDescent="0.25">
      <c r="A148" s="16" t="str">
        <f>CONCATENATE(G148,COUNTIF($G$14:G148,G148))</f>
        <v>VENTAS57</v>
      </c>
      <c r="B148" s="17" t="s">
        <v>199</v>
      </c>
      <c r="C148" s="17" t="s">
        <v>278</v>
      </c>
      <c r="D148" s="17">
        <v>8</v>
      </c>
      <c r="E148" s="17" t="s">
        <v>276</v>
      </c>
      <c r="F148" s="17" t="s">
        <v>276</v>
      </c>
      <c r="G148" s="17" t="s">
        <v>31</v>
      </c>
      <c r="H148" s="17" t="str">
        <f t="shared" si="40"/>
        <v>ASESOR</v>
      </c>
      <c r="I148" s="30">
        <f t="shared" si="41"/>
        <v>3900000</v>
      </c>
      <c r="J148" s="16">
        <v>25</v>
      </c>
      <c r="K148" s="30">
        <f t="shared" si="45"/>
        <v>3250000</v>
      </c>
      <c r="L148" s="36">
        <f>IF(I148&lt;='Valores Vigentes'!D$4*2,'Valores Vigentes'!$D$5/30*J148,0)</f>
        <v>0</v>
      </c>
      <c r="M148" s="36">
        <f t="shared" si="46"/>
        <v>48750</v>
      </c>
      <c r="N148" s="36">
        <f t="shared" si="47"/>
        <v>113750.00000000001</v>
      </c>
      <c r="O148" s="36">
        <f t="shared" si="48"/>
        <v>81250</v>
      </c>
      <c r="P148" s="16">
        <f t="shared" si="42"/>
        <v>354545.45454545459</v>
      </c>
      <c r="Q148" s="36">
        <f t="shared" si="43"/>
        <v>8</v>
      </c>
      <c r="R148" s="36">
        <f t="shared" si="49"/>
        <v>0</v>
      </c>
      <c r="S148" s="30">
        <f t="shared" si="50"/>
        <v>3493758</v>
      </c>
      <c r="T148" s="30">
        <f>(S148-L148+M148-O148-R148)*'Valores Vigentes'!$D$6</f>
        <v>138450.32</v>
      </c>
      <c r="U148" s="30">
        <f>(S148-L148+M148-O148-R148)*'Valores Vigentes'!$D$7</f>
        <v>138450.32</v>
      </c>
      <c r="V148" s="36">
        <f>IF(I148&gt;'Valores Vigentes'!$D$4*4,I148*1%,0)</f>
        <v>0</v>
      </c>
      <c r="W148" s="36">
        <f t="shared" si="44"/>
        <v>0</v>
      </c>
      <c r="X148" s="36">
        <f t="shared" si="51"/>
        <v>117000</v>
      </c>
      <c r="Y148" s="36">
        <f t="shared" si="52"/>
        <v>69875.16</v>
      </c>
      <c r="Z148" s="30">
        <f t="shared" si="53"/>
        <v>463775.80000000005</v>
      </c>
      <c r="AA148" s="30">
        <f t="shared" si="54"/>
        <v>3029982.2</v>
      </c>
    </row>
    <row r="149" spans="1:27" ht="15.75" customHeight="1" x14ac:dyDescent="0.25">
      <c r="A149" s="16" t="str">
        <f>CONCATENATE(G149,COUNTIF($G$14:G149,G149))</f>
        <v>CARTERA4</v>
      </c>
      <c r="B149" s="17" t="s">
        <v>200</v>
      </c>
      <c r="C149" s="17" t="s">
        <v>275</v>
      </c>
      <c r="D149" s="17">
        <v>2</v>
      </c>
      <c r="E149" s="17" t="s">
        <v>276</v>
      </c>
      <c r="F149" s="17" t="s">
        <v>276</v>
      </c>
      <c r="G149" s="17" t="s">
        <v>49</v>
      </c>
      <c r="H149" s="17" t="str">
        <f t="shared" si="40"/>
        <v>ASISTENTES</v>
      </c>
      <c r="I149" s="30">
        <f t="shared" si="41"/>
        <v>1626000</v>
      </c>
      <c r="J149" s="16">
        <v>28</v>
      </c>
      <c r="K149" s="30">
        <f t="shared" si="45"/>
        <v>1517600</v>
      </c>
      <c r="L149" s="36">
        <f>IF(I149&lt;='Valores Vigentes'!D$4*2,'Valores Vigentes'!$D$5/30*J149,0)</f>
        <v>186666.66666666669</v>
      </c>
      <c r="M149" s="36">
        <f t="shared" si="46"/>
        <v>22764</v>
      </c>
      <c r="N149" s="36">
        <f t="shared" si="47"/>
        <v>0</v>
      </c>
      <c r="O149" s="36">
        <f t="shared" si="48"/>
        <v>37940</v>
      </c>
      <c r="P149" s="16">
        <f t="shared" si="42"/>
        <v>258681.81818181818</v>
      </c>
      <c r="Q149" s="36">
        <f t="shared" si="43"/>
        <v>14</v>
      </c>
      <c r="R149" s="36">
        <f t="shared" si="49"/>
        <v>0</v>
      </c>
      <c r="S149" s="30">
        <f t="shared" si="50"/>
        <v>1764984.6666666667</v>
      </c>
      <c r="T149" s="30">
        <f>(S149-L149+M149-O149-R149)*'Valores Vigentes'!$D$6</f>
        <v>62525.68</v>
      </c>
      <c r="U149" s="30">
        <f>(S149-L149+M149-O149-R149)*'Valores Vigentes'!$D$7</f>
        <v>62525.68</v>
      </c>
      <c r="V149" s="36">
        <f>IF(I149&gt;'Valores Vigentes'!$D$4*4,I149*1%,0)</f>
        <v>0</v>
      </c>
      <c r="W149" s="36">
        <f t="shared" si="44"/>
        <v>0</v>
      </c>
      <c r="X149" s="36">
        <f t="shared" si="51"/>
        <v>48780</v>
      </c>
      <c r="Y149" s="36">
        <f t="shared" si="52"/>
        <v>35299.693333333336</v>
      </c>
      <c r="Z149" s="30">
        <f t="shared" si="53"/>
        <v>209131.05333333332</v>
      </c>
      <c r="AA149" s="30">
        <f t="shared" si="54"/>
        <v>1555853.6133333335</v>
      </c>
    </row>
    <row r="150" spans="1:27" ht="15.75" customHeight="1" x14ac:dyDescent="0.25">
      <c r="A150" s="16" t="str">
        <f>CONCATENATE(G150,COUNTIF($G$14:G150,G150))</f>
        <v>ADMON20</v>
      </c>
      <c r="B150" s="17" t="s">
        <v>201</v>
      </c>
      <c r="C150" s="17" t="s">
        <v>278</v>
      </c>
      <c r="D150" s="17">
        <v>5</v>
      </c>
      <c r="E150" s="17" t="s">
        <v>276</v>
      </c>
      <c r="F150" s="17" t="s">
        <v>277</v>
      </c>
      <c r="G150" s="17" t="s">
        <v>35</v>
      </c>
      <c r="H150" s="17" t="str">
        <f t="shared" si="40"/>
        <v>ASESOR VENTAS</v>
      </c>
      <c r="I150" s="30">
        <f t="shared" si="41"/>
        <v>2650000</v>
      </c>
      <c r="J150" s="16">
        <v>28</v>
      </c>
      <c r="K150" s="30">
        <f t="shared" si="45"/>
        <v>2473333.333333333</v>
      </c>
      <c r="L150" s="36">
        <f>IF(I150&lt;='Valores Vigentes'!D$4*2,'Valores Vigentes'!$D$5/30*J150,0)</f>
        <v>186666.66666666669</v>
      </c>
      <c r="M150" s="36">
        <f t="shared" si="46"/>
        <v>37099.999999999993</v>
      </c>
      <c r="N150" s="36">
        <f t="shared" si="47"/>
        <v>0</v>
      </c>
      <c r="O150" s="36">
        <f t="shared" si="48"/>
        <v>37099.999999999993</v>
      </c>
      <c r="P150" s="16">
        <f t="shared" si="42"/>
        <v>271022.72727272729</v>
      </c>
      <c r="Q150" s="36">
        <f t="shared" si="43"/>
        <v>9</v>
      </c>
      <c r="R150" s="36">
        <f t="shared" si="49"/>
        <v>0</v>
      </c>
      <c r="S150" s="30">
        <f t="shared" si="50"/>
        <v>2734208.9999999991</v>
      </c>
      <c r="T150" s="30">
        <f>(S150-L150+M150-O150-R150)*'Valores Vigentes'!$D$6</f>
        <v>101901.6933333333</v>
      </c>
      <c r="U150" s="30">
        <f>(S150-L150+M150-O150-R150)*'Valores Vigentes'!$D$7</f>
        <v>101901.6933333333</v>
      </c>
      <c r="V150" s="36">
        <f>IF(I150&gt;'Valores Vigentes'!$D$4*4,I150*1%,0)</f>
        <v>0</v>
      </c>
      <c r="W150" s="36">
        <f t="shared" si="44"/>
        <v>0</v>
      </c>
      <c r="X150" s="36">
        <f t="shared" si="51"/>
        <v>79500</v>
      </c>
      <c r="Y150" s="36">
        <f t="shared" si="52"/>
        <v>0</v>
      </c>
      <c r="Z150" s="30">
        <f t="shared" si="53"/>
        <v>283303.3866666666</v>
      </c>
      <c r="AA150" s="30">
        <f t="shared" si="54"/>
        <v>2450905.6133333324</v>
      </c>
    </row>
    <row r="151" spans="1:27" ht="15.75" customHeight="1" x14ac:dyDescent="0.25">
      <c r="A151" s="16" t="str">
        <f>CONCATENATE(G151,COUNTIF($G$14:G151,G151))</f>
        <v>VENTAS58</v>
      </c>
      <c r="B151" s="17" t="s">
        <v>202</v>
      </c>
      <c r="C151" s="17" t="s">
        <v>278</v>
      </c>
      <c r="D151" s="17">
        <v>8</v>
      </c>
      <c r="E151" s="17" t="s">
        <v>276</v>
      </c>
      <c r="F151" s="17" t="s">
        <v>277</v>
      </c>
      <c r="G151" s="17" t="s">
        <v>31</v>
      </c>
      <c r="H151" s="17" t="str">
        <f t="shared" si="40"/>
        <v>ASESOR</v>
      </c>
      <c r="I151" s="30">
        <f t="shared" si="41"/>
        <v>3900000</v>
      </c>
      <c r="J151" s="16">
        <v>29</v>
      </c>
      <c r="K151" s="30">
        <f t="shared" si="45"/>
        <v>3770000</v>
      </c>
      <c r="L151" s="36">
        <f>IF(I151&lt;='Valores Vigentes'!D$4*2,'Valores Vigentes'!$D$5/30*J151,0)</f>
        <v>0</v>
      </c>
      <c r="M151" s="36">
        <f t="shared" si="46"/>
        <v>56550</v>
      </c>
      <c r="N151" s="36">
        <f t="shared" si="47"/>
        <v>131950</v>
      </c>
      <c r="O151" s="36">
        <f t="shared" si="48"/>
        <v>56550</v>
      </c>
      <c r="P151" s="16">
        <f t="shared" si="42"/>
        <v>1107954.5454545456</v>
      </c>
      <c r="Q151" s="36">
        <f t="shared" si="43"/>
        <v>25</v>
      </c>
      <c r="R151" s="36">
        <f t="shared" si="49"/>
        <v>0</v>
      </c>
      <c r="S151" s="30">
        <f t="shared" si="50"/>
        <v>4015075</v>
      </c>
      <c r="T151" s="30">
        <f>(S151-L151+M151-O151-R151)*'Valores Vigentes'!$D$6</f>
        <v>160603</v>
      </c>
      <c r="U151" s="30">
        <f>(S151-L151+M151-O151-R151)*'Valores Vigentes'!$D$7</f>
        <v>160603</v>
      </c>
      <c r="V151" s="36">
        <f>IF(I151&gt;'Valores Vigentes'!$D$4*4,I151*1%,0)</f>
        <v>0</v>
      </c>
      <c r="W151" s="36">
        <f t="shared" si="44"/>
        <v>65000</v>
      </c>
      <c r="X151" s="36">
        <f t="shared" si="51"/>
        <v>117000</v>
      </c>
      <c r="Y151" s="36">
        <f t="shared" si="52"/>
        <v>0</v>
      </c>
      <c r="Z151" s="30">
        <f t="shared" si="53"/>
        <v>503206</v>
      </c>
      <c r="AA151" s="30">
        <f t="shared" si="54"/>
        <v>3511869</v>
      </c>
    </row>
    <row r="152" spans="1:27" ht="15.75" customHeight="1" x14ac:dyDescent="0.25">
      <c r="A152" s="16" t="str">
        <f>CONCATENATE(G152,COUNTIF($G$14:G152,G152))</f>
        <v>VENTAS59</v>
      </c>
      <c r="B152" s="17" t="s">
        <v>203</v>
      </c>
      <c r="C152" s="17" t="s">
        <v>278</v>
      </c>
      <c r="D152" s="17">
        <v>4</v>
      </c>
      <c r="E152" s="17" t="s">
        <v>277</v>
      </c>
      <c r="F152" s="17" t="s">
        <v>276</v>
      </c>
      <c r="G152" s="17" t="s">
        <v>31</v>
      </c>
      <c r="H152" s="17" t="str">
        <f t="shared" si="40"/>
        <v>TÉCNICO PROFESIONAL</v>
      </c>
      <c r="I152" s="30">
        <f t="shared" si="41"/>
        <v>2450000</v>
      </c>
      <c r="J152" s="16">
        <v>27</v>
      </c>
      <c r="K152" s="30">
        <f t="shared" si="45"/>
        <v>2205000</v>
      </c>
      <c r="L152" s="36">
        <f>IF(I152&lt;='Valores Vigentes'!D$4*2,'Valores Vigentes'!$D$5/30*J152,0)</f>
        <v>180000</v>
      </c>
      <c r="M152" s="36">
        <f t="shared" si="46"/>
        <v>33075</v>
      </c>
      <c r="N152" s="36">
        <f t="shared" si="47"/>
        <v>77175.000000000015</v>
      </c>
      <c r="O152" s="36">
        <f t="shared" si="48"/>
        <v>33075</v>
      </c>
      <c r="P152" s="16">
        <f t="shared" si="42"/>
        <v>584659.09090909082</v>
      </c>
      <c r="Q152" s="36">
        <f t="shared" si="43"/>
        <v>21</v>
      </c>
      <c r="R152" s="36">
        <f t="shared" si="49"/>
        <v>0</v>
      </c>
      <c r="S152" s="30">
        <f t="shared" si="50"/>
        <v>2528346</v>
      </c>
      <c r="T152" s="30">
        <f>(S152-L152+M152-O152-R152)*'Valores Vigentes'!$D$6</f>
        <v>93933.84</v>
      </c>
      <c r="U152" s="30">
        <f>(S152-L152+M152-O152-R152)*'Valores Vigentes'!$D$7</f>
        <v>93933.84</v>
      </c>
      <c r="V152" s="36">
        <f>IF(I152&gt;'Valores Vigentes'!$D$4*4,I152*1%,0)</f>
        <v>0</v>
      </c>
      <c r="W152" s="36">
        <f t="shared" si="44"/>
        <v>0</v>
      </c>
      <c r="X152" s="36">
        <f t="shared" si="51"/>
        <v>0</v>
      </c>
      <c r="Y152" s="36">
        <f t="shared" si="52"/>
        <v>50566.92</v>
      </c>
      <c r="Z152" s="30">
        <f t="shared" si="53"/>
        <v>238434.59999999998</v>
      </c>
      <c r="AA152" s="30">
        <f t="shared" si="54"/>
        <v>2289911.4</v>
      </c>
    </row>
    <row r="153" spans="1:27" ht="15.75" customHeight="1" x14ac:dyDescent="0.25">
      <c r="A153" s="16" t="str">
        <f>CONCATENATE(G153,COUNTIF($G$14:G153,G153))</f>
        <v>VENTAS60</v>
      </c>
      <c r="B153" s="17" t="s">
        <v>204</v>
      </c>
      <c r="C153" s="17" t="s">
        <v>275</v>
      </c>
      <c r="D153" s="17">
        <v>4</v>
      </c>
      <c r="E153" s="17" t="s">
        <v>277</v>
      </c>
      <c r="F153" s="17" t="s">
        <v>276</v>
      </c>
      <c r="G153" s="17" t="s">
        <v>31</v>
      </c>
      <c r="H153" s="17" t="str">
        <f t="shared" si="40"/>
        <v>TÉCNICO PROFESIONAL</v>
      </c>
      <c r="I153" s="30">
        <f t="shared" si="41"/>
        <v>2450000</v>
      </c>
      <c r="J153" s="16">
        <v>28</v>
      </c>
      <c r="K153" s="30">
        <f t="shared" si="45"/>
        <v>2286666.666666667</v>
      </c>
      <c r="L153" s="36">
        <f>IF(I153&lt;='Valores Vigentes'!D$4*2,'Valores Vigentes'!$D$5/30*J153,0)</f>
        <v>186666.66666666669</v>
      </c>
      <c r="M153" s="36">
        <f t="shared" si="46"/>
        <v>34300</v>
      </c>
      <c r="N153" s="36">
        <f t="shared" si="47"/>
        <v>80033.333333333358</v>
      </c>
      <c r="O153" s="36">
        <f t="shared" si="48"/>
        <v>34300</v>
      </c>
      <c r="P153" s="16">
        <f t="shared" si="42"/>
        <v>751704.54545454541</v>
      </c>
      <c r="Q153" s="36">
        <f t="shared" si="43"/>
        <v>27</v>
      </c>
      <c r="R153" s="36">
        <f t="shared" si="49"/>
        <v>0</v>
      </c>
      <c r="S153" s="30">
        <f t="shared" si="50"/>
        <v>2621993.666666667</v>
      </c>
      <c r="T153" s="30">
        <f>(S153-L153+M153-O153-R153)*'Valores Vigentes'!$D$6</f>
        <v>97413.080000000016</v>
      </c>
      <c r="U153" s="30">
        <f>(S153-L153+M153-O153-R153)*'Valores Vigentes'!$D$7</f>
        <v>97413.080000000016</v>
      </c>
      <c r="V153" s="36">
        <f>IF(I153&gt;'Valores Vigentes'!$D$4*4,I153*1%,0)</f>
        <v>0</v>
      </c>
      <c r="W153" s="36">
        <f t="shared" si="44"/>
        <v>0</v>
      </c>
      <c r="X153" s="36">
        <f t="shared" si="51"/>
        <v>0</v>
      </c>
      <c r="Y153" s="36">
        <f t="shared" si="52"/>
        <v>52439.873333333344</v>
      </c>
      <c r="Z153" s="30">
        <f t="shared" si="53"/>
        <v>247266.03333333338</v>
      </c>
      <c r="AA153" s="30">
        <f t="shared" si="54"/>
        <v>2374727.6333333338</v>
      </c>
    </row>
    <row r="154" spans="1:27" ht="15.75" customHeight="1" x14ac:dyDescent="0.25">
      <c r="A154" s="16" t="str">
        <f>CONCATENATE(G154,COUNTIF($G$14:G154,G154))</f>
        <v>VENTAS61</v>
      </c>
      <c r="B154" s="17" t="s">
        <v>205</v>
      </c>
      <c r="C154" s="17" t="s">
        <v>278</v>
      </c>
      <c r="D154" s="17">
        <v>2</v>
      </c>
      <c r="E154" s="17" t="s">
        <v>277</v>
      </c>
      <c r="F154" s="17" t="s">
        <v>276</v>
      </c>
      <c r="G154" s="17" t="s">
        <v>31</v>
      </c>
      <c r="H154" s="17" t="str">
        <f t="shared" si="40"/>
        <v>ASISTENTES</v>
      </c>
      <c r="I154" s="30">
        <f t="shared" si="41"/>
        <v>1626000</v>
      </c>
      <c r="J154" s="16">
        <v>30</v>
      </c>
      <c r="K154" s="30">
        <f t="shared" si="45"/>
        <v>1626000</v>
      </c>
      <c r="L154" s="36">
        <f>IF(I154&lt;='Valores Vigentes'!D$4*2,'Valores Vigentes'!$D$5/30*J154,0)</f>
        <v>200000</v>
      </c>
      <c r="M154" s="36">
        <f t="shared" si="46"/>
        <v>40650</v>
      </c>
      <c r="N154" s="36">
        <f t="shared" si="47"/>
        <v>56910.000000000007</v>
      </c>
      <c r="O154" s="36">
        <f t="shared" si="48"/>
        <v>24390</v>
      </c>
      <c r="P154" s="16">
        <f t="shared" si="42"/>
        <v>73909.090909090912</v>
      </c>
      <c r="Q154" s="36">
        <f t="shared" si="43"/>
        <v>4</v>
      </c>
      <c r="R154" s="36">
        <f t="shared" si="49"/>
        <v>0</v>
      </c>
      <c r="S154" s="30">
        <f t="shared" si="50"/>
        <v>1947954</v>
      </c>
      <c r="T154" s="30">
        <f>(S154-L154+M154-O154-R154)*'Valores Vigentes'!$D$6</f>
        <v>70568.56</v>
      </c>
      <c r="U154" s="30">
        <f>(S154-L154+M154-O154-R154)*'Valores Vigentes'!$D$7</f>
        <v>70568.56</v>
      </c>
      <c r="V154" s="36">
        <f>IF(I154&gt;'Valores Vigentes'!$D$4*4,I154*1%,0)</f>
        <v>0</v>
      </c>
      <c r="W154" s="36">
        <f t="shared" si="44"/>
        <v>0</v>
      </c>
      <c r="X154" s="36">
        <f t="shared" si="51"/>
        <v>0</v>
      </c>
      <c r="Y154" s="36">
        <f t="shared" si="52"/>
        <v>38959.08</v>
      </c>
      <c r="Z154" s="30">
        <f t="shared" si="53"/>
        <v>180096.2</v>
      </c>
      <c r="AA154" s="30">
        <f t="shared" si="54"/>
        <v>1767857.8</v>
      </c>
    </row>
    <row r="155" spans="1:27" ht="15.75" customHeight="1" x14ac:dyDescent="0.25">
      <c r="A155" s="16" t="str">
        <f>CONCATENATE(G155,COUNTIF($G$14:G155,G155))</f>
        <v>VENTAS62</v>
      </c>
      <c r="B155" s="17" t="s">
        <v>206</v>
      </c>
      <c r="C155" s="17" t="s">
        <v>278</v>
      </c>
      <c r="D155" s="17">
        <v>2</v>
      </c>
      <c r="E155" s="17" t="s">
        <v>277</v>
      </c>
      <c r="F155" s="17" t="s">
        <v>276</v>
      </c>
      <c r="G155" s="17" t="s">
        <v>31</v>
      </c>
      <c r="H155" s="17" t="str">
        <f t="shared" si="40"/>
        <v>ASISTENTES</v>
      </c>
      <c r="I155" s="30">
        <f t="shared" si="41"/>
        <v>1626000</v>
      </c>
      <c r="J155" s="16">
        <v>27</v>
      </c>
      <c r="K155" s="30">
        <f t="shared" si="45"/>
        <v>1463400</v>
      </c>
      <c r="L155" s="36">
        <f>IF(I155&lt;='Valores Vigentes'!D$4*2,'Valores Vigentes'!$D$5/30*J155,0)</f>
        <v>180000</v>
      </c>
      <c r="M155" s="36">
        <f t="shared" si="46"/>
        <v>21951</v>
      </c>
      <c r="N155" s="36">
        <f t="shared" si="47"/>
        <v>51219.000000000007</v>
      </c>
      <c r="O155" s="36">
        <f t="shared" si="48"/>
        <v>21951</v>
      </c>
      <c r="P155" s="16">
        <f t="shared" si="42"/>
        <v>55431.818181818184</v>
      </c>
      <c r="Q155" s="36">
        <f t="shared" si="43"/>
        <v>3</v>
      </c>
      <c r="R155" s="36">
        <f t="shared" si="49"/>
        <v>0</v>
      </c>
      <c r="S155" s="30">
        <f t="shared" si="50"/>
        <v>1738524</v>
      </c>
      <c r="T155" s="30">
        <f>(S155-L155+M155-O155-R155)*'Valores Vigentes'!$D$6</f>
        <v>62340.959999999999</v>
      </c>
      <c r="U155" s="30">
        <f>(S155-L155+M155-O155-R155)*'Valores Vigentes'!$D$7</f>
        <v>62340.959999999999</v>
      </c>
      <c r="V155" s="36">
        <f>IF(I155&gt;'Valores Vigentes'!$D$4*4,I155*1%,0)</f>
        <v>0</v>
      </c>
      <c r="W155" s="36">
        <f t="shared" si="44"/>
        <v>0</v>
      </c>
      <c r="X155" s="36">
        <f t="shared" si="51"/>
        <v>0</v>
      </c>
      <c r="Y155" s="36">
        <f t="shared" si="52"/>
        <v>34770.480000000003</v>
      </c>
      <c r="Z155" s="30">
        <f t="shared" si="53"/>
        <v>159452.4</v>
      </c>
      <c r="AA155" s="30">
        <f t="shared" si="54"/>
        <v>1579071.6</v>
      </c>
    </row>
    <row r="156" spans="1:27" ht="15.75" customHeight="1" x14ac:dyDescent="0.25">
      <c r="A156" s="16" t="str">
        <f>CONCATENATE(G156,COUNTIF($G$14:G156,G156))</f>
        <v>COMPRAS20</v>
      </c>
      <c r="B156" s="17" t="s">
        <v>207</v>
      </c>
      <c r="C156" s="17" t="s">
        <v>278</v>
      </c>
      <c r="D156" s="17">
        <v>2</v>
      </c>
      <c r="E156" s="17" t="s">
        <v>277</v>
      </c>
      <c r="F156" s="17" t="s">
        <v>276</v>
      </c>
      <c r="G156" s="17" t="s">
        <v>33</v>
      </c>
      <c r="H156" s="17" t="str">
        <f t="shared" si="40"/>
        <v>ASISTENTES</v>
      </c>
      <c r="I156" s="30">
        <f t="shared" si="41"/>
        <v>1626000</v>
      </c>
      <c r="J156" s="16">
        <v>26</v>
      </c>
      <c r="K156" s="30">
        <f t="shared" si="45"/>
        <v>1409200</v>
      </c>
      <c r="L156" s="36">
        <f>IF(I156&lt;='Valores Vigentes'!D$4*2,'Valores Vigentes'!$D$5/30*J156,0)</f>
        <v>173333.33333333334</v>
      </c>
      <c r="M156" s="36">
        <f t="shared" si="46"/>
        <v>21138</v>
      </c>
      <c r="N156" s="36">
        <f t="shared" si="47"/>
        <v>0</v>
      </c>
      <c r="O156" s="36">
        <f t="shared" si="48"/>
        <v>21138</v>
      </c>
      <c r="P156" s="16">
        <f t="shared" si="42"/>
        <v>277159.09090909094</v>
      </c>
      <c r="Q156" s="36">
        <f t="shared" si="43"/>
        <v>15</v>
      </c>
      <c r="R156" s="36">
        <f t="shared" si="49"/>
        <v>0</v>
      </c>
      <c r="S156" s="30">
        <f t="shared" si="50"/>
        <v>1624824.3333333335</v>
      </c>
      <c r="T156" s="30">
        <f>(S156-L156+M156-O156-R156)*'Valores Vigentes'!$D$6</f>
        <v>58059.640000000014</v>
      </c>
      <c r="U156" s="30">
        <f>(S156-L156+M156-O156-R156)*'Valores Vigentes'!$D$7</f>
        <v>58059.640000000014</v>
      </c>
      <c r="V156" s="36">
        <f>IF(I156&gt;'Valores Vigentes'!$D$4*4,I156*1%,0)</f>
        <v>0</v>
      </c>
      <c r="W156" s="36">
        <f t="shared" si="44"/>
        <v>0</v>
      </c>
      <c r="X156" s="36">
        <f t="shared" si="51"/>
        <v>0</v>
      </c>
      <c r="Y156" s="36">
        <f t="shared" si="52"/>
        <v>32496.486666666671</v>
      </c>
      <c r="Z156" s="30">
        <f t="shared" si="53"/>
        <v>148615.76666666669</v>
      </c>
      <c r="AA156" s="30">
        <f t="shared" si="54"/>
        <v>1476208.5666666669</v>
      </c>
    </row>
    <row r="157" spans="1:27" ht="15.75" customHeight="1" x14ac:dyDescent="0.25">
      <c r="A157" s="16" t="str">
        <f>CONCATENATE(G157,COUNTIF($G$14:G157,G157))</f>
        <v>PERSONAL6</v>
      </c>
      <c r="B157" s="17" t="s">
        <v>208</v>
      </c>
      <c r="C157" s="17" t="s">
        <v>278</v>
      </c>
      <c r="D157" s="17">
        <v>7</v>
      </c>
      <c r="E157" s="17" t="s">
        <v>276</v>
      </c>
      <c r="F157" s="17" t="s">
        <v>276</v>
      </c>
      <c r="G157" s="17" t="s">
        <v>45</v>
      </c>
      <c r="H157" s="17" t="str">
        <f t="shared" si="40"/>
        <v>COORDINADOR</v>
      </c>
      <c r="I157" s="30">
        <f t="shared" si="41"/>
        <v>3250000</v>
      </c>
      <c r="J157" s="16">
        <v>25</v>
      </c>
      <c r="K157" s="30">
        <f t="shared" si="45"/>
        <v>2708333.333333333</v>
      </c>
      <c r="L157" s="36">
        <f>IF(I157&lt;='Valores Vigentes'!D$4*2,'Valores Vigentes'!$D$5/30*J157,0)</f>
        <v>0</v>
      </c>
      <c r="M157" s="36">
        <f t="shared" si="46"/>
        <v>40624.999999999993</v>
      </c>
      <c r="N157" s="36">
        <f t="shared" si="47"/>
        <v>0</v>
      </c>
      <c r="O157" s="36">
        <f t="shared" si="48"/>
        <v>67708.333333333328</v>
      </c>
      <c r="P157" s="16">
        <f t="shared" si="42"/>
        <v>886363.63636363624</v>
      </c>
      <c r="Q157" s="36">
        <f t="shared" si="43"/>
        <v>24</v>
      </c>
      <c r="R157" s="36">
        <f t="shared" si="49"/>
        <v>0</v>
      </c>
      <c r="S157" s="30">
        <f t="shared" si="50"/>
        <v>2816690.6666666665</v>
      </c>
      <c r="T157" s="30">
        <f>(S157-L157+M157-O157-R157)*'Valores Vigentes'!$D$6</f>
        <v>111584.29333333332</v>
      </c>
      <c r="U157" s="30">
        <f>(S157-L157+M157-O157-R157)*'Valores Vigentes'!$D$7</f>
        <v>111584.29333333332</v>
      </c>
      <c r="V157" s="36">
        <f>IF(I157&gt;'Valores Vigentes'!$D$4*4,I157*1%,0)</f>
        <v>0</v>
      </c>
      <c r="W157" s="36">
        <f t="shared" si="44"/>
        <v>0</v>
      </c>
      <c r="X157" s="36">
        <f t="shared" si="51"/>
        <v>97500</v>
      </c>
      <c r="Y157" s="36">
        <f t="shared" si="52"/>
        <v>56333.813333333332</v>
      </c>
      <c r="Z157" s="30">
        <f t="shared" si="53"/>
        <v>377002.4</v>
      </c>
      <c r="AA157" s="30">
        <f t="shared" si="54"/>
        <v>2439688.2666666666</v>
      </c>
    </row>
    <row r="158" spans="1:27" ht="15.75" customHeight="1" x14ac:dyDescent="0.25">
      <c r="A158" s="16" t="str">
        <f>CONCATENATE(G158,COUNTIF($G$14:G158,G158))</f>
        <v>VENTAS63</v>
      </c>
      <c r="B158" s="17" t="s">
        <v>209</v>
      </c>
      <c r="C158" s="17" t="s">
        <v>275</v>
      </c>
      <c r="D158" s="17">
        <v>1</v>
      </c>
      <c r="E158" s="17" t="s">
        <v>276</v>
      </c>
      <c r="F158" s="17" t="s">
        <v>276</v>
      </c>
      <c r="G158" s="17" t="s">
        <v>31</v>
      </c>
      <c r="H158" s="17" t="str">
        <f t="shared" si="40"/>
        <v>AUXILIAR ADMON</v>
      </c>
      <c r="I158" s="30">
        <f t="shared" si="41"/>
        <v>1423500</v>
      </c>
      <c r="J158" s="16">
        <v>27</v>
      </c>
      <c r="K158" s="30">
        <f t="shared" si="45"/>
        <v>1281150</v>
      </c>
      <c r="L158" s="36">
        <f>IF(I158&lt;='Valores Vigentes'!D$4*2,'Valores Vigentes'!$D$5/30*J158,0)</f>
        <v>180000</v>
      </c>
      <c r="M158" s="36">
        <f t="shared" si="46"/>
        <v>19217.25</v>
      </c>
      <c r="N158" s="36">
        <f t="shared" si="47"/>
        <v>44840.250000000007</v>
      </c>
      <c r="O158" s="36">
        <f t="shared" si="48"/>
        <v>32028.75</v>
      </c>
      <c r="P158" s="16">
        <f t="shared" si="42"/>
        <v>16176.136363636362</v>
      </c>
      <c r="Q158" s="36">
        <f t="shared" si="43"/>
        <v>1</v>
      </c>
      <c r="R158" s="36">
        <f t="shared" si="49"/>
        <v>0</v>
      </c>
      <c r="S158" s="30">
        <f t="shared" si="50"/>
        <v>1557237.25</v>
      </c>
      <c r="T158" s="30">
        <f>(S158-L158+M158-O158-R158)*'Valores Vigentes'!$D$6</f>
        <v>54577.03</v>
      </c>
      <c r="U158" s="30">
        <f>(S158-L158+M158-O158-R158)*'Valores Vigentes'!$D$7</f>
        <v>54577.03</v>
      </c>
      <c r="V158" s="36">
        <f>IF(I158&gt;'Valores Vigentes'!$D$4*4,I158*1%,0)</f>
        <v>0</v>
      </c>
      <c r="W158" s="36">
        <f t="shared" si="44"/>
        <v>0</v>
      </c>
      <c r="X158" s="36">
        <f t="shared" si="51"/>
        <v>42705</v>
      </c>
      <c r="Y158" s="36">
        <f t="shared" si="52"/>
        <v>31144.744999999999</v>
      </c>
      <c r="Z158" s="30">
        <f t="shared" si="53"/>
        <v>183003.80499999999</v>
      </c>
      <c r="AA158" s="30">
        <f t="shared" si="54"/>
        <v>1374233.4450000001</v>
      </c>
    </row>
    <row r="159" spans="1:27" ht="15.75" customHeight="1" x14ac:dyDescent="0.25">
      <c r="A159" s="16" t="str">
        <f>CONCATENATE(G159,COUNTIF($G$14:G159,G159))</f>
        <v>VENTAS64</v>
      </c>
      <c r="B159" s="17" t="s">
        <v>210</v>
      </c>
      <c r="C159" s="17" t="s">
        <v>275</v>
      </c>
      <c r="D159" s="17">
        <v>3</v>
      </c>
      <c r="E159" s="17" t="s">
        <v>276</v>
      </c>
      <c r="F159" s="17" t="s">
        <v>277</v>
      </c>
      <c r="G159" s="17" t="s">
        <v>31</v>
      </c>
      <c r="H159" s="17" t="str">
        <f t="shared" si="40"/>
        <v>SECRETARIAS</v>
      </c>
      <c r="I159" s="30">
        <f t="shared" si="41"/>
        <v>1813000</v>
      </c>
      <c r="J159" s="16">
        <v>28</v>
      </c>
      <c r="K159" s="30">
        <f t="shared" si="45"/>
        <v>1692133.3333333335</v>
      </c>
      <c r="L159" s="36">
        <f>IF(I159&lt;='Valores Vigentes'!D$4*2,'Valores Vigentes'!$D$5/30*J159,0)</f>
        <v>186666.66666666669</v>
      </c>
      <c r="M159" s="36">
        <f t="shared" si="46"/>
        <v>25382</v>
      </c>
      <c r="N159" s="36">
        <f t="shared" si="47"/>
        <v>59224.666666666679</v>
      </c>
      <c r="O159" s="36">
        <f t="shared" si="48"/>
        <v>25382</v>
      </c>
      <c r="P159" s="16">
        <f t="shared" si="42"/>
        <v>185420.45454545453</v>
      </c>
      <c r="Q159" s="36">
        <f t="shared" si="43"/>
        <v>9</v>
      </c>
      <c r="R159" s="36">
        <f t="shared" si="49"/>
        <v>0</v>
      </c>
      <c r="S159" s="30">
        <f t="shared" si="50"/>
        <v>1988797.666666667</v>
      </c>
      <c r="T159" s="30">
        <f>(S159-L159+M159-O159-R159)*'Valores Vigentes'!$D$6</f>
        <v>72085.240000000005</v>
      </c>
      <c r="U159" s="30">
        <f>(S159-L159+M159-O159-R159)*'Valores Vigentes'!$D$7</f>
        <v>72085.240000000005</v>
      </c>
      <c r="V159" s="36">
        <f>IF(I159&gt;'Valores Vigentes'!$D$4*4,I159*1%,0)</f>
        <v>0</v>
      </c>
      <c r="W159" s="36">
        <f t="shared" si="44"/>
        <v>0</v>
      </c>
      <c r="X159" s="36">
        <f t="shared" si="51"/>
        <v>54390</v>
      </c>
      <c r="Y159" s="36">
        <f t="shared" si="52"/>
        <v>0</v>
      </c>
      <c r="Z159" s="30">
        <f t="shared" si="53"/>
        <v>198560.48</v>
      </c>
      <c r="AA159" s="30">
        <f t="shared" si="54"/>
        <v>1790237.186666667</v>
      </c>
    </row>
    <row r="160" spans="1:27" ht="15.75" customHeight="1" x14ac:dyDescent="0.25">
      <c r="A160" s="16" t="str">
        <f>CONCATENATE(G160,COUNTIF($G$14:G160,G160))</f>
        <v>PUBLICIDAD5</v>
      </c>
      <c r="B160" s="17" t="s">
        <v>211</v>
      </c>
      <c r="C160" s="17" t="s">
        <v>278</v>
      </c>
      <c r="D160" s="17">
        <v>2</v>
      </c>
      <c r="E160" s="17" t="s">
        <v>276</v>
      </c>
      <c r="F160" s="17" t="s">
        <v>276</v>
      </c>
      <c r="G160" s="17" t="s">
        <v>47</v>
      </c>
      <c r="H160" s="17" t="str">
        <f t="shared" si="40"/>
        <v>ASISTENTES</v>
      </c>
      <c r="I160" s="30">
        <f t="shared" si="41"/>
        <v>1626000</v>
      </c>
      <c r="J160" s="16">
        <v>27</v>
      </c>
      <c r="K160" s="30">
        <f t="shared" si="45"/>
        <v>1463400</v>
      </c>
      <c r="L160" s="36">
        <f>IF(I160&lt;='Valores Vigentes'!D$4*2,'Valores Vigentes'!$D$5/30*J160,0)</f>
        <v>180000</v>
      </c>
      <c r="M160" s="36">
        <f t="shared" si="46"/>
        <v>21951</v>
      </c>
      <c r="N160" s="36">
        <f t="shared" si="47"/>
        <v>0</v>
      </c>
      <c r="O160" s="36">
        <f t="shared" si="48"/>
        <v>36585</v>
      </c>
      <c r="P160" s="16">
        <f t="shared" si="42"/>
        <v>166295.45454545456</v>
      </c>
      <c r="Q160" s="36">
        <f t="shared" si="43"/>
        <v>9</v>
      </c>
      <c r="R160" s="36">
        <f t="shared" si="49"/>
        <v>0</v>
      </c>
      <c r="S160" s="30">
        <f t="shared" si="50"/>
        <v>1701945</v>
      </c>
      <c r="T160" s="30">
        <f>(S160-L160+M160-O160-R160)*'Valores Vigentes'!$D$6</f>
        <v>60292.44</v>
      </c>
      <c r="U160" s="30">
        <f>(S160-L160+M160-O160-R160)*'Valores Vigentes'!$D$7</f>
        <v>60292.44</v>
      </c>
      <c r="V160" s="36">
        <f>IF(I160&gt;'Valores Vigentes'!$D$4*4,I160*1%,0)</f>
        <v>0</v>
      </c>
      <c r="W160" s="36">
        <f t="shared" si="44"/>
        <v>0</v>
      </c>
      <c r="X160" s="36">
        <f t="shared" si="51"/>
        <v>48780</v>
      </c>
      <c r="Y160" s="36">
        <f t="shared" si="52"/>
        <v>34038.9</v>
      </c>
      <c r="Z160" s="30">
        <f t="shared" si="53"/>
        <v>203403.78</v>
      </c>
      <c r="AA160" s="30">
        <f t="shared" si="54"/>
        <v>1498541.22</v>
      </c>
    </row>
    <row r="161" spans="1:27" ht="15.75" customHeight="1" x14ac:dyDescent="0.25">
      <c r="A161" s="16" t="str">
        <f>CONCATENATE(G161,COUNTIF($G$14:G161,G161))</f>
        <v>TESORERIA2</v>
      </c>
      <c r="B161" s="17" t="s">
        <v>212</v>
      </c>
      <c r="C161" s="17" t="s">
        <v>278</v>
      </c>
      <c r="D161" s="17">
        <v>4</v>
      </c>
      <c r="E161" s="17" t="s">
        <v>276</v>
      </c>
      <c r="F161" s="17" t="s">
        <v>276</v>
      </c>
      <c r="G161" s="17" t="s">
        <v>51</v>
      </c>
      <c r="H161" s="17" t="str">
        <f t="shared" si="40"/>
        <v>TÉCNICO PROFESIONAL</v>
      </c>
      <c r="I161" s="30">
        <f t="shared" si="41"/>
        <v>2450000</v>
      </c>
      <c r="J161" s="16">
        <v>28</v>
      </c>
      <c r="K161" s="30">
        <f t="shared" si="45"/>
        <v>2286666.666666667</v>
      </c>
      <c r="L161" s="36">
        <f>IF(I161&lt;='Valores Vigentes'!D$4*2,'Valores Vigentes'!$D$5/30*J161,0)</f>
        <v>186666.66666666669</v>
      </c>
      <c r="M161" s="36">
        <f t="shared" si="46"/>
        <v>34300</v>
      </c>
      <c r="N161" s="36">
        <f t="shared" si="47"/>
        <v>0</v>
      </c>
      <c r="O161" s="36">
        <f t="shared" si="48"/>
        <v>57166.666666666679</v>
      </c>
      <c r="P161" s="16">
        <f t="shared" si="42"/>
        <v>807386.36363636353</v>
      </c>
      <c r="Q161" s="36">
        <f t="shared" si="43"/>
        <v>29</v>
      </c>
      <c r="R161" s="36">
        <f t="shared" si="49"/>
        <v>0</v>
      </c>
      <c r="S161" s="30">
        <f t="shared" si="50"/>
        <v>2564829</v>
      </c>
      <c r="T161" s="30">
        <f>(S161-L161+M161-O161-R161)*'Valores Vigentes'!$D$6</f>
        <v>94211.826666666675</v>
      </c>
      <c r="U161" s="30">
        <f>(S161-L161+M161-O161-R161)*'Valores Vigentes'!$D$7</f>
        <v>94211.826666666675</v>
      </c>
      <c r="V161" s="36">
        <f>IF(I161&gt;'Valores Vigentes'!$D$4*4,I161*1%,0)</f>
        <v>0</v>
      </c>
      <c r="W161" s="36">
        <f t="shared" si="44"/>
        <v>0</v>
      </c>
      <c r="X161" s="36">
        <f t="shared" si="51"/>
        <v>73500</v>
      </c>
      <c r="Y161" s="36">
        <f t="shared" si="52"/>
        <v>51296.58</v>
      </c>
      <c r="Z161" s="30">
        <f t="shared" si="53"/>
        <v>313220.23333333334</v>
      </c>
      <c r="AA161" s="30">
        <f t="shared" si="54"/>
        <v>2251608.7666666666</v>
      </c>
    </row>
    <row r="162" spans="1:27" ht="15.75" customHeight="1" x14ac:dyDescent="0.25">
      <c r="A162" s="16" t="str">
        <f>CONCATENATE(G162,COUNTIF($G$14:G162,G162))</f>
        <v>VENTAS65</v>
      </c>
      <c r="B162" s="17" t="s">
        <v>213</v>
      </c>
      <c r="C162" s="17" t="s">
        <v>278</v>
      </c>
      <c r="D162" s="17">
        <v>6</v>
      </c>
      <c r="E162" s="17" t="s">
        <v>277</v>
      </c>
      <c r="F162" s="17" t="s">
        <v>276</v>
      </c>
      <c r="G162" s="17" t="s">
        <v>31</v>
      </c>
      <c r="H162" s="17" t="str">
        <f t="shared" si="40"/>
        <v>PROFESIONAL</v>
      </c>
      <c r="I162" s="30">
        <f t="shared" si="41"/>
        <v>2950000</v>
      </c>
      <c r="J162" s="16">
        <v>25</v>
      </c>
      <c r="K162" s="30">
        <f t="shared" si="45"/>
        <v>2458333.333333333</v>
      </c>
      <c r="L162" s="36">
        <f>IF(I162&lt;='Valores Vigentes'!D$4*2,'Valores Vigentes'!$D$5/30*J162,0)</f>
        <v>0</v>
      </c>
      <c r="M162" s="36">
        <f t="shared" si="46"/>
        <v>36874.999999999993</v>
      </c>
      <c r="N162" s="36">
        <f t="shared" si="47"/>
        <v>86041.666666666657</v>
      </c>
      <c r="O162" s="36">
        <f t="shared" si="48"/>
        <v>36874.999999999993</v>
      </c>
      <c r="P162" s="16">
        <f t="shared" si="42"/>
        <v>1005681.8181818181</v>
      </c>
      <c r="Q162" s="36">
        <f t="shared" si="43"/>
        <v>30</v>
      </c>
      <c r="R162" s="36">
        <f t="shared" si="49"/>
        <v>0</v>
      </c>
      <c r="S162" s="30">
        <f t="shared" si="50"/>
        <v>2618154.9999999991</v>
      </c>
      <c r="T162" s="30">
        <f>(S162-L162+M162-O162-R162)*'Valores Vigentes'!$D$6</f>
        <v>104726.19999999997</v>
      </c>
      <c r="U162" s="30">
        <f>(S162-L162+M162-O162-R162)*'Valores Vigentes'!$D$7</f>
        <v>104726.19999999997</v>
      </c>
      <c r="V162" s="36">
        <f>IF(I162&gt;'Valores Vigentes'!$D$4*4,I162*1%,0)</f>
        <v>0</v>
      </c>
      <c r="W162" s="36">
        <f t="shared" si="44"/>
        <v>0</v>
      </c>
      <c r="X162" s="36">
        <f t="shared" si="51"/>
        <v>0</v>
      </c>
      <c r="Y162" s="36">
        <f t="shared" si="52"/>
        <v>52363.099999999984</v>
      </c>
      <c r="Z162" s="30">
        <f t="shared" si="53"/>
        <v>261815.49999999991</v>
      </c>
      <c r="AA162" s="30">
        <f t="shared" si="54"/>
        <v>2356339.4999999991</v>
      </c>
    </row>
    <row r="163" spans="1:27" ht="15.75" customHeight="1" x14ac:dyDescent="0.25">
      <c r="A163" s="16" t="str">
        <f>CONCATENATE(G163,COUNTIF($G$14:G163,G163))</f>
        <v>VENTAS66</v>
      </c>
      <c r="B163" s="17" t="s">
        <v>214</v>
      </c>
      <c r="C163" s="17" t="s">
        <v>278</v>
      </c>
      <c r="D163" s="17">
        <v>1</v>
      </c>
      <c r="E163" s="17" t="s">
        <v>277</v>
      </c>
      <c r="F163" s="17" t="s">
        <v>276</v>
      </c>
      <c r="G163" s="17" t="s">
        <v>31</v>
      </c>
      <c r="H163" s="17" t="str">
        <f t="shared" si="40"/>
        <v>AUXILIAR ADMON</v>
      </c>
      <c r="I163" s="30">
        <f t="shared" si="41"/>
        <v>1423500</v>
      </c>
      <c r="J163" s="16">
        <v>26</v>
      </c>
      <c r="K163" s="30">
        <f t="shared" si="45"/>
        <v>1233700</v>
      </c>
      <c r="L163" s="36">
        <f>IF(I163&lt;='Valores Vigentes'!D$4*2,'Valores Vigentes'!$D$5/30*J163,0)</f>
        <v>173333.33333333334</v>
      </c>
      <c r="M163" s="36">
        <f t="shared" si="46"/>
        <v>18505.5</v>
      </c>
      <c r="N163" s="36">
        <f t="shared" si="47"/>
        <v>43179.500000000007</v>
      </c>
      <c r="O163" s="36">
        <f t="shared" si="48"/>
        <v>18505.5</v>
      </c>
      <c r="P163" s="16">
        <f t="shared" si="42"/>
        <v>452931.81818181812</v>
      </c>
      <c r="Q163" s="36">
        <f t="shared" si="43"/>
        <v>28</v>
      </c>
      <c r="R163" s="36">
        <f t="shared" si="49"/>
        <v>0</v>
      </c>
      <c r="S163" s="30">
        <f t="shared" si="50"/>
        <v>1487251.8333333333</v>
      </c>
      <c r="T163" s="30">
        <f>(S163-L163+M163-O163-R163)*'Valores Vigentes'!$D$6</f>
        <v>52556.74</v>
      </c>
      <c r="U163" s="30">
        <f>(S163-L163+M163-O163-R163)*'Valores Vigentes'!$D$7</f>
        <v>52556.74</v>
      </c>
      <c r="V163" s="36">
        <f>IF(I163&gt;'Valores Vigentes'!$D$4*4,I163*1%,0)</f>
        <v>0</v>
      </c>
      <c r="W163" s="36">
        <f t="shared" si="44"/>
        <v>0</v>
      </c>
      <c r="X163" s="36">
        <f t="shared" si="51"/>
        <v>0</v>
      </c>
      <c r="Y163" s="36">
        <f t="shared" si="52"/>
        <v>29745.036666666667</v>
      </c>
      <c r="Z163" s="30">
        <f t="shared" si="53"/>
        <v>134858.51666666666</v>
      </c>
      <c r="AA163" s="30">
        <f t="shared" si="54"/>
        <v>1352393.3166666667</v>
      </c>
    </row>
    <row r="164" spans="1:27" ht="15.75" customHeight="1" x14ac:dyDescent="0.25">
      <c r="A164" s="16" t="str">
        <f>CONCATENATE(G164,COUNTIF($G$14:G164,G164))</f>
        <v>VENTAS67</v>
      </c>
      <c r="B164" s="17" t="s">
        <v>215</v>
      </c>
      <c r="C164" s="17" t="s">
        <v>278</v>
      </c>
      <c r="D164" s="17">
        <v>6</v>
      </c>
      <c r="E164" s="17" t="s">
        <v>276</v>
      </c>
      <c r="F164" s="17" t="s">
        <v>277</v>
      </c>
      <c r="G164" s="17" t="s">
        <v>31</v>
      </c>
      <c r="H164" s="17" t="str">
        <f t="shared" si="40"/>
        <v>PROFESIONAL</v>
      </c>
      <c r="I164" s="30">
        <f t="shared" si="41"/>
        <v>2950000</v>
      </c>
      <c r="J164" s="16">
        <v>28</v>
      </c>
      <c r="K164" s="30">
        <f t="shared" si="45"/>
        <v>2753333.333333333</v>
      </c>
      <c r="L164" s="36">
        <f>IF(I164&lt;='Valores Vigentes'!D$4*2,'Valores Vigentes'!$D$5/30*J164,0)</f>
        <v>0</v>
      </c>
      <c r="M164" s="36">
        <f t="shared" si="46"/>
        <v>41299.999999999993</v>
      </c>
      <c r="N164" s="36">
        <f t="shared" si="47"/>
        <v>96366.666666666672</v>
      </c>
      <c r="O164" s="36">
        <f t="shared" si="48"/>
        <v>41299.999999999993</v>
      </c>
      <c r="P164" s="16">
        <f t="shared" si="42"/>
        <v>0</v>
      </c>
      <c r="Q164" s="36">
        <f t="shared" si="43"/>
        <v>0</v>
      </c>
      <c r="R164" s="36">
        <f t="shared" si="49"/>
        <v>0</v>
      </c>
      <c r="S164" s="30">
        <f t="shared" si="50"/>
        <v>2932299.9999999995</v>
      </c>
      <c r="T164" s="30">
        <f>(S164-L164+M164-O164-R164)*'Valores Vigentes'!$D$6</f>
        <v>117291.99999999999</v>
      </c>
      <c r="U164" s="30">
        <f>(S164-L164+M164-O164-R164)*'Valores Vigentes'!$D$7</f>
        <v>117291.99999999999</v>
      </c>
      <c r="V164" s="36">
        <f>IF(I164&gt;'Valores Vigentes'!$D$4*4,I164*1%,0)</f>
        <v>0</v>
      </c>
      <c r="W164" s="36">
        <f t="shared" si="44"/>
        <v>0</v>
      </c>
      <c r="X164" s="36">
        <f t="shared" si="51"/>
        <v>88500</v>
      </c>
      <c r="Y164" s="36">
        <f t="shared" si="52"/>
        <v>0</v>
      </c>
      <c r="Z164" s="30">
        <f t="shared" si="53"/>
        <v>323084</v>
      </c>
      <c r="AA164" s="30">
        <f t="shared" si="54"/>
        <v>2609215.9999999995</v>
      </c>
    </row>
    <row r="165" spans="1:27" ht="15.75" customHeight="1" x14ac:dyDescent="0.25">
      <c r="A165" s="16" t="str">
        <f>CONCATENATE(G165,COUNTIF($G$14:G165,G165))</f>
        <v>VENTAS68</v>
      </c>
      <c r="B165" s="17" t="s">
        <v>216</v>
      </c>
      <c r="C165" s="17" t="s">
        <v>278</v>
      </c>
      <c r="D165" s="17">
        <v>6</v>
      </c>
      <c r="E165" s="17" t="s">
        <v>276</v>
      </c>
      <c r="F165" s="17" t="s">
        <v>276</v>
      </c>
      <c r="G165" s="17" t="s">
        <v>31</v>
      </c>
      <c r="H165" s="17" t="str">
        <f t="shared" si="40"/>
        <v>PROFESIONAL</v>
      </c>
      <c r="I165" s="30">
        <f t="shared" si="41"/>
        <v>2950000</v>
      </c>
      <c r="J165" s="16">
        <v>30</v>
      </c>
      <c r="K165" s="30">
        <f t="shared" si="45"/>
        <v>2950000</v>
      </c>
      <c r="L165" s="36">
        <f>IF(I165&lt;='Valores Vigentes'!D$4*2,'Valores Vigentes'!$D$5/30*J165,0)</f>
        <v>0</v>
      </c>
      <c r="M165" s="36">
        <f t="shared" si="46"/>
        <v>73750</v>
      </c>
      <c r="N165" s="36">
        <f t="shared" si="47"/>
        <v>103250.00000000001</v>
      </c>
      <c r="O165" s="36">
        <f t="shared" si="48"/>
        <v>73750</v>
      </c>
      <c r="P165" s="16">
        <f t="shared" si="42"/>
        <v>502840.90909090906</v>
      </c>
      <c r="Q165" s="36">
        <f t="shared" si="43"/>
        <v>15</v>
      </c>
      <c r="R165" s="36">
        <f t="shared" si="49"/>
        <v>0</v>
      </c>
      <c r="S165" s="30">
        <f t="shared" si="50"/>
        <v>3200765</v>
      </c>
      <c r="T165" s="30">
        <f>(S165-L165+M165-O165-R165)*'Valores Vigentes'!$D$6</f>
        <v>128030.6</v>
      </c>
      <c r="U165" s="30">
        <f>(S165-L165+M165-O165-R165)*'Valores Vigentes'!$D$7</f>
        <v>128030.6</v>
      </c>
      <c r="V165" s="36">
        <f>IF(I165&gt;'Valores Vigentes'!$D$4*4,I165*1%,0)</f>
        <v>0</v>
      </c>
      <c r="W165" s="36">
        <f t="shared" si="44"/>
        <v>0</v>
      </c>
      <c r="X165" s="36">
        <f t="shared" si="51"/>
        <v>88500</v>
      </c>
      <c r="Y165" s="36">
        <f t="shared" si="52"/>
        <v>64015.3</v>
      </c>
      <c r="Z165" s="30">
        <f t="shared" si="53"/>
        <v>408576.5</v>
      </c>
      <c r="AA165" s="30">
        <f t="shared" si="54"/>
        <v>2792188.5</v>
      </c>
    </row>
    <row r="166" spans="1:27" ht="15.75" customHeight="1" x14ac:dyDescent="0.25">
      <c r="A166" s="16" t="str">
        <f>CONCATENATE(G166,COUNTIF($G$14:G166,G166))</f>
        <v>PERSONAL7</v>
      </c>
      <c r="B166" s="17" t="s">
        <v>217</v>
      </c>
      <c r="C166" s="17" t="s">
        <v>275</v>
      </c>
      <c r="D166" s="17">
        <v>7</v>
      </c>
      <c r="E166" s="17" t="s">
        <v>276</v>
      </c>
      <c r="F166" s="17" t="s">
        <v>277</v>
      </c>
      <c r="G166" s="17" t="s">
        <v>45</v>
      </c>
      <c r="H166" s="17" t="str">
        <f t="shared" si="40"/>
        <v>COORDINADOR</v>
      </c>
      <c r="I166" s="30">
        <f t="shared" si="41"/>
        <v>3250000</v>
      </c>
      <c r="J166" s="16">
        <v>27</v>
      </c>
      <c r="K166" s="30">
        <f t="shared" si="45"/>
        <v>2925000</v>
      </c>
      <c r="L166" s="36">
        <f>IF(I166&lt;='Valores Vigentes'!D$4*2,'Valores Vigentes'!$D$5/30*J166,0)</f>
        <v>0</v>
      </c>
      <c r="M166" s="36">
        <f t="shared" si="46"/>
        <v>43875</v>
      </c>
      <c r="N166" s="36">
        <f t="shared" si="47"/>
        <v>0</v>
      </c>
      <c r="O166" s="36">
        <f t="shared" si="48"/>
        <v>43875</v>
      </c>
      <c r="P166" s="16">
        <f t="shared" si="42"/>
        <v>664772.72727272718</v>
      </c>
      <c r="Q166" s="36">
        <f t="shared" si="43"/>
        <v>18</v>
      </c>
      <c r="R166" s="36">
        <f t="shared" si="49"/>
        <v>0</v>
      </c>
      <c r="S166" s="30">
        <f t="shared" si="50"/>
        <v>3012768</v>
      </c>
      <c r="T166" s="30">
        <f>(S166-L166+M166-O166-R166)*'Valores Vigentes'!$D$6</f>
        <v>120510.72</v>
      </c>
      <c r="U166" s="30">
        <f>(S166-L166+M166-O166-R166)*'Valores Vigentes'!$D$7</f>
        <v>120510.72</v>
      </c>
      <c r="V166" s="36">
        <f>IF(I166&gt;'Valores Vigentes'!$D$4*4,I166*1%,0)</f>
        <v>0</v>
      </c>
      <c r="W166" s="36">
        <f t="shared" si="44"/>
        <v>0</v>
      </c>
      <c r="X166" s="36">
        <f t="shared" si="51"/>
        <v>97500</v>
      </c>
      <c r="Y166" s="36">
        <f t="shared" si="52"/>
        <v>0</v>
      </c>
      <c r="Z166" s="30">
        <f t="shared" si="53"/>
        <v>338521.44</v>
      </c>
      <c r="AA166" s="30">
        <f t="shared" si="54"/>
        <v>2674246.56</v>
      </c>
    </row>
    <row r="167" spans="1:27" ht="15.75" customHeight="1" x14ac:dyDescent="0.25">
      <c r="A167" s="16" t="str">
        <f>CONCATENATE(G167,COUNTIF($G$14:G167,G167))</f>
        <v>VENTAS69</v>
      </c>
      <c r="B167" s="17" t="s">
        <v>218</v>
      </c>
      <c r="C167" s="17" t="s">
        <v>278</v>
      </c>
      <c r="D167" s="17">
        <v>7</v>
      </c>
      <c r="E167" s="17" t="s">
        <v>276</v>
      </c>
      <c r="F167" s="17" t="s">
        <v>276</v>
      </c>
      <c r="G167" s="17" t="s">
        <v>31</v>
      </c>
      <c r="H167" s="17" t="str">
        <f t="shared" si="40"/>
        <v>COORDINADOR</v>
      </c>
      <c r="I167" s="30">
        <f t="shared" si="41"/>
        <v>3250000</v>
      </c>
      <c r="J167" s="16">
        <v>29</v>
      </c>
      <c r="K167" s="30">
        <f t="shared" si="45"/>
        <v>3141666.6666666665</v>
      </c>
      <c r="L167" s="36">
        <f>IF(I167&lt;='Valores Vigentes'!D$4*2,'Valores Vigentes'!$D$5/30*J167,0)</f>
        <v>0</v>
      </c>
      <c r="M167" s="36">
        <f t="shared" si="46"/>
        <v>47124.999999999993</v>
      </c>
      <c r="N167" s="36">
        <f t="shared" si="47"/>
        <v>109958.33333333334</v>
      </c>
      <c r="O167" s="36">
        <f t="shared" si="48"/>
        <v>78541.666666666672</v>
      </c>
      <c r="P167" s="16">
        <f t="shared" si="42"/>
        <v>886363.63636363624</v>
      </c>
      <c r="Q167" s="36">
        <f t="shared" si="43"/>
        <v>24</v>
      </c>
      <c r="R167" s="36">
        <f t="shared" si="49"/>
        <v>0</v>
      </c>
      <c r="S167" s="30">
        <f t="shared" si="50"/>
        <v>3377315.6666666665</v>
      </c>
      <c r="T167" s="30">
        <f>(S167-L167+M167-O167-R167)*'Valores Vigentes'!$D$6</f>
        <v>133835.96</v>
      </c>
      <c r="U167" s="30">
        <f>(S167-L167+M167-O167-R167)*'Valores Vigentes'!$D$7</f>
        <v>133835.96</v>
      </c>
      <c r="V167" s="36">
        <f>IF(I167&gt;'Valores Vigentes'!$D$4*4,I167*1%,0)</f>
        <v>0</v>
      </c>
      <c r="W167" s="36">
        <f t="shared" si="44"/>
        <v>0</v>
      </c>
      <c r="X167" s="36">
        <f t="shared" si="51"/>
        <v>97500</v>
      </c>
      <c r="Y167" s="36">
        <f t="shared" si="52"/>
        <v>67546.313333333324</v>
      </c>
      <c r="Z167" s="30">
        <f t="shared" si="53"/>
        <v>432718.23333333328</v>
      </c>
      <c r="AA167" s="30">
        <f t="shared" si="54"/>
        <v>2944597.4333333331</v>
      </c>
    </row>
    <row r="168" spans="1:27" ht="15.75" customHeight="1" x14ac:dyDescent="0.25">
      <c r="A168" s="16" t="str">
        <f>CONCATENATE(G168,COUNTIF($G$14:G168,G168))</f>
        <v>VENTAS70</v>
      </c>
      <c r="B168" s="17" t="s">
        <v>219</v>
      </c>
      <c r="C168" s="17" t="s">
        <v>278</v>
      </c>
      <c r="D168" s="17">
        <v>4</v>
      </c>
      <c r="E168" s="17" t="s">
        <v>276</v>
      </c>
      <c r="F168" s="17" t="s">
        <v>276</v>
      </c>
      <c r="G168" s="17" t="s">
        <v>31</v>
      </c>
      <c r="H168" s="17" t="str">
        <f t="shared" si="40"/>
        <v>TÉCNICO PROFESIONAL</v>
      </c>
      <c r="I168" s="30">
        <f t="shared" si="41"/>
        <v>2450000</v>
      </c>
      <c r="J168" s="16">
        <v>28</v>
      </c>
      <c r="K168" s="30">
        <f t="shared" si="45"/>
        <v>2286666.666666667</v>
      </c>
      <c r="L168" s="36">
        <f>IF(I168&lt;='Valores Vigentes'!D$4*2,'Valores Vigentes'!$D$5/30*J168,0)</f>
        <v>186666.66666666669</v>
      </c>
      <c r="M168" s="36">
        <f t="shared" si="46"/>
        <v>34300</v>
      </c>
      <c r="N168" s="36">
        <f t="shared" si="47"/>
        <v>80033.333333333358</v>
      </c>
      <c r="O168" s="36">
        <f t="shared" si="48"/>
        <v>57166.666666666679</v>
      </c>
      <c r="P168" s="16">
        <f t="shared" si="42"/>
        <v>27840.909090909088</v>
      </c>
      <c r="Q168" s="36">
        <f t="shared" si="43"/>
        <v>1</v>
      </c>
      <c r="R168" s="36">
        <f t="shared" si="49"/>
        <v>0</v>
      </c>
      <c r="S168" s="30">
        <f t="shared" si="50"/>
        <v>2644834.3333333335</v>
      </c>
      <c r="T168" s="30">
        <f>(S168-L168+M168-O168-R168)*'Valores Vigentes'!$D$6</f>
        <v>97412.040000000023</v>
      </c>
      <c r="U168" s="30">
        <f>(S168-L168+M168-O168-R168)*'Valores Vigentes'!$D$7</f>
        <v>97412.040000000023</v>
      </c>
      <c r="V168" s="36">
        <f>IF(I168&gt;'Valores Vigentes'!$D$4*4,I168*1%,0)</f>
        <v>0</v>
      </c>
      <c r="W168" s="36">
        <f t="shared" si="44"/>
        <v>0</v>
      </c>
      <c r="X168" s="36">
        <f t="shared" si="51"/>
        <v>73500</v>
      </c>
      <c r="Y168" s="36">
        <f t="shared" si="52"/>
        <v>52896.686666666668</v>
      </c>
      <c r="Z168" s="30">
        <f t="shared" si="53"/>
        <v>321220.76666666672</v>
      </c>
      <c r="AA168" s="30">
        <f t="shared" si="54"/>
        <v>2323613.5666666669</v>
      </c>
    </row>
    <row r="169" spans="1:27" ht="15.75" customHeight="1" x14ac:dyDescent="0.25">
      <c r="A169" s="16" t="str">
        <f>CONCATENATE(G169,COUNTIF($G$14:G169,G169))</f>
        <v>VENTAS71</v>
      </c>
      <c r="B169" s="17" t="s">
        <v>220</v>
      </c>
      <c r="C169" s="17" t="s">
        <v>278</v>
      </c>
      <c r="D169" s="17">
        <v>2</v>
      </c>
      <c r="E169" s="17" t="s">
        <v>277</v>
      </c>
      <c r="F169" s="17" t="s">
        <v>276</v>
      </c>
      <c r="G169" s="17" t="s">
        <v>31</v>
      </c>
      <c r="H169" s="17" t="str">
        <f t="shared" si="40"/>
        <v>ASISTENTES</v>
      </c>
      <c r="I169" s="30">
        <f t="shared" si="41"/>
        <v>1626000</v>
      </c>
      <c r="J169" s="16">
        <v>27</v>
      </c>
      <c r="K169" s="30">
        <f t="shared" si="45"/>
        <v>1463400</v>
      </c>
      <c r="L169" s="36">
        <f>IF(I169&lt;='Valores Vigentes'!D$4*2,'Valores Vigentes'!$D$5/30*J169,0)</f>
        <v>180000</v>
      </c>
      <c r="M169" s="36">
        <f t="shared" si="46"/>
        <v>21951</v>
      </c>
      <c r="N169" s="36">
        <f t="shared" si="47"/>
        <v>51219.000000000007</v>
      </c>
      <c r="O169" s="36">
        <f t="shared" si="48"/>
        <v>21951</v>
      </c>
      <c r="P169" s="16">
        <f t="shared" si="42"/>
        <v>424977.27272727276</v>
      </c>
      <c r="Q169" s="36">
        <f t="shared" si="43"/>
        <v>23</v>
      </c>
      <c r="R169" s="36">
        <f t="shared" si="49"/>
        <v>0</v>
      </c>
      <c r="S169" s="30">
        <f t="shared" si="50"/>
        <v>1738544.0000000002</v>
      </c>
      <c r="T169" s="30">
        <f>(S169-L169+M169-O169-R169)*'Valores Vigentes'!$D$6</f>
        <v>62341.760000000009</v>
      </c>
      <c r="U169" s="30">
        <f>(S169-L169+M169-O169-R169)*'Valores Vigentes'!$D$7</f>
        <v>62341.760000000009</v>
      </c>
      <c r="V169" s="36">
        <f>IF(I169&gt;'Valores Vigentes'!$D$4*4,I169*1%,0)</f>
        <v>0</v>
      </c>
      <c r="W169" s="36">
        <f t="shared" si="44"/>
        <v>0</v>
      </c>
      <c r="X169" s="36">
        <f t="shared" si="51"/>
        <v>0</v>
      </c>
      <c r="Y169" s="36">
        <f t="shared" si="52"/>
        <v>34770.880000000005</v>
      </c>
      <c r="Z169" s="30">
        <f t="shared" si="53"/>
        <v>159454.40000000002</v>
      </c>
      <c r="AA169" s="30">
        <f t="shared" si="54"/>
        <v>1579089.6</v>
      </c>
    </row>
    <row r="170" spans="1:27" ht="15.75" customHeight="1" x14ac:dyDescent="0.25">
      <c r="A170" s="16" t="str">
        <f>CONCATENATE(G170,COUNTIF($G$14:G170,G170))</f>
        <v>TESORERIA3</v>
      </c>
      <c r="B170" s="17" t="s">
        <v>221</v>
      </c>
      <c r="C170" s="17" t="s">
        <v>275</v>
      </c>
      <c r="D170" s="17">
        <v>7</v>
      </c>
      <c r="E170" s="17" t="s">
        <v>276</v>
      </c>
      <c r="F170" s="17" t="s">
        <v>276</v>
      </c>
      <c r="G170" s="17" t="s">
        <v>51</v>
      </c>
      <c r="H170" s="17" t="str">
        <f t="shared" si="40"/>
        <v>COORDINADOR</v>
      </c>
      <c r="I170" s="30">
        <f t="shared" si="41"/>
        <v>3250000</v>
      </c>
      <c r="J170" s="16">
        <v>29</v>
      </c>
      <c r="K170" s="30">
        <f t="shared" si="45"/>
        <v>3141666.6666666665</v>
      </c>
      <c r="L170" s="36">
        <f>IF(I170&lt;='Valores Vigentes'!D$4*2,'Valores Vigentes'!$D$5/30*J170,0)</f>
        <v>0</v>
      </c>
      <c r="M170" s="36">
        <f t="shared" si="46"/>
        <v>47124.999999999993</v>
      </c>
      <c r="N170" s="36">
        <f t="shared" si="47"/>
        <v>0</v>
      </c>
      <c r="O170" s="36">
        <f t="shared" si="48"/>
        <v>78541.666666666672</v>
      </c>
      <c r="P170" s="16">
        <f t="shared" si="42"/>
        <v>886363.63636363624</v>
      </c>
      <c r="Q170" s="36">
        <f t="shared" si="43"/>
        <v>24</v>
      </c>
      <c r="R170" s="36">
        <f t="shared" si="49"/>
        <v>0</v>
      </c>
      <c r="S170" s="30">
        <f t="shared" si="50"/>
        <v>3267357.333333333</v>
      </c>
      <c r="T170" s="30">
        <f>(S170-L170+M170-O170-R170)*'Valores Vigentes'!$D$6</f>
        <v>129437.62666666666</v>
      </c>
      <c r="U170" s="30">
        <f>(S170-L170+M170-O170-R170)*'Valores Vigentes'!$D$7</f>
        <v>129437.62666666666</v>
      </c>
      <c r="V170" s="36">
        <f>IF(I170&gt;'Valores Vigentes'!$D$4*4,I170*1%,0)</f>
        <v>0</v>
      </c>
      <c r="W170" s="36">
        <f t="shared" si="44"/>
        <v>0</v>
      </c>
      <c r="X170" s="36">
        <f t="shared" si="51"/>
        <v>97500</v>
      </c>
      <c r="Y170" s="36">
        <f t="shared" si="52"/>
        <v>65347.14666666666</v>
      </c>
      <c r="Z170" s="30">
        <f t="shared" si="53"/>
        <v>421722.39999999997</v>
      </c>
      <c r="AA170" s="30">
        <f t="shared" si="54"/>
        <v>2845634.9333333331</v>
      </c>
    </row>
    <row r="171" spans="1:27" ht="15.75" customHeight="1" x14ac:dyDescent="0.25">
      <c r="A171" s="16" t="str">
        <f>CONCATENATE(G171,COUNTIF($G$14:G171,G171))</f>
        <v>VENTAS72</v>
      </c>
      <c r="B171" s="17" t="s">
        <v>222</v>
      </c>
      <c r="C171" s="17" t="s">
        <v>278</v>
      </c>
      <c r="D171" s="17">
        <v>7</v>
      </c>
      <c r="E171" s="17" t="s">
        <v>276</v>
      </c>
      <c r="F171" s="17" t="s">
        <v>277</v>
      </c>
      <c r="G171" s="17" t="s">
        <v>31</v>
      </c>
      <c r="H171" s="17" t="str">
        <f t="shared" si="40"/>
        <v>COORDINADOR</v>
      </c>
      <c r="I171" s="30">
        <f t="shared" si="41"/>
        <v>3250000</v>
      </c>
      <c r="J171" s="16">
        <v>28</v>
      </c>
      <c r="K171" s="30">
        <f t="shared" si="45"/>
        <v>3033333.333333333</v>
      </c>
      <c r="L171" s="36">
        <f>IF(I171&lt;='Valores Vigentes'!D$4*2,'Valores Vigentes'!$D$5/30*J171,0)</f>
        <v>0</v>
      </c>
      <c r="M171" s="36">
        <f t="shared" si="46"/>
        <v>45499.999999999993</v>
      </c>
      <c r="N171" s="36">
        <f t="shared" si="47"/>
        <v>106166.66666666667</v>
      </c>
      <c r="O171" s="36">
        <f t="shared" si="48"/>
        <v>45499.999999999993</v>
      </c>
      <c r="P171" s="16">
        <f t="shared" si="42"/>
        <v>590909.09090909082</v>
      </c>
      <c r="Q171" s="36">
        <f t="shared" si="43"/>
        <v>16</v>
      </c>
      <c r="R171" s="36">
        <f t="shared" si="49"/>
        <v>0</v>
      </c>
      <c r="S171" s="30">
        <f t="shared" si="50"/>
        <v>3230515.9999999995</v>
      </c>
      <c r="T171" s="30">
        <f>(S171-L171+M171-O171-R171)*'Valores Vigentes'!$D$6</f>
        <v>129220.63999999998</v>
      </c>
      <c r="U171" s="30">
        <f>(S171-L171+M171-O171-R171)*'Valores Vigentes'!$D$7</f>
        <v>129220.63999999998</v>
      </c>
      <c r="V171" s="36">
        <f>IF(I171&gt;'Valores Vigentes'!$D$4*4,I171*1%,0)</f>
        <v>0</v>
      </c>
      <c r="W171" s="36">
        <f t="shared" si="44"/>
        <v>0</v>
      </c>
      <c r="X171" s="36">
        <f t="shared" si="51"/>
        <v>97500</v>
      </c>
      <c r="Y171" s="36">
        <f t="shared" si="52"/>
        <v>0</v>
      </c>
      <c r="Z171" s="30">
        <f t="shared" si="53"/>
        <v>355941.27999999997</v>
      </c>
      <c r="AA171" s="30">
        <f t="shared" si="54"/>
        <v>2874574.7199999997</v>
      </c>
    </row>
    <row r="172" spans="1:27" ht="15.75" customHeight="1" x14ac:dyDescent="0.25">
      <c r="A172" s="16" t="str">
        <f>CONCATENATE(G172,COUNTIF($G$14:G172,G172))</f>
        <v>VENTAS73</v>
      </c>
      <c r="B172" s="17" t="s">
        <v>223</v>
      </c>
      <c r="C172" s="17" t="s">
        <v>275</v>
      </c>
      <c r="D172" s="17">
        <v>8</v>
      </c>
      <c r="E172" s="17" t="s">
        <v>276</v>
      </c>
      <c r="F172" s="17" t="s">
        <v>276</v>
      </c>
      <c r="G172" s="17" t="s">
        <v>31</v>
      </c>
      <c r="H172" s="17" t="str">
        <f t="shared" si="40"/>
        <v>ASESOR</v>
      </c>
      <c r="I172" s="30">
        <f t="shared" si="41"/>
        <v>3900000</v>
      </c>
      <c r="J172" s="16">
        <v>27</v>
      </c>
      <c r="K172" s="30">
        <f t="shared" si="45"/>
        <v>3510000</v>
      </c>
      <c r="L172" s="36">
        <f>IF(I172&lt;='Valores Vigentes'!D$4*2,'Valores Vigentes'!$D$5/30*J172,0)</f>
        <v>0</v>
      </c>
      <c r="M172" s="36">
        <f t="shared" si="46"/>
        <v>52650</v>
      </c>
      <c r="N172" s="36">
        <f t="shared" si="47"/>
        <v>122850.00000000001</v>
      </c>
      <c r="O172" s="36">
        <f t="shared" si="48"/>
        <v>87750</v>
      </c>
      <c r="P172" s="16">
        <f t="shared" si="42"/>
        <v>132954.54545454547</v>
      </c>
      <c r="Q172" s="36">
        <f t="shared" si="43"/>
        <v>3</v>
      </c>
      <c r="R172" s="36">
        <f t="shared" si="49"/>
        <v>0</v>
      </c>
      <c r="S172" s="30">
        <f t="shared" si="50"/>
        <v>3773253</v>
      </c>
      <c r="T172" s="30">
        <f>(S172-L172+M172-O172-R172)*'Valores Vigentes'!$D$6</f>
        <v>149526.12</v>
      </c>
      <c r="U172" s="30">
        <f>(S172-L172+M172-O172-R172)*'Valores Vigentes'!$D$7</f>
        <v>149526.12</v>
      </c>
      <c r="V172" s="36">
        <f>IF(I172&gt;'Valores Vigentes'!$D$4*4,I172*1%,0)</f>
        <v>0</v>
      </c>
      <c r="W172" s="36">
        <f t="shared" si="44"/>
        <v>0</v>
      </c>
      <c r="X172" s="36">
        <f t="shared" si="51"/>
        <v>117000</v>
      </c>
      <c r="Y172" s="36">
        <f t="shared" si="52"/>
        <v>75465.06</v>
      </c>
      <c r="Z172" s="30">
        <f t="shared" si="53"/>
        <v>491517.3</v>
      </c>
      <c r="AA172" s="30">
        <f t="shared" si="54"/>
        <v>3281735.7</v>
      </c>
    </row>
    <row r="173" spans="1:27" ht="15.75" customHeight="1" x14ac:dyDescent="0.25">
      <c r="A173" s="16" t="str">
        <f>CONCATENATE(G173,COUNTIF($G$14:G173,G173))</f>
        <v>COMPRAS21</v>
      </c>
      <c r="B173" s="17" t="s">
        <v>224</v>
      </c>
      <c r="C173" s="17" t="s">
        <v>275</v>
      </c>
      <c r="D173" s="17">
        <v>3</v>
      </c>
      <c r="E173" s="17" t="s">
        <v>276</v>
      </c>
      <c r="F173" s="17" t="s">
        <v>276</v>
      </c>
      <c r="G173" s="17" t="s">
        <v>33</v>
      </c>
      <c r="H173" s="17" t="str">
        <f t="shared" si="40"/>
        <v>SECRETARIAS</v>
      </c>
      <c r="I173" s="30">
        <f t="shared" si="41"/>
        <v>1813000</v>
      </c>
      <c r="J173" s="16">
        <v>25</v>
      </c>
      <c r="K173" s="30">
        <f t="shared" si="45"/>
        <v>1510833.3333333335</v>
      </c>
      <c r="L173" s="36">
        <f>IF(I173&lt;='Valores Vigentes'!D$4*2,'Valores Vigentes'!$D$5/30*J173,0)</f>
        <v>166666.66666666669</v>
      </c>
      <c r="M173" s="36">
        <f t="shared" si="46"/>
        <v>22662.5</v>
      </c>
      <c r="N173" s="36">
        <f t="shared" si="47"/>
        <v>0</v>
      </c>
      <c r="O173" s="36">
        <f t="shared" si="48"/>
        <v>37770.833333333336</v>
      </c>
      <c r="P173" s="16">
        <f t="shared" si="42"/>
        <v>412045.45454545447</v>
      </c>
      <c r="Q173" s="36">
        <f t="shared" si="43"/>
        <v>20</v>
      </c>
      <c r="R173" s="36">
        <f t="shared" si="49"/>
        <v>0</v>
      </c>
      <c r="S173" s="30">
        <f t="shared" si="50"/>
        <v>1737953.3333333335</v>
      </c>
      <c r="T173" s="30">
        <f>(S173-L173+M173-O173-R173)*'Valores Vigentes'!$D$6</f>
        <v>62247.133333333339</v>
      </c>
      <c r="U173" s="30">
        <f>(S173-L173+M173-O173-R173)*'Valores Vigentes'!$D$7</f>
        <v>62247.133333333339</v>
      </c>
      <c r="V173" s="36">
        <f>IF(I173&gt;'Valores Vigentes'!$D$4*4,I173*1%,0)</f>
        <v>0</v>
      </c>
      <c r="W173" s="36">
        <f t="shared" si="44"/>
        <v>0</v>
      </c>
      <c r="X173" s="36">
        <f t="shared" si="51"/>
        <v>54390</v>
      </c>
      <c r="Y173" s="36">
        <f t="shared" si="52"/>
        <v>34759.066666666673</v>
      </c>
      <c r="Z173" s="30">
        <f t="shared" si="53"/>
        <v>213643.33333333334</v>
      </c>
      <c r="AA173" s="30">
        <f t="shared" si="54"/>
        <v>1524310.0000000002</v>
      </c>
    </row>
    <row r="174" spans="1:27" ht="15.75" customHeight="1" x14ac:dyDescent="0.25">
      <c r="A174" s="16" t="str">
        <f>CONCATENATE(G174,COUNTIF($G$14:G174,G174))</f>
        <v>ADMON21</v>
      </c>
      <c r="B174" s="17" t="s">
        <v>225</v>
      </c>
      <c r="C174" s="17" t="s">
        <v>278</v>
      </c>
      <c r="D174" s="17">
        <v>7</v>
      </c>
      <c r="E174" s="17" t="s">
        <v>277</v>
      </c>
      <c r="F174" s="17" t="s">
        <v>277</v>
      </c>
      <c r="G174" s="17" t="s">
        <v>35</v>
      </c>
      <c r="H174" s="17" t="str">
        <f t="shared" si="40"/>
        <v>COORDINADOR</v>
      </c>
      <c r="I174" s="30">
        <f t="shared" si="41"/>
        <v>3250000</v>
      </c>
      <c r="J174" s="16">
        <v>30</v>
      </c>
      <c r="K174" s="30">
        <f t="shared" si="45"/>
        <v>3250000</v>
      </c>
      <c r="L174" s="36">
        <f>IF(I174&lt;='Valores Vigentes'!D$4*2,'Valores Vigentes'!$D$5/30*J174,0)</f>
        <v>0</v>
      </c>
      <c r="M174" s="36">
        <f t="shared" si="46"/>
        <v>81250</v>
      </c>
      <c r="N174" s="36">
        <f t="shared" si="47"/>
        <v>0</v>
      </c>
      <c r="O174" s="36">
        <f t="shared" si="48"/>
        <v>32500</v>
      </c>
      <c r="P174" s="16">
        <f t="shared" si="42"/>
        <v>627840.90909090894</v>
      </c>
      <c r="Q174" s="36">
        <f t="shared" si="43"/>
        <v>17</v>
      </c>
      <c r="R174" s="36">
        <f t="shared" si="49"/>
        <v>0</v>
      </c>
      <c r="S174" s="30">
        <f t="shared" si="50"/>
        <v>3363767</v>
      </c>
      <c r="T174" s="30">
        <f>(S174-L174+M174-O174-R174)*'Valores Vigentes'!$D$6</f>
        <v>136500.68</v>
      </c>
      <c r="U174" s="30">
        <f>(S174-L174+M174-O174-R174)*'Valores Vigentes'!$D$7</f>
        <v>136500.68</v>
      </c>
      <c r="V174" s="36">
        <f>IF(I174&gt;'Valores Vigentes'!$D$4*4,I174*1%,0)</f>
        <v>0</v>
      </c>
      <c r="W174" s="36">
        <f t="shared" si="44"/>
        <v>0</v>
      </c>
      <c r="X174" s="36">
        <f t="shared" si="51"/>
        <v>0</v>
      </c>
      <c r="Y174" s="36">
        <f t="shared" si="52"/>
        <v>0</v>
      </c>
      <c r="Z174" s="30">
        <f t="shared" si="53"/>
        <v>273001.36</v>
      </c>
      <c r="AA174" s="30">
        <f t="shared" si="54"/>
        <v>3090765.64</v>
      </c>
    </row>
    <row r="175" spans="1:27" ht="15.75" customHeight="1" x14ac:dyDescent="0.25">
      <c r="A175" s="16" t="str">
        <f>CONCATENATE(G175,COUNTIF($G$14:G175,G175))</f>
        <v>VENTAS74</v>
      </c>
      <c r="B175" s="17" t="s">
        <v>226</v>
      </c>
      <c r="C175" s="17" t="s">
        <v>278</v>
      </c>
      <c r="D175" s="17">
        <v>8</v>
      </c>
      <c r="E175" s="17" t="s">
        <v>276</v>
      </c>
      <c r="F175" s="17" t="s">
        <v>277</v>
      </c>
      <c r="G175" s="17" t="s">
        <v>31</v>
      </c>
      <c r="H175" s="17" t="str">
        <f t="shared" ref="H175:H185" si="55">VLOOKUP(D175,SALARIOSACTUALES,2,0)</f>
        <v>ASESOR</v>
      </c>
      <c r="I175" s="30">
        <f t="shared" ref="I175:I185" si="56">VLOOKUP(D175,SALARIOSACTUALES,3,0)</f>
        <v>3900000</v>
      </c>
      <c r="J175" s="16">
        <v>27</v>
      </c>
      <c r="K175" s="30">
        <f t="shared" si="45"/>
        <v>3510000</v>
      </c>
      <c r="L175" s="36">
        <f>IF(I175&lt;='Valores Vigentes'!D$4*2,'Valores Vigentes'!$D$5/30*J175,0)</f>
        <v>0</v>
      </c>
      <c r="M175" s="36">
        <f t="shared" si="46"/>
        <v>52650</v>
      </c>
      <c r="N175" s="36">
        <f t="shared" si="47"/>
        <v>122850.00000000001</v>
      </c>
      <c r="O175" s="36">
        <f t="shared" si="48"/>
        <v>52650</v>
      </c>
      <c r="P175" s="16">
        <f t="shared" ref="P175:P185" si="57">VLOOKUP(B175,HORASEXTRAS,10,0)</f>
        <v>177272.72727272729</v>
      </c>
      <c r="Q175" s="36">
        <f t="shared" ref="Q175:Q185" si="58">VLOOKUP(B175,HORASEXTRAS,11,0)</f>
        <v>4</v>
      </c>
      <c r="R175" s="36">
        <f t="shared" si="49"/>
        <v>0</v>
      </c>
      <c r="S175" s="30">
        <f t="shared" si="50"/>
        <v>3738154</v>
      </c>
      <c r="T175" s="30">
        <f>(S175-L175+M175-O175-R175)*'Valores Vigentes'!$D$6</f>
        <v>149526.16</v>
      </c>
      <c r="U175" s="30">
        <f>(S175-L175+M175-O175-R175)*'Valores Vigentes'!$D$7</f>
        <v>149526.16</v>
      </c>
      <c r="V175" s="36">
        <f>IF(I175&gt;'Valores Vigentes'!$D$4*4,I175*1%,0)</f>
        <v>0</v>
      </c>
      <c r="W175" s="36">
        <f t="shared" ref="W175:W185" si="59">HLOOKUP(S175,RETEFUENTE,2,1)</f>
        <v>0</v>
      </c>
      <c r="X175" s="36">
        <f t="shared" si="51"/>
        <v>117000</v>
      </c>
      <c r="Y175" s="36">
        <f t="shared" si="52"/>
        <v>0</v>
      </c>
      <c r="Z175" s="30">
        <f t="shared" si="53"/>
        <v>416052.32</v>
      </c>
      <c r="AA175" s="30">
        <f t="shared" si="54"/>
        <v>3322101.68</v>
      </c>
    </row>
    <row r="176" spans="1:27" ht="15.75" customHeight="1" x14ac:dyDescent="0.25">
      <c r="A176" s="16" t="str">
        <f>CONCATENATE(G176,COUNTIF($G$14:G176,G176))</f>
        <v>VENTAS75</v>
      </c>
      <c r="B176" s="17" t="s">
        <v>227</v>
      </c>
      <c r="C176" s="17" t="s">
        <v>278</v>
      </c>
      <c r="D176" s="17">
        <v>3</v>
      </c>
      <c r="E176" s="17" t="s">
        <v>276</v>
      </c>
      <c r="F176" s="17" t="s">
        <v>277</v>
      </c>
      <c r="G176" s="17" t="s">
        <v>31</v>
      </c>
      <c r="H176" s="17" t="str">
        <f t="shared" si="55"/>
        <v>SECRETARIAS</v>
      </c>
      <c r="I176" s="30">
        <f t="shared" si="56"/>
        <v>1813000</v>
      </c>
      <c r="J176" s="16">
        <v>25</v>
      </c>
      <c r="K176" s="30">
        <f t="shared" si="45"/>
        <v>1510833.3333333335</v>
      </c>
      <c r="L176" s="36">
        <f>IF(I176&lt;='Valores Vigentes'!D$4*2,'Valores Vigentes'!$D$5/30*J176,0)</f>
        <v>166666.66666666669</v>
      </c>
      <c r="M176" s="36">
        <f t="shared" si="46"/>
        <v>22662.5</v>
      </c>
      <c r="N176" s="36">
        <f t="shared" si="47"/>
        <v>52879.166666666679</v>
      </c>
      <c r="O176" s="36">
        <f t="shared" si="48"/>
        <v>22662.5</v>
      </c>
      <c r="P176" s="16">
        <f t="shared" si="57"/>
        <v>123613.63636363635</v>
      </c>
      <c r="Q176" s="36">
        <f t="shared" si="58"/>
        <v>6</v>
      </c>
      <c r="R176" s="36">
        <f t="shared" si="49"/>
        <v>0</v>
      </c>
      <c r="S176" s="30">
        <f t="shared" si="50"/>
        <v>1775710.166666667</v>
      </c>
      <c r="T176" s="30">
        <f>(S176-L176+M176-O176-R176)*'Valores Vigentes'!$D$6</f>
        <v>64361.740000000013</v>
      </c>
      <c r="U176" s="30">
        <f>(S176-L176+M176-O176-R176)*'Valores Vigentes'!$D$7</f>
        <v>64361.740000000013</v>
      </c>
      <c r="V176" s="36">
        <f>IF(I176&gt;'Valores Vigentes'!$D$4*4,I176*1%,0)</f>
        <v>0</v>
      </c>
      <c r="W176" s="36">
        <f t="shared" si="59"/>
        <v>0</v>
      </c>
      <c r="X176" s="36">
        <f t="shared" si="51"/>
        <v>54390</v>
      </c>
      <c r="Y176" s="36">
        <f t="shared" si="52"/>
        <v>0</v>
      </c>
      <c r="Z176" s="30">
        <f t="shared" si="53"/>
        <v>183113.48000000004</v>
      </c>
      <c r="AA176" s="30">
        <f t="shared" si="54"/>
        <v>1592596.686666667</v>
      </c>
    </row>
    <row r="177" spans="1:27" ht="15.75" customHeight="1" x14ac:dyDescent="0.25">
      <c r="A177" s="16" t="str">
        <f>CONCATENATE(G177,COUNTIF($G$14:G177,G177))</f>
        <v>VENTAS76</v>
      </c>
      <c r="B177" s="17" t="s">
        <v>228</v>
      </c>
      <c r="C177" s="17" t="s">
        <v>278</v>
      </c>
      <c r="D177" s="17">
        <v>1</v>
      </c>
      <c r="E177" s="17" t="s">
        <v>276</v>
      </c>
      <c r="F177" s="17" t="s">
        <v>276</v>
      </c>
      <c r="G177" s="17" t="s">
        <v>31</v>
      </c>
      <c r="H177" s="17" t="str">
        <f t="shared" si="55"/>
        <v>AUXILIAR ADMON</v>
      </c>
      <c r="I177" s="30">
        <f t="shared" si="56"/>
        <v>1423500</v>
      </c>
      <c r="J177" s="16">
        <v>29</v>
      </c>
      <c r="K177" s="30">
        <f t="shared" si="45"/>
        <v>1376050</v>
      </c>
      <c r="L177" s="36">
        <f>IF(I177&lt;='Valores Vigentes'!D$4*2,'Valores Vigentes'!$D$5/30*J177,0)</f>
        <v>193333.33333333334</v>
      </c>
      <c r="M177" s="36">
        <f t="shared" si="46"/>
        <v>20640.75</v>
      </c>
      <c r="N177" s="36">
        <f t="shared" si="47"/>
        <v>48161.750000000007</v>
      </c>
      <c r="O177" s="36">
        <f t="shared" si="48"/>
        <v>34401.25</v>
      </c>
      <c r="P177" s="16">
        <f t="shared" si="57"/>
        <v>242642.04545454544</v>
      </c>
      <c r="Q177" s="36">
        <f t="shared" si="58"/>
        <v>15</v>
      </c>
      <c r="R177" s="36">
        <f t="shared" si="49"/>
        <v>0</v>
      </c>
      <c r="S177" s="30">
        <f t="shared" si="50"/>
        <v>1672602.0833333333</v>
      </c>
      <c r="T177" s="30">
        <f>(S177-L177+M177-O177-R177)*'Valores Vigentes'!$D$6</f>
        <v>58620.33</v>
      </c>
      <c r="U177" s="30">
        <f>(S177-L177+M177-O177-R177)*'Valores Vigentes'!$D$7</f>
        <v>58620.33</v>
      </c>
      <c r="V177" s="36">
        <f>IF(I177&gt;'Valores Vigentes'!$D$4*4,I177*1%,0)</f>
        <v>0</v>
      </c>
      <c r="W177" s="36">
        <f t="shared" si="59"/>
        <v>0</v>
      </c>
      <c r="X177" s="36">
        <f t="shared" si="51"/>
        <v>42705</v>
      </c>
      <c r="Y177" s="36">
        <f t="shared" si="52"/>
        <v>33452.041666666664</v>
      </c>
      <c r="Z177" s="30">
        <f t="shared" si="53"/>
        <v>193397.70166666666</v>
      </c>
      <c r="AA177" s="30">
        <f t="shared" si="54"/>
        <v>1479204.3816666666</v>
      </c>
    </row>
    <row r="178" spans="1:27" ht="15.75" customHeight="1" x14ac:dyDescent="0.25">
      <c r="A178" s="16" t="str">
        <f>CONCATENATE(G178,COUNTIF($G$14:G178,G178))</f>
        <v>CARTERA5</v>
      </c>
      <c r="B178" s="17" t="s">
        <v>229</v>
      </c>
      <c r="C178" s="17" t="s">
        <v>278</v>
      </c>
      <c r="D178" s="17">
        <v>1</v>
      </c>
      <c r="E178" s="17" t="s">
        <v>276</v>
      </c>
      <c r="F178" s="17" t="s">
        <v>277</v>
      </c>
      <c r="G178" s="17" t="s">
        <v>49</v>
      </c>
      <c r="H178" s="17" t="str">
        <f t="shared" si="55"/>
        <v>AUXILIAR ADMON</v>
      </c>
      <c r="I178" s="30">
        <f t="shared" si="56"/>
        <v>1423500</v>
      </c>
      <c r="J178" s="16">
        <v>28</v>
      </c>
      <c r="K178" s="30">
        <f t="shared" si="45"/>
        <v>1328600</v>
      </c>
      <c r="L178" s="36">
        <f>IF(I178&lt;='Valores Vigentes'!D$4*2,'Valores Vigentes'!$D$5/30*J178,0)</f>
        <v>186666.66666666669</v>
      </c>
      <c r="M178" s="36">
        <f t="shared" si="46"/>
        <v>19929</v>
      </c>
      <c r="N178" s="36">
        <f t="shared" si="47"/>
        <v>0</v>
      </c>
      <c r="O178" s="36">
        <f t="shared" si="48"/>
        <v>19929</v>
      </c>
      <c r="P178" s="16">
        <f t="shared" si="57"/>
        <v>372051.13636363635</v>
      </c>
      <c r="Q178" s="36">
        <f t="shared" si="58"/>
        <v>23</v>
      </c>
      <c r="R178" s="36">
        <f t="shared" si="49"/>
        <v>0</v>
      </c>
      <c r="S178" s="30">
        <f t="shared" si="50"/>
        <v>1555147.666666667</v>
      </c>
      <c r="T178" s="30">
        <f>(S178-L178+M178-O178-R178)*'Valores Vigentes'!$D$6</f>
        <v>54739.240000000013</v>
      </c>
      <c r="U178" s="30">
        <f>(S178-L178+M178-O178-R178)*'Valores Vigentes'!$D$7</f>
        <v>54739.240000000013</v>
      </c>
      <c r="V178" s="36">
        <f>IF(I178&gt;'Valores Vigentes'!$D$4*4,I178*1%,0)</f>
        <v>0</v>
      </c>
      <c r="W178" s="36">
        <f t="shared" si="59"/>
        <v>0</v>
      </c>
      <c r="X178" s="36">
        <f t="shared" si="51"/>
        <v>42705</v>
      </c>
      <c r="Y178" s="36">
        <f t="shared" si="52"/>
        <v>0</v>
      </c>
      <c r="Z178" s="30">
        <f t="shared" si="53"/>
        <v>152183.48000000004</v>
      </c>
      <c r="AA178" s="30">
        <f t="shared" si="54"/>
        <v>1402964.186666667</v>
      </c>
    </row>
    <row r="179" spans="1:27" ht="15.75" customHeight="1" x14ac:dyDescent="0.25">
      <c r="A179" s="16" t="str">
        <f>CONCATENATE(G179,COUNTIF($G$14:G179,G179))</f>
        <v>VENTAS77</v>
      </c>
      <c r="B179" s="17" t="s">
        <v>230</v>
      </c>
      <c r="C179" s="17" t="s">
        <v>275</v>
      </c>
      <c r="D179" s="17">
        <v>8</v>
      </c>
      <c r="E179" s="17" t="s">
        <v>277</v>
      </c>
      <c r="F179" s="17" t="s">
        <v>276</v>
      </c>
      <c r="G179" s="17" t="s">
        <v>31</v>
      </c>
      <c r="H179" s="17" t="str">
        <f t="shared" si="55"/>
        <v>ASESOR</v>
      </c>
      <c r="I179" s="30">
        <f t="shared" si="56"/>
        <v>3900000</v>
      </c>
      <c r="J179" s="16">
        <v>28</v>
      </c>
      <c r="K179" s="30">
        <f t="shared" si="45"/>
        <v>3640000</v>
      </c>
      <c r="L179" s="36">
        <f>IF(I179&lt;='Valores Vigentes'!D$4*2,'Valores Vigentes'!$D$5/30*J179,0)</f>
        <v>0</v>
      </c>
      <c r="M179" s="36">
        <f t="shared" si="46"/>
        <v>54600</v>
      </c>
      <c r="N179" s="36">
        <f t="shared" si="47"/>
        <v>127400.00000000001</v>
      </c>
      <c r="O179" s="36">
        <f t="shared" si="48"/>
        <v>54600</v>
      </c>
      <c r="P179" s="16">
        <f t="shared" si="57"/>
        <v>354545.45454545459</v>
      </c>
      <c r="Q179" s="36">
        <f t="shared" si="58"/>
        <v>8</v>
      </c>
      <c r="R179" s="36">
        <f t="shared" si="49"/>
        <v>0</v>
      </c>
      <c r="S179" s="30">
        <f t="shared" si="50"/>
        <v>3876608.0000000005</v>
      </c>
      <c r="T179" s="30">
        <f>(S179-L179+M179-O179-R179)*'Valores Vigentes'!$D$6</f>
        <v>155064.32000000004</v>
      </c>
      <c r="U179" s="30">
        <f>(S179-L179+M179-O179-R179)*'Valores Vigentes'!$D$7</f>
        <v>155064.32000000004</v>
      </c>
      <c r="V179" s="36">
        <f>IF(I179&gt;'Valores Vigentes'!$D$4*4,I179*1%,0)</f>
        <v>0</v>
      </c>
      <c r="W179" s="36">
        <f t="shared" si="59"/>
        <v>0</v>
      </c>
      <c r="X179" s="36">
        <f t="shared" si="51"/>
        <v>0</v>
      </c>
      <c r="Y179" s="36">
        <f t="shared" si="52"/>
        <v>77532.160000000018</v>
      </c>
      <c r="Z179" s="30">
        <f t="shared" si="53"/>
        <v>387660.8000000001</v>
      </c>
      <c r="AA179" s="30">
        <f t="shared" si="54"/>
        <v>3488947.2</v>
      </c>
    </row>
    <row r="180" spans="1:27" ht="15.75" customHeight="1" x14ac:dyDescent="0.25">
      <c r="A180" s="16" t="str">
        <f>CONCATENATE(G180,COUNTIF($G$14:G180,G180))</f>
        <v>VENTAS78</v>
      </c>
      <c r="B180" s="17" t="s">
        <v>231</v>
      </c>
      <c r="C180" s="17" t="s">
        <v>275</v>
      </c>
      <c r="D180" s="17">
        <v>5</v>
      </c>
      <c r="E180" s="17" t="s">
        <v>276</v>
      </c>
      <c r="F180" s="17" t="s">
        <v>276</v>
      </c>
      <c r="G180" s="17" t="s">
        <v>31</v>
      </c>
      <c r="H180" s="17" t="str">
        <f t="shared" si="55"/>
        <v>ASESOR VENTAS</v>
      </c>
      <c r="I180" s="30">
        <f t="shared" si="56"/>
        <v>2650000</v>
      </c>
      <c r="J180" s="16">
        <v>28</v>
      </c>
      <c r="K180" s="30">
        <f t="shared" si="45"/>
        <v>2473333.333333333</v>
      </c>
      <c r="L180" s="36">
        <f>IF(I180&lt;='Valores Vigentes'!D$4*2,'Valores Vigentes'!$D$5/30*J180,0)</f>
        <v>186666.66666666669</v>
      </c>
      <c r="M180" s="36">
        <f t="shared" si="46"/>
        <v>37099.999999999993</v>
      </c>
      <c r="N180" s="36">
        <f t="shared" si="47"/>
        <v>86566.666666666657</v>
      </c>
      <c r="O180" s="36">
        <f t="shared" si="48"/>
        <v>61833.333333333328</v>
      </c>
      <c r="P180" s="16">
        <f t="shared" si="57"/>
        <v>813068.18181818188</v>
      </c>
      <c r="Q180" s="36">
        <f t="shared" si="58"/>
        <v>27</v>
      </c>
      <c r="R180" s="36">
        <f t="shared" si="49"/>
        <v>0</v>
      </c>
      <c r="S180" s="30">
        <f t="shared" si="50"/>
        <v>2845527</v>
      </c>
      <c r="T180" s="30">
        <f>(S180-L180+M180-O180-R180)*'Valores Vigentes'!$D$6</f>
        <v>105365.08</v>
      </c>
      <c r="U180" s="30">
        <f>(S180-L180+M180-O180-R180)*'Valores Vigentes'!$D$7</f>
        <v>105365.08</v>
      </c>
      <c r="V180" s="36">
        <f>IF(I180&gt;'Valores Vigentes'!$D$4*4,I180*1%,0)</f>
        <v>0</v>
      </c>
      <c r="W180" s="36">
        <f t="shared" si="59"/>
        <v>0</v>
      </c>
      <c r="X180" s="36">
        <f t="shared" si="51"/>
        <v>79500</v>
      </c>
      <c r="Y180" s="36">
        <f t="shared" si="52"/>
        <v>56910.54</v>
      </c>
      <c r="Z180" s="30">
        <f t="shared" si="53"/>
        <v>347140.7</v>
      </c>
      <c r="AA180" s="30">
        <f t="shared" si="54"/>
        <v>2498386.2999999998</v>
      </c>
    </row>
    <row r="181" spans="1:27" ht="15.75" customHeight="1" x14ac:dyDescent="0.25">
      <c r="A181" s="16" t="str">
        <f>CONCATENATE(G181,COUNTIF($G$14:G181,G181))</f>
        <v>COMPRAS22</v>
      </c>
      <c r="B181" s="17" t="s">
        <v>232</v>
      </c>
      <c r="C181" s="17" t="s">
        <v>275</v>
      </c>
      <c r="D181" s="17">
        <v>1</v>
      </c>
      <c r="E181" s="17" t="s">
        <v>276</v>
      </c>
      <c r="F181" s="17" t="s">
        <v>277</v>
      </c>
      <c r="G181" s="17" t="s">
        <v>33</v>
      </c>
      <c r="H181" s="17" t="str">
        <f t="shared" si="55"/>
        <v>AUXILIAR ADMON</v>
      </c>
      <c r="I181" s="30">
        <f t="shared" si="56"/>
        <v>1423500</v>
      </c>
      <c r="J181" s="16">
        <v>30</v>
      </c>
      <c r="K181" s="30">
        <f t="shared" si="45"/>
        <v>1423500</v>
      </c>
      <c r="L181" s="36">
        <f>IF(I181&lt;='Valores Vigentes'!D$4*2,'Valores Vigentes'!$D$5/30*J181,0)</f>
        <v>200000</v>
      </c>
      <c r="M181" s="36">
        <f t="shared" si="46"/>
        <v>35587.5</v>
      </c>
      <c r="N181" s="36">
        <f t="shared" si="47"/>
        <v>0</v>
      </c>
      <c r="O181" s="36">
        <f t="shared" si="48"/>
        <v>21352.5</v>
      </c>
      <c r="P181" s="16">
        <f t="shared" si="57"/>
        <v>404403.40909090906</v>
      </c>
      <c r="Q181" s="36">
        <f t="shared" si="58"/>
        <v>25</v>
      </c>
      <c r="R181" s="36">
        <f t="shared" si="49"/>
        <v>0</v>
      </c>
      <c r="S181" s="30">
        <f t="shared" si="50"/>
        <v>1680465</v>
      </c>
      <c r="T181" s="30">
        <f>(S181-L181+M181-O181-R181)*'Valores Vigentes'!$D$6</f>
        <v>59788</v>
      </c>
      <c r="U181" s="30">
        <f>(S181-L181+M181-O181-R181)*'Valores Vigentes'!$D$7</f>
        <v>59788</v>
      </c>
      <c r="V181" s="36">
        <f>IF(I181&gt;'Valores Vigentes'!$D$4*4,I181*1%,0)</f>
        <v>0</v>
      </c>
      <c r="W181" s="36">
        <f t="shared" si="59"/>
        <v>0</v>
      </c>
      <c r="X181" s="36">
        <f t="shared" si="51"/>
        <v>42705</v>
      </c>
      <c r="Y181" s="36">
        <f t="shared" si="52"/>
        <v>0</v>
      </c>
      <c r="Z181" s="30">
        <f t="shared" si="53"/>
        <v>162281</v>
      </c>
      <c r="AA181" s="30">
        <f t="shared" si="54"/>
        <v>1518184</v>
      </c>
    </row>
    <row r="182" spans="1:27" ht="15.75" customHeight="1" x14ac:dyDescent="0.25">
      <c r="A182" s="16" t="str">
        <f>CONCATENATE(G182,COUNTIF($G$14:G182,G182))</f>
        <v>JURIDICA6</v>
      </c>
      <c r="B182" s="17" t="s">
        <v>233</v>
      </c>
      <c r="C182" s="17" t="s">
        <v>275</v>
      </c>
      <c r="D182" s="17">
        <v>2</v>
      </c>
      <c r="E182" s="17" t="s">
        <v>277</v>
      </c>
      <c r="F182" s="17" t="s">
        <v>276</v>
      </c>
      <c r="G182" s="17" t="s">
        <v>41</v>
      </c>
      <c r="H182" s="17" t="str">
        <f t="shared" si="55"/>
        <v>ASISTENTES</v>
      </c>
      <c r="I182" s="30">
        <f t="shared" si="56"/>
        <v>1626000</v>
      </c>
      <c r="J182" s="16">
        <v>29</v>
      </c>
      <c r="K182" s="30">
        <f t="shared" si="45"/>
        <v>1571800</v>
      </c>
      <c r="L182" s="36">
        <f>IF(I182&lt;='Valores Vigentes'!D$4*2,'Valores Vigentes'!$D$5/30*J182,0)</f>
        <v>193333.33333333334</v>
      </c>
      <c r="M182" s="36">
        <f t="shared" si="46"/>
        <v>23577</v>
      </c>
      <c r="N182" s="36">
        <f t="shared" si="47"/>
        <v>0</v>
      </c>
      <c r="O182" s="36">
        <f t="shared" si="48"/>
        <v>23577</v>
      </c>
      <c r="P182" s="16">
        <f t="shared" si="57"/>
        <v>166295.45454545456</v>
      </c>
      <c r="Q182" s="36">
        <f t="shared" si="58"/>
        <v>9</v>
      </c>
      <c r="R182" s="36">
        <f t="shared" si="49"/>
        <v>0</v>
      </c>
      <c r="S182" s="30">
        <f t="shared" si="50"/>
        <v>1812296.3333333333</v>
      </c>
      <c r="T182" s="30">
        <f>(S182-L182+M182-O182-R182)*'Valores Vigentes'!$D$6</f>
        <v>64758.520000000004</v>
      </c>
      <c r="U182" s="30">
        <f>(S182-L182+M182-O182-R182)*'Valores Vigentes'!$D$7</f>
        <v>64758.520000000004</v>
      </c>
      <c r="V182" s="36">
        <f>IF(I182&gt;'Valores Vigentes'!$D$4*4,I182*1%,0)</f>
        <v>0</v>
      </c>
      <c r="W182" s="36">
        <f t="shared" si="59"/>
        <v>0</v>
      </c>
      <c r="X182" s="36">
        <f t="shared" si="51"/>
        <v>0</v>
      </c>
      <c r="Y182" s="36">
        <f t="shared" si="52"/>
        <v>36245.926666666666</v>
      </c>
      <c r="Z182" s="30">
        <f t="shared" si="53"/>
        <v>165762.96666666667</v>
      </c>
      <c r="AA182" s="30">
        <f t="shared" si="54"/>
        <v>1646533.3666666667</v>
      </c>
    </row>
    <row r="183" spans="1:27" ht="15.75" customHeight="1" x14ac:dyDescent="0.25">
      <c r="A183" s="16" t="str">
        <f>CONCATENATE(G183,COUNTIF($G$14:G183,G183))</f>
        <v>VENTAS79</v>
      </c>
      <c r="B183" s="17" t="s">
        <v>234</v>
      </c>
      <c r="C183" s="17" t="s">
        <v>275</v>
      </c>
      <c r="D183" s="17">
        <v>2</v>
      </c>
      <c r="E183" s="17" t="s">
        <v>276</v>
      </c>
      <c r="F183" s="17" t="s">
        <v>276</v>
      </c>
      <c r="G183" s="17" t="s">
        <v>31</v>
      </c>
      <c r="H183" s="17" t="str">
        <f t="shared" si="55"/>
        <v>ASISTENTES</v>
      </c>
      <c r="I183" s="30">
        <f t="shared" si="56"/>
        <v>1626000</v>
      </c>
      <c r="J183" s="16">
        <v>27</v>
      </c>
      <c r="K183" s="30">
        <f t="shared" si="45"/>
        <v>1463400</v>
      </c>
      <c r="L183" s="36">
        <f>IF(I183&lt;='Valores Vigentes'!D$4*2,'Valores Vigentes'!$D$5/30*J183,0)</f>
        <v>180000</v>
      </c>
      <c r="M183" s="36">
        <f t="shared" si="46"/>
        <v>21951</v>
      </c>
      <c r="N183" s="36">
        <f t="shared" si="47"/>
        <v>51219.000000000007</v>
      </c>
      <c r="O183" s="36">
        <f t="shared" si="48"/>
        <v>36585</v>
      </c>
      <c r="P183" s="16">
        <f t="shared" si="57"/>
        <v>0</v>
      </c>
      <c r="Q183" s="36">
        <f t="shared" si="58"/>
        <v>0</v>
      </c>
      <c r="R183" s="36">
        <f t="shared" si="49"/>
        <v>0</v>
      </c>
      <c r="S183" s="30">
        <f t="shared" si="50"/>
        <v>1753155</v>
      </c>
      <c r="T183" s="30">
        <f>(S183-L183+M183-O183-R183)*'Valores Vigentes'!$D$6</f>
        <v>62340.840000000004</v>
      </c>
      <c r="U183" s="30">
        <f>(S183-L183+M183-O183-R183)*'Valores Vigentes'!$D$7</f>
        <v>62340.840000000004</v>
      </c>
      <c r="V183" s="36">
        <f>IF(I183&gt;'Valores Vigentes'!$D$4*4,I183*1%,0)</f>
        <v>0</v>
      </c>
      <c r="W183" s="36">
        <f t="shared" si="59"/>
        <v>0</v>
      </c>
      <c r="X183" s="36">
        <f t="shared" si="51"/>
        <v>48780</v>
      </c>
      <c r="Y183" s="36">
        <f t="shared" si="52"/>
        <v>35063.1</v>
      </c>
      <c r="Z183" s="30">
        <f t="shared" si="53"/>
        <v>208524.78</v>
      </c>
      <c r="AA183" s="30">
        <f t="shared" si="54"/>
        <v>1544630.22</v>
      </c>
    </row>
    <row r="184" spans="1:27" ht="15.75" customHeight="1" x14ac:dyDescent="0.25">
      <c r="A184" s="16" t="str">
        <f>CONCATENATE(G184,COUNTIF($G$14:G184,G184))</f>
        <v>COMPRAS23</v>
      </c>
      <c r="B184" s="17" t="s">
        <v>235</v>
      </c>
      <c r="C184" s="17" t="s">
        <v>275</v>
      </c>
      <c r="D184" s="17">
        <v>4</v>
      </c>
      <c r="E184" s="17" t="s">
        <v>277</v>
      </c>
      <c r="F184" s="17" t="s">
        <v>276</v>
      </c>
      <c r="G184" s="17" t="s">
        <v>33</v>
      </c>
      <c r="H184" s="17" t="str">
        <f t="shared" si="55"/>
        <v>TÉCNICO PROFESIONAL</v>
      </c>
      <c r="I184" s="30">
        <f t="shared" si="56"/>
        <v>2450000</v>
      </c>
      <c r="J184" s="16">
        <v>25</v>
      </c>
      <c r="K184" s="30">
        <f t="shared" si="45"/>
        <v>2041666.6666666667</v>
      </c>
      <c r="L184" s="36">
        <f>IF(I184&lt;='Valores Vigentes'!D$4*2,'Valores Vigentes'!$D$5/30*J184,0)</f>
        <v>166666.66666666669</v>
      </c>
      <c r="M184" s="36">
        <f t="shared" si="46"/>
        <v>30625</v>
      </c>
      <c r="N184" s="36">
        <f t="shared" si="47"/>
        <v>0</v>
      </c>
      <c r="O184" s="36">
        <f t="shared" si="48"/>
        <v>30625</v>
      </c>
      <c r="P184" s="16">
        <f t="shared" si="57"/>
        <v>55681.818181818177</v>
      </c>
      <c r="Q184" s="36">
        <f t="shared" si="58"/>
        <v>2</v>
      </c>
      <c r="R184" s="36">
        <f t="shared" si="49"/>
        <v>0</v>
      </c>
      <c r="S184" s="30">
        <f t="shared" si="50"/>
        <v>2269585.3333333335</v>
      </c>
      <c r="T184" s="30">
        <f>(S184-L184+M184-O184-R184)*'Valores Vigentes'!$D$6</f>
        <v>84116.746666666688</v>
      </c>
      <c r="U184" s="30">
        <f>(S184-L184+M184-O184-R184)*'Valores Vigentes'!$D$7</f>
        <v>84116.746666666688</v>
      </c>
      <c r="V184" s="36">
        <f>IF(I184&gt;'Valores Vigentes'!$D$4*4,I184*1%,0)</f>
        <v>0</v>
      </c>
      <c r="W184" s="36">
        <f t="shared" si="59"/>
        <v>0</v>
      </c>
      <c r="X184" s="36">
        <f t="shared" si="51"/>
        <v>0</v>
      </c>
      <c r="Y184" s="36">
        <f t="shared" si="52"/>
        <v>45391.706666666672</v>
      </c>
      <c r="Z184" s="30">
        <f t="shared" si="53"/>
        <v>213625.20000000004</v>
      </c>
      <c r="AA184" s="30">
        <f t="shared" si="54"/>
        <v>2055960.1333333335</v>
      </c>
    </row>
    <row r="185" spans="1:27" ht="15.75" customHeight="1" x14ac:dyDescent="0.25">
      <c r="A185" s="16" t="str">
        <f>CONCATENATE(G185,COUNTIF($G$14:G185,G185))</f>
        <v>COMPRAS24</v>
      </c>
      <c r="B185" s="17" t="s">
        <v>236</v>
      </c>
      <c r="C185" s="17" t="s">
        <v>278</v>
      </c>
      <c r="D185" s="17">
        <v>5</v>
      </c>
      <c r="E185" s="17" t="s">
        <v>276</v>
      </c>
      <c r="F185" s="17" t="s">
        <v>276</v>
      </c>
      <c r="G185" s="17" t="s">
        <v>33</v>
      </c>
      <c r="H185" s="17" t="str">
        <f t="shared" si="55"/>
        <v>ASESOR VENTAS</v>
      </c>
      <c r="I185" s="30">
        <f t="shared" si="56"/>
        <v>2650000</v>
      </c>
      <c r="J185" s="16">
        <v>26</v>
      </c>
      <c r="K185" s="30">
        <f t="shared" si="45"/>
        <v>2296666.6666666665</v>
      </c>
      <c r="L185" s="36">
        <f>IF(I185&lt;='Valores Vigentes'!D$4*2,'Valores Vigentes'!$D$5/30*J185,0)</f>
        <v>173333.33333333334</v>
      </c>
      <c r="M185" s="36">
        <f t="shared" si="46"/>
        <v>34450</v>
      </c>
      <c r="N185" s="36">
        <f t="shared" si="47"/>
        <v>0</v>
      </c>
      <c r="O185" s="36">
        <f t="shared" si="48"/>
        <v>57416.666666666664</v>
      </c>
      <c r="P185" s="16">
        <f t="shared" si="57"/>
        <v>120454.54545454546</v>
      </c>
      <c r="Q185" s="36">
        <f t="shared" si="58"/>
        <v>4</v>
      </c>
      <c r="R185" s="36">
        <f t="shared" si="49"/>
        <v>0</v>
      </c>
      <c r="S185" s="30">
        <f t="shared" si="50"/>
        <v>2561870.6666666665</v>
      </c>
      <c r="T185" s="30">
        <f>(S185-L185+M185-O185-R185)*'Valores Vigentes'!$D$6</f>
        <v>94622.82666666666</v>
      </c>
      <c r="U185" s="30">
        <f>(S185-L185+M185-O185-R185)*'Valores Vigentes'!$D$7</f>
        <v>94622.82666666666</v>
      </c>
      <c r="V185" s="36">
        <f>IF(I185&gt;'Valores Vigentes'!$D$4*4,I185*1%,0)</f>
        <v>0</v>
      </c>
      <c r="W185" s="36">
        <f t="shared" si="59"/>
        <v>0</v>
      </c>
      <c r="X185" s="36">
        <f t="shared" si="51"/>
        <v>79500</v>
      </c>
      <c r="Y185" s="36">
        <f t="shared" si="52"/>
        <v>51237.41333333333</v>
      </c>
      <c r="Z185" s="30">
        <f t="shared" si="53"/>
        <v>319983.06666666665</v>
      </c>
      <c r="AA185" s="30">
        <f t="shared" si="54"/>
        <v>2241887.5999999996</v>
      </c>
    </row>
    <row r="186" spans="1:27" ht="15.75" customHeight="1" x14ac:dyDescent="0.25"/>
    <row r="187" spans="1:27" ht="15.75" customHeight="1" x14ac:dyDescent="0.25">
      <c r="H187" s="34" t="s">
        <v>291</v>
      </c>
      <c r="I187" s="30">
        <f t="shared" ref="I187:P187" si="60">SUM(I15:I185)</f>
        <v>435978000</v>
      </c>
      <c r="J187" s="16">
        <f t="shared" si="60"/>
        <v>4682</v>
      </c>
      <c r="K187" s="30">
        <f t="shared" si="60"/>
        <v>398106816.66666669</v>
      </c>
      <c r="L187" s="30">
        <f t="shared" si="60"/>
        <v>19206666.666666664</v>
      </c>
      <c r="M187" s="30">
        <f t="shared" si="60"/>
        <v>6607682.25</v>
      </c>
      <c r="N187" s="30">
        <f t="shared" si="60"/>
        <v>6454712.8333333349</v>
      </c>
      <c r="O187" s="30">
        <f t="shared" si="60"/>
        <v>7800413.9166666679</v>
      </c>
      <c r="P187" s="16">
        <f t="shared" si="60"/>
        <v>75166380.681818217</v>
      </c>
      <c r="Q187" s="30">
        <f t="shared" ref="Q187:AA187" si="61">SUM(Q15:Q185)</f>
        <v>2600</v>
      </c>
      <c r="R187" s="30">
        <f t="shared" si="61"/>
        <v>1875000</v>
      </c>
      <c r="S187" s="30">
        <f t="shared" si="61"/>
        <v>440053892.33333355</v>
      </c>
      <c r="T187" s="30">
        <f t="shared" si="61"/>
        <v>16711179.76</v>
      </c>
      <c r="U187" s="30">
        <f t="shared" si="61"/>
        <v>16711179.76</v>
      </c>
      <c r="V187" s="30">
        <f t="shared" si="61"/>
        <v>125000</v>
      </c>
      <c r="W187" s="30">
        <f t="shared" si="61"/>
        <v>365000</v>
      </c>
      <c r="X187" s="30">
        <f t="shared" si="61"/>
        <v>9888975</v>
      </c>
      <c r="Y187" s="30">
        <f t="shared" si="61"/>
        <v>6168421.8950000005</v>
      </c>
      <c r="Z187" s="30">
        <f t="shared" si="61"/>
        <v>49969756.414999962</v>
      </c>
      <c r="AA187" s="30">
        <f t="shared" si="61"/>
        <v>390084135.91833347</v>
      </c>
    </row>
    <row r="188" spans="1:27" ht="15.75" customHeight="1" x14ac:dyDescent="0.25">
      <c r="H188" s="34" t="s">
        <v>292</v>
      </c>
      <c r="I188" s="30">
        <f>AVERAGE(I15:I185)</f>
        <v>2549578.9473684211</v>
      </c>
      <c r="J188" s="37">
        <f t="shared" ref="J188:AA188" si="62">AVERAGE(J15:J185)</f>
        <v>27.380116959064328</v>
      </c>
      <c r="K188" s="30">
        <f t="shared" si="62"/>
        <v>2328110.0389863551</v>
      </c>
      <c r="L188" s="30">
        <f t="shared" si="62"/>
        <v>112319.68810916178</v>
      </c>
      <c r="M188" s="30">
        <f t="shared" si="62"/>
        <v>38641.416666666664</v>
      </c>
      <c r="N188" s="30">
        <f t="shared" si="62"/>
        <v>37746.858674463947</v>
      </c>
      <c r="O188" s="30">
        <f t="shared" si="62"/>
        <v>45616.455653021447</v>
      </c>
      <c r="P188" s="37">
        <f t="shared" si="62"/>
        <v>439569.47767145158</v>
      </c>
      <c r="Q188" s="30">
        <f t="shared" si="62"/>
        <v>15.2046783625731</v>
      </c>
      <c r="R188" s="30">
        <f t="shared" si="62"/>
        <v>10964.912280701754</v>
      </c>
      <c r="S188" s="30">
        <f t="shared" si="62"/>
        <v>2573414.5750487344</v>
      </c>
      <c r="T188" s="30">
        <f t="shared" si="62"/>
        <v>97726.197426900588</v>
      </c>
      <c r="U188" s="30">
        <f t="shared" si="62"/>
        <v>97726.197426900588</v>
      </c>
      <c r="V188" s="30">
        <f t="shared" si="62"/>
        <v>730.9941520467836</v>
      </c>
      <c r="W188" s="30">
        <f t="shared" si="62"/>
        <v>2134.5029239766081</v>
      </c>
      <c r="X188" s="30">
        <f t="shared" si="62"/>
        <v>57830.26315789474</v>
      </c>
      <c r="Y188" s="30">
        <f t="shared" si="62"/>
        <v>36072.642660818718</v>
      </c>
      <c r="Z188" s="30">
        <f t="shared" si="62"/>
        <v>292220.79774853779</v>
      </c>
      <c r="AA188" s="30">
        <f t="shared" si="62"/>
        <v>2281193.7773001958</v>
      </c>
    </row>
    <row r="189" spans="1:27" ht="15.75" customHeight="1" x14ac:dyDescent="0.25">
      <c r="H189" s="34" t="s">
        <v>293</v>
      </c>
      <c r="I189" s="30">
        <f>MAX(I15:I185)</f>
        <v>6500000</v>
      </c>
      <c r="J189" s="37">
        <f t="shared" ref="J189:AA189" si="63">MAX(J15:J185)</f>
        <v>30</v>
      </c>
      <c r="K189" s="30">
        <f t="shared" si="63"/>
        <v>6066666.666666666</v>
      </c>
      <c r="L189" s="30">
        <f t="shared" si="63"/>
        <v>200000</v>
      </c>
      <c r="M189" s="30">
        <f t="shared" si="63"/>
        <v>97500</v>
      </c>
      <c r="N189" s="30">
        <f t="shared" si="63"/>
        <v>131950</v>
      </c>
      <c r="O189" s="30">
        <f t="shared" si="63"/>
        <v>151666.66666666666</v>
      </c>
      <c r="P189" s="37">
        <f t="shared" si="63"/>
        <v>1698863.6363636362</v>
      </c>
      <c r="Q189" s="30">
        <f t="shared" si="63"/>
        <v>30</v>
      </c>
      <c r="R189" s="30">
        <f t="shared" si="63"/>
        <v>975000</v>
      </c>
      <c r="S189" s="30">
        <f t="shared" si="63"/>
        <v>7284356.3333333321</v>
      </c>
      <c r="T189" s="30">
        <f t="shared" si="63"/>
        <v>249947.58666666661</v>
      </c>
      <c r="U189" s="30">
        <f t="shared" si="63"/>
        <v>249947.58666666661</v>
      </c>
      <c r="V189" s="30">
        <f t="shared" si="63"/>
        <v>65000</v>
      </c>
      <c r="W189" s="30">
        <f t="shared" si="63"/>
        <v>85000</v>
      </c>
      <c r="X189" s="30">
        <f t="shared" si="63"/>
        <v>195000</v>
      </c>
      <c r="Y189" s="30">
        <f t="shared" si="63"/>
        <v>145687.12666666665</v>
      </c>
      <c r="Z189" s="30">
        <f t="shared" si="63"/>
        <v>990582.29999999981</v>
      </c>
      <c r="AA189" s="30">
        <f t="shared" si="63"/>
        <v>6293774.0333333323</v>
      </c>
    </row>
    <row r="190" spans="1:27" ht="15.75" customHeight="1" x14ac:dyDescent="0.25">
      <c r="H190" s="34" t="s">
        <v>294</v>
      </c>
      <c r="I190" s="30">
        <f>MIN(I15:I185)</f>
        <v>1423500</v>
      </c>
      <c r="J190" s="37">
        <f t="shared" ref="J190:AA190" si="64">MIN(J15:J185)</f>
        <v>25</v>
      </c>
      <c r="K190" s="30">
        <f t="shared" si="64"/>
        <v>1186250</v>
      </c>
      <c r="L190" s="30">
        <f t="shared" si="64"/>
        <v>0</v>
      </c>
      <c r="M190" s="30">
        <f t="shared" si="64"/>
        <v>17793.75</v>
      </c>
      <c r="N190" s="30">
        <f t="shared" si="64"/>
        <v>0</v>
      </c>
      <c r="O190" s="30">
        <f t="shared" si="64"/>
        <v>14092</v>
      </c>
      <c r="P190" s="37">
        <f t="shared" si="64"/>
        <v>0</v>
      </c>
      <c r="Q190" s="30">
        <f t="shared" si="64"/>
        <v>0</v>
      </c>
      <c r="R190" s="30">
        <f t="shared" si="64"/>
        <v>0</v>
      </c>
      <c r="S190" s="30">
        <f t="shared" si="64"/>
        <v>1388506.1666666667</v>
      </c>
      <c r="T190" s="30">
        <f t="shared" si="64"/>
        <v>48873.58</v>
      </c>
      <c r="U190" s="30">
        <f t="shared" si="64"/>
        <v>48873.58</v>
      </c>
      <c r="V190" s="30">
        <f t="shared" si="64"/>
        <v>0</v>
      </c>
      <c r="W190" s="30">
        <f t="shared" si="64"/>
        <v>0</v>
      </c>
      <c r="X190" s="30">
        <f t="shared" si="64"/>
        <v>0</v>
      </c>
      <c r="Y190" s="30">
        <f t="shared" si="64"/>
        <v>0</v>
      </c>
      <c r="Z190" s="30">
        <f t="shared" si="64"/>
        <v>120065.52</v>
      </c>
      <c r="AA190" s="30">
        <f t="shared" si="64"/>
        <v>1231918.1333333335</v>
      </c>
    </row>
    <row r="191" spans="1:27" ht="15.75" customHeight="1" x14ac:dyDescent="0.25">
      <c r="H191" s="34" t="s">
        <v>295</v>
      </c>
      <c r="I191" s="16">
        <f>COUNT(I15:I185)</f>
        <v>171</v>
      </c>
      <c r="J191" s="16">
        <f t="shared" ref="J191:AA191" si="65">COUNT(J15:J185)</f>
        <v>171</v>
      </c>
      <c r="K191" s="16">
        <f t="shared" si="65"/>
        <v>171</v>
      </c>
      <c r="L191" s="16">
        <f t="shared" si="65"/>
        <v>171</v>
      </c>
      <c r="M191" s="16">
        <f t="shared" si="65"/>
        <v>171</v>
      </c>
      <c r="N191" s="16">
        <f t="shared" si="65"/>
        <v>171</v>
      </c>
      <c r="O191" s="16">
        <f t="shared" si="65"/>
        <v>171</v>
      </c>
      <c r="P191" s="16">
        <f t="shared" si="65"/>
        <v>171</v>
      </c>
      <c r="Q191" s="16">
        <f t="shared" si="65"/>
        <v>171</v>
      </c>
      <c r="R191" s="16">
        <f t="shared" si="65"/>
        <v>171</v>
      </c>
      <c r="S191" s="16">
        <f t="shared" si="65"/>
        <v>171</v>
      </c>
      <c r="T191" s="16">
        <f t="shared" si="65"/>
        <v>171</v>
      </c>
      <c r="U191" s="16">
        <f t="shared" si="65"/>
        <v>171</v>
      </c>
      <c r="V191" s="16">
        <f t="shared" si="65"/>
        <v>171</v>
      </c>
      <c r="W191" s="16">
        <f t="shared" si="65"/>
        <v>171</v>
      </c>
      <c r="X191" s="16">
        <f t="shared" si="65"/>
        <v>171</v>
      </c>
      <c r="Y191" s="16">
        <f t="shared" si="65"/>
        <v>171</v>
      </c>
      <c r="Z191" s="16">
        <f t="shared" si="65"/>
        <v>171</v>
      </c>
      <c r="AA191" s="16">
        <f t="shared" si="65"/>
        <v>171</v>
      </c>
    </row>
    <row r="192" spans="1:27" ht="15.75" customHeight="1" x14ac:dyDescent="0.25"/>
    <row r="193" spans="8:27" ht="15.75" customHeight="1" x14ac:dyDescent="0.25">
      <c r="H193" s="34" t="s">
        <v>291</v>
      </c>
      <c r="I193" s="30">
        <v>435978000</v>
      </c>
      <c r="J193" s="30">
        <v>4682</v>
      </c>
      <c r="K193" s="30">
        <v>398106816.66666669</v>
      </c>
      <c r="L193" s="30">
        <v>19206666.666666664</v>
      </c>
      <c r="M193" s="30">
        <v>6607682.25</v>
      </c>
      <c r="N193" s="30">
        <v>6454712.8333333349</v>
      </c>
      <c r="O193" s="30">
        <v>7800413.9166666679</v>
      </c>
      <c r="P193" s="30">
        <v>7778</v>
      </c>
      <c r="Q193" s="30">
        <v>148079960.79545459</v>
      </c>
      <c r="R193" s="30">
        <v>1875000</v>
      </c>
      <c r="S193" s="30">
        <v>588131253.12878811</v>
      </c>
      <c r="T193" s="30">
        <v>22634274.191818189</v>
      </c>
      <c r="U193" s="30">
        <v>22634274.191818189</v>
      </c>
      <c r="V193" s="30">
        <v>125000</v>
      </c>
      <c r="W193" s="30">
        <v>4039000</v>
      </c>
      <c r="X193" s="30">
        <v>9888975</v>
      </c>
      <c r="Y193" s="30">
        <v>8206245.0122727295</v>
      </c>
      <c r="Z193" s="30">
        <v>67527768.395909101</v>
      </c>
      <c r="AA193" s="30">
        <v>520603484.73287868</v>
      </c>
    </row>
    <row r="194" spans="8:27" ht="15.75" customHeight="1" x14ac:dyDescent="0.25">
      <c r="H194" s="34" t="s">
        <v>292</v>
      </c>
      <c r="I194" s="30">
        <v>2549578.9473684211</v>
      </c>
      <c r="J194" s="30">
        <v>27.380116959064328</v>
      </c>
      <c r="K194" s="30">
        <v>2328110.0389863551</v>
      </c>
      <c r="L194" s="30">
        <v>112319.68810916178</v>
      </c>
      <c r="M194" s="30">
        <v>38641.416666666664</v>
      </c>
      <c r="N194" s="30">
        <v>37746.858674463947</v>
      </c>
      <c r="O194" s="30">
        <v>45616.455653021447</v>
      </c>
      <c r="P194" s="30">
        <v>45.485380116959064</v>
      </c>
      <c r="Q194" s="30">
        <v>865964.68301435432</v>
      </c>
      <c r="R194" s="30">
        <v>10964.912280701754</v>
      </c>
      <c r="S194" s="30">
        <v>3439364.0533847259</v>
      </c>
      <c r="T194" s="30">
        <v>132364.17656034027</v>
      </c>
      <c r="U194" s="30">
        <v>132364.17656034027</v>
      </c>
      <c r="V194" s="30">
        <v>730.9941520467836</v>
      </c>
      <c r="W194" s="30">
        <v>23619.883040935674</v>
      </c>
      <c r="X194" s="30">
        <v>57830.26315789474</v>
      </c>
      <c r="Y194" s="30">
        <v>47989.736913875611</v>
      </c>
      <c r="Z194" s="30">
        <v>394899.23038543336</v>
      </c>
      <c r="AA194" s="30">
        <v>3044464.8229992907</v>
      </c>
    </row>
    <row r="195" spans="8:27" ht="15.75" customHeight="1" x14ac:dyDescent="0.25"/>
    <row r="196" spans="8:27" ht="15.75" customHeight="1" x14ac:dyDescent="0.25"/>
    <row r="197" spans="8:27" ht="15.75" customHeight="1" x14ac:dyDescent="0.25"/>
    <row r="198" spans="8:27" ht="15.75" customHeight="1" x14ac:dyDescent="0.25"/>
    <row r="199" spans="8:27" ht="15.75" customHeight="1" x14ac:dyDescent="0.25"/>
    <row r="200" spans="8:27" ht="15.75" customHeight="1" x14ac:dyDescent="0.25"/>
    <row r="201" spans="8:27" ht="15.75" customHeight="1" x14ac:dyDescent="0.25"/>
    <row r="202" spans="8:27" ht="15.75" customHeight="1" x14ac:dyDescent="0.25"/>
    <row r="203" spans="8:27" ht="15.75" customHeight="1" x14ac:dyDescent="0.25"/>
    <row r="204" spans="8:27" ht="15.75" customHeight="1" x14ac:dyDescent="0.25"/>
    <row r="205" spans="8:27" ht="15.75" customHeight="1" x14ac:dyDescent="0.25"/>
    <row r="206" spans="8:27" ht="15.75" customHeight="1" x14ac:dyDescent="0.25"/>
    <row r="207" spans="8:27" ht="15.75" customHeight="1" x14ac:dyDescent="0.25"/>
    <row r="208" spans="8:2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A13:J13"/>
    <mergeCell ref="T13:AA13"/>
    <mergeCell ref="V7:W7"/>
    <mergeCell ref="V8:W8"/>
    <mergeCell ref="V9:W9"/>
    <mergeCell ref="V10:W10"/>
    <mergeCell ref="V12:AA12"/>
    <mergeCell ref="K13:S13"/>
    <mergeCell ref="V6:W6"/>
    <mergeCell ref="V2:AA2"/>
    <mergeCell ref="V3:W3"/>
    <mergeCell ref="Y3:Z3"/>
    <mergeCell ref="V4:W4"/>
    <mergeCell ref="V5:W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A1000"/>
  <sheetViews>
    <sheetView topLeftCell="O4" workbookViewId="0">
      <selection activeCell="Z14" sqref="Z14"/>
    </sheetView>
  </sheetViews>
  <sheetFormatPr baseColWidth="10" defaultColWidth="14.42578125" defaultRowHeight="15" customHeight="1" x14ac:dyDescent="0.25"/>
  <cols>
    <col min="1" max="1" width="39.7109375" customWidth="1"/>
    <col min="2" max="2" width="10.85546875" customWidth="1"/>
    <col min="3" max="3" width="10.5703125" customWidth="1"/>
    <col min="4" max="4" width="5.28515625" customWidth="1"/>
    <col min="5" max="5" width="8.140625" customWidth="1"/>
    <col min="6" max="6" width="15" customWidth="1"/>
    <col min="7" max="7" width="21.7109375" bestFit="1" customWidth="1"/>
    <col min="8" max="8" width="13.7109375" customWidth="1"/>
    <col min="9" max="9" width="18.85546875" customWidth="1"/>
    <col min="10" max="10" width="19.7109375" customWidth="1"/>
    <col min="11" max="11" width="23.85546875" customWidth="1"/>
    <col min="12" max="12" width="21.28515625" customWidth="1"/>
    <col min="13" max="13" width="26.5703125" customWidth="1"/>
    <col min="14" max="14" width="19.7109375" customWidth="1"/>
    <col min="15" max="15" width="18.28515625" customWidth="1"/>
    <col min="16" max="16" width="18.85546875" customWidth="1"/>
    <col min="17" max="17" width="16.42578125" customWidth="1"/>
    <col min="18" max="19" width="15.140625" customWidth="1"/>
    <col min="20" max="20" width="15.5703125" bestFit="1" customWidth="1"/>
    <col min="21" max="21" width="13.28515625" customWidth="1"/>
    <col min="22" max="22" width="11.85546875" customWidth="1"/>
    <col min="23" max="24" width="13.7109375" customWidth="1"/>
    <col min="25" max="25" width="16.42578125" customWidth="1"/>
    <col min="26" max="26" width="16.7109375" bestFit="1" customWidth="1"/>
    <col min="27" max="27" width="10.7109375" customWidth="1"/>
  </cols>
  <sheetData>
    <row r="2" spans="1:27" ht="15.75" x14ac:dyDescent="0.25">
      <c r="U2" s="72" t="s">
        <v>237</v>
      </c>
      <c r="V2" s="73"/>
      <c r="W2" s="73"/>
      <c r="X2" s="73"/>
      <c r="Y2" s="73"/>
      <c r="Z2" s="73"/>
    </row>
    <row r="3" spans="1:27" ht="16.5" x14ac:dyDescent="0.3">
      <c r="U3" s="69" t="s">
        <v>238</v>
      </c>
      <c r="V3" s="73"/>
      <c r="W3" s="57" t="s">
        <v>239</v>
      </c>
      <c r="X3" s="69" t="s">
        <v>240</v>
      </c>
      <c r="Y3" s="73"/>
      <c r="Z3" s="57" t="s">
        <v>239</v>
      </c>
    </row>
    <row r="4" spans="1:27" ht="16.5" x14ac:dyDescent="0.3">
      <c r="U4" s="70" t="s">
        <v>241</v>
      </c>
      <c r="V4" s="71"/>
      <c r="W4" s="54">
        <f>($R$187-$K$187-$L$187-$N$187-$Q$187)*'Valores Vigentes'!$D$6</f>
        <v>19189116.40727273</v>
      </c>
      <c r="X4" s="70" t="s">
        <v>242</v>
      </c>
      <c r="Y4" s="70"/>
      <c r="Z4" s="55">
        <f>$R$187*'Valores Vigentes'!$D$20</f>
        <v>42934806.084595971</v>
      </c>
    </row>
    <row r="5" spans="1:27" ht="16.5" x14ac:dyDescent="0.3">
      <c r="U5" s="70" t="s">
        <v>243</v>
      </c>
      <c r="V5" s="71"/>
      <c r="W5" s="54">
        <f>($R$187-$K$187-$L$187-$N$187-$Q$187)*'Valores Vigentes'!$D$7</f>
        <v>19189116.40727273</v>
      </c>
      <c r="X5" s="70" t="s">
        <v>244</v>
      </c>
      <c r="Y5" s="70"/>
      <c r="Z5" s="55">
        <f>$R$187*'Valores Vigentes'!$D$23</f>
        <v>5152176.7301515164</v>
      </c>
    </row>
    <row r="6" spans="1:27" ht="16.5" x14ac:dyDescent="0.3">
      <c r="U6" s="70" t="s">
        <v>245</v>
      </c>
      <c r="V6" s="71"/>
      <c r="W6" s="54">
        <f>($R$187-$K$187-$L$187-$N$187-$Q$187)*'Valores Vigentes'!$D$25</f>
        <v>2504179.6911490913</v>
      </c>
      <c r="X6" s="70" t="s">
        <v>21</v>
      </c>
      <c r="Y6" s="70"/>
      <c r="Z6" s="55">
        <f>$R$187*'Valores Vigentes'!$D$21</f>
        <v>42934806.084595971</v>
      </c>
    </row>
    <row r="7" spans="1:27" ht="16.5" x14ac:dyDescent="0.3">
      <c r="U7" s="70" t="s">
        <v>17</v>
      </c>
      <c r="V7" s="71"/>
      <c r="W7" s="54">
        <f>($R$187-$K$187-$L$187-$N$187-$Q$187)*'Valores Vigentes'!$D$17</f>
        <v>14391837.305454547</v>
      </c>
      <c r="X7" s="70" t="s">
        <v>22</v>
      </c>
      <c r="Y7" s="70"/>
      <c r="Z7" s="54">
        <f>($R$187-$K$187-$L$187-$N$187-$Q$187)*'Valores Vigentes'!$D$22</f>
        <v>19988662.924242429</v>
      </c>
    </row>
    <row r="8" spans="1:27" ht="16.5" x14ac:dyDescent="0.3">
      <c r="U8" s="70" t="s">
        <v>246</v>
      </c>
      <c r="V8" s="71"/>
      <c r="W8" s="54">
        <f>($R$187-$K$187-$L$187-$N$187-$Q$187)*'Valores Vigentes'!$D$16</f>
        <v>9594558.203636365</v>
      </c>
      <c r="X8" s="56"/>
      <c r="Y8" s="56"/>
      <c r="Z8" s="55"/>
    </row>
    <row r="9" spans="1:27" ht="16.5" x14ac:dyDescent="0.3">
      <c r="U9" s="70" t="s">
        <v>247</v>
      </c>
      <c r="V9" s="71"/>
      <c r="W9" s="54">
        <f>($R$187-$K$187-$L$187-$N$187-$Q$187)*'Valores Vigentes'!$D$18</f>
        <v>19189116.40727273</v>
      </c>
      <c r="X9" s="56"/>
      <c r="Y9" s="56"/>
      <c r="Z9" s="55"/>
    </row>
    <row r="10" spans="1:27" ht="16.5" x14ac:dyDescent="0.3">
      <c r="U10" s="69" t="s">
        <v>248</v>
      </c>
      <c r="V10" s="73"/>
      <c r="W10" s="58">
        <f>SUM(W4:W9)</f>
        <v>84057924.422058195</v>
      </c>
      <c r="X10" s="69" t="s">
        <v>248</v>
      </c>
      <c r="Y10" s="69"/>
      <c r="Z10" s="59">
        <f>SUM(Z4:Z7)</f>
        <v>111010451.8235859</v>
      </c>
    </row>
    <row r="11" spans="1:27" x14ac:dyDescent="0.25">
      <c r="U11" s="8"/>
      <c r="V11" s="8"/>
      <c r="W11" s="8"/>
      <c r="X11" s="8"/>
      <c r="Y11" s="8"/>
      <c r="Z11" s="8"/>
    </row>
    <row r="12" spans="1:27" ht="16.5" x14ac:dyDescent="0.25">
      <c r="U12" s="67" t="s">
        <v>249</v>
      </c>
      <c r="V12" s="61"/>
      <c r="W12" s="61"/>
      <c r="X12" s="61"/>
      <c r="Y12" s="61"/>
      <c r="Z12" s="61"/>
    </row>
    <row r="13" spans="1:27" ht="15" customHeight="1" x14ac:dyDescent="0.25">
      <c r="A13" s="64" t="s">
        <v>250</v>
      </c>
      <c r="B13" s="68"/>
      <c r="C13" s="68"/>
      <c r="D13" s="68"/>
      <c r="E13" s="68"/>
      <c r="F13" s="68"/>
      <c r="G13" s="68"/>
      <c r="H13" s="68"/>
      <c r="I13" s="68"/>
      <c r="J13" s="64" t="s">
        <v>251</v>
      </c>
      <c r="K13" s="68"/>
      <c r="L13" s="68"/>
      <c r="M13" s="68"/>
      <c r="N13" s="68"/>
      <c r="O13" s="68"/>
      <c r="P13" s="68"/>
      <c r="Q13" s="68"/>
      <c r="R13" s="68"/>
      <c r="S13" s="64" t="s">
        <v>252</v>
      </c>
      <c r="T13" s="64"/>
      <c r="U13" s="64"/>
      <c r="V13" s="64"/>
      <c r="W13" s="64"/>
      <c r="X13" s="64"/>
      <c r="Y13" s="64"/>
      <c r="Z13" s="64"/>
    </row>
    <row r="14" spans="1:27" ht="47.25" customHeight="1" x14ac:dyDescent="0.25">
      <c r="A14" s="32" t="s">
        <v>55</v>
      </c>
      <c r="B14" s="32" t="s">
        <v>253</v>
      </c>
      <c r="C14" s="32" t="s">
        <v>56</v>
      </c>
      <c r="D14" s="33" t="s">
        <v>254</v>
      </c>
      <c r="E14" s="33" t="s">
        <v>255</v>
      </c>
      <c r="F14" s="32" t="s">
        <v>256</v>
      </c>
      <c r="G14" s="32" t="s">
        <v>29</v>
      </c>
      <c r="H14" s="32" t="s">
        <v>53</v>
      </c>
      <c r="I14" s="32" t="s">
        <v>257</v>
      </c>
      <c r="J14" s="32" t="s">
        <v>258</v>
      </c>
      <c r="K14" s="32" t="s">
        <v>259</v>
      </c>
      <c r="L14" s="32" t="s">
        <v>260</v>
      </c>
      <c r="M14" s="32" t="s">
        <v>261</v>
      </c>
      <c r="N14" s="32" t="s">
        <v>262</v>
      </c>
      <c r="O14" s="32" t="s">
        <v>263</v>
      </c>
      <c r="P14" s="32" t="s">
        <v>264</v>
      </c>
      <c r="Q14" s="32" t="s">
        <v>265</v>
      </c>
      <c r="R14" s="32" t="s">
        <v>266</v>
      </c>
      <c r="S14" s="32" t="s">
        <v>267</v>
      </c>
      <c r="T14" s="32" t="s">
        <v>268</v>
      </c>
      <c r="U14" s="32" t="s">
        <v>269</v>
      </c>
      <c r="V14" s="32" t="s">
        <v>270</v>
      </c>
      <c r="W14" s="32" t="s">
        <v>271</v>
      </c>
      <c r="X14" s="32" t="s">
        <v>272</v>
      </c>
      <c r="Y14" s="32" t="s">
        <v>273</v>
      </c>
      <c r="Z14" s="35" t="s">
        <v>274</v>
      </c>
      <c r="AA14" s="9"/>
    </row>
    <row r="15" spans="1:27" x14ac:dyDescent="0.25">
      <c r="A15" s="17" t="s">
        <v>66</v>
      </c>
      <c r="B15" s="17" t="s">
        <v>275</v>
      </c>
      <c r="C15" s="17">
        <v>7</v>
      </c>
      <c r="D15" s="17" t="s">
        <v>276</v>
      </c>
      <c r="E15" s="17" t="s">
        <v>276</v>
      </c>
      <c r="F15" s="17" t="s">
        <v>31</v>
      </c>
      <c r="G15" s="17" t="str">
        <f t="shared" ref="G15:G46" si="0">VLOOKUP(C15,SALARIOSACTUALES,2,0)</f>
        <v>COORDINADOR</v>
      </c>
      <c r="H15" s="30">
        <f t="shared" ref="H15:H46" si="1">VLOOKUP(C15,SALARIOSACTUALES,3,0)</f>
        <v>3250000</v>
      </c>
      <c r="I15" s="16">
        <v>26</v>
      </c>
      <c r="J15" s="30">
        <f>H15/30*I15</f>
        <v>2816666.6666666665</v>
      </c>
      <c r="K15" s="36">
        <f>IF(H15&lt;='Valores Vigentes'!D$4*2,'Valores Vigentes'!$D$5/30*I15,0)</f>
        <v>0</v>
      </c>
      <c r="L15" s="36">
        <f>IF(I15=30,J15*2.5%,J15*1.5%)</f>
        <v>42249.999999999993</v>
      </c>
      <c r="M15" s="36">
        <f>IF(F15="VENTAS",J15*3.5%,0)</f>
        <v>98583.333333333343</v>
      </c>
      <c r="N15" s="36">
        <f>IF(AND(D15="SI",E15="SI"),J15*2.5%,IF(OR(D15="SI",E15="SI"),J15*1.5%,J15*1%))</f>
        <v>70416.666666666672</v>
      </c>
      <c r="O15" s="37">
        <f t="shared" ref="O15:O46" si="2">VLOOKUP(A15,HORASEXTRAS,11,0)</f>
        <v>8</v>
      </c>
      <c r="P15" s="36">
        <f t="shared" ref="P15:P46" si="3">VLOOKUP(A15,HORASEXTRAS,10,0)</f>
        <v>295454.54545454541</v>
      </c>
      <c r="Q15" s="36">
        <f>IF(OR(C15=9,C15=10),H15*15%,0)</f>
        <v>0</v>
      </c>
      <c r="R15" s="30">
        <f>SUM(J15:Q15)-O15</f>
        <v>3323371.2121212119</v>
      </c>
      <c r="S15" s="30">
        <f>(R15-K15+L15-N15-Q15)*'Valores Vigentes'!$D$6</f>
        <v>131808.18181818182</v>
      </c>
      <c r="T15" s="30">
        <f>(R15-K15+L15-N15-Q15)*'Valores Vigentes'!$D$7</f>
        <v>131808.18181818182</v>
      </c>
      <c r="U15" s="36">
        <f>IF(H15&gt;'Valores Vigentes'!$D$4*4,H15*1%,0)</f>
        <v>0</v>
      </c>
      <c r="V15" s="36">
        <f t="shared" ref="V15:V46" si="4">HLOOKUP(R15,RETEFUENTE,2,1)</f>
        <v>0</v>
      </c>
      <c r="W15" s="36">
        <f>IF(D15="SI",H15*3%,0)</f>
        <v>97500</v>
      </c>
      <c r="X15" s="36">
        <f>IF(E15="SI",R15*2%,0)</f>
        <v>66467.42424242424</v>
      </c>
      <c r="Y15" s="30">
        <f>SUM(S15:X15)</f>
        <v>427583.7878787879</v>
      </c>
      <c r="Z15" s="30">
        <f>R15-Y15</f>
        <v>2895787.4242424238</v>
      </c>
    </row>
    <row r="16" spans="1:27" x14ac:dyDescent="0.25">
      <c r="A16" s="17" t="s">
        <v>67</v>
      </c>
      <c r="B16" s="17" t="s">
        <v>275</v>
      </c>
      <c r="C16" s="17">
        <v>7</v>
      </c>
      <c r="D16" s="17" t="s">
        <v>276</v>
      </c>
      <c r="E16" s="17" t="s">
        <v>277</v>
      </c>
      <c r="F16" s="17" t="s">
        <v>31</v>
      </c>
      <c r="G16" s="17" t="str">
        <f t="shared" si="0"/>
        <v>COORDINADOR</v>
      </c>
      <c r="H16" s="30">
        <f t="shared" si="1"/>
        <v>3250000</v>
      </c>
      <c r="I16" s="16">
        <v>25</v>
      </c>
      <c r="J16" s="30">
        <f t="shared" ref="J16:J79" si="5">H16/30*I16</f>
        <v>2708333.333333333</v>
      </c>
      <c r="K16" s="36">
        <f>IF(H16&lt;='Valores Vigentes'!D$4*2,'Valores Vigentes'!$D$5/30*I16,0)</f>
        <v>0</v>
      </c>
      <c r="L16" s="36">
        <f t="shared" ref="L16:L79" si="6">IF(I16=30,J16*2.5%,J16*1.5%)</f>
        <v>40624.999999999993</v>
      </c>
      <c r="M16" s="36">
        <f t="shared" ref="M16:M79" si="7">IF(F16="VENTAS",J16*3.5%,0)</f>
        <v>94791.666666666672</v>
      </c>
      <c r="N16" s="36">
        <f t="shared" ref="N16:N79" si="8">IF(AND(D16="SI",E16="SI"),J16*2.5%,IF(OR(D16="SI",E16="SI"),J16*1.5%,J16*1%))</f>
        <v>40624.999999999993</v>
      </c>
      <c r="O16" s="37">
        <f t="shared" si="2"/>
        <v>16</v>
      </c>
      <c r="P16" s="36">
        <f t="shared" si="3"/>
        <v>590909.09090909082</v>
      </c>
      <c r="Q16" s="36">
        <f t="shared" ref="Q16:Q79" si="9">IF(OR(C16=9,C16=10),H16*15%,0)</f>
        <v>0</v>
      </c>
      <c r="R16" s="30">
        <f t="shared" ref="R16:R79" si="10">SUM(J16:Q16)-O16</f>
        <v>3475284.0909090904</v>
      </c>
      <c r="S16" s="30">
        <f>(R16-K16+L16-N16-Q16)*'Valores Vigentes'!$D$6</f>
        <v>139011.36363636362</v>
      </c>
      <c r="T16" s="30">
        <f>(R16-K16+L16-N16-Q16)*'Valores Vigentes'!$D$7</f>
        <v>139011.36363636362</v>
      </c>
      <c r="U16" s="36">
        <f>IF(H16&gt;'Valores Vigentes'!$D$4*4,H16*1%,0)</f>
        <v>0</v>
      </c>
      <c r="V16" s="36">
        <f t="shared" si="4"/>
        <v>0</v>
      </c>
      <c r="W16" s="36">
        <f t="shared" ref="W16:W79" si="11">IF(D16="SI",H16*3%,0)</f>
        <v>97500</v>
      </c>
      <c r="X16" s="36">
        <f t="shared" ref="X16:X79" si="12">IF(E16="SI",R16*2%,0)</f>
        <v>0</v>
      </c>
      <c r="Y16" s="30">
        <f t="shared" ref="Y16:Y79" si="13">SUM(S16:X16)</f>
        <v>375522.72727272724</v>
      </c>
      <c r="Z16" s="30">
        <f t="shared" ref="Z16:Z79" si="14">R16-Y16</f>
        <v>3099761.3636363633</v>
      </c>
    </row>
    <row r="17" spans="1:26" x14ac:dyDescent="0.25">
      <c r="A17" s="17" t="s">
        <v>68</v>
      </c>
      <c r="B17" s="17" t="s">
        <v>278</v>
      </c>
      <c r="C17" s="17">
        <v>5</v>
      </c>
      <c r="D17" s="17" t="s">
        <v>276</v>
      </c>
      <c r="E17" s="17" t="s">
        <v>277</v>
      </c>
      <c r="F17" s="17" t="s">
        <v>33</v>
      </c>
      <c r="G17" s="17" t="str">
        <f t="shared" si="0"/>
        <v>ASESOR VENTAS</v>
      </c>
      <c r="H17" s="30">
        <f t="shared" si="1"/>
        <v>2650000</v>
      </c>
      <c r="I17" s="16">
        <v>30</v>
      </c>
      <c r="J17" s="30">
        <f t="shared" si="5"/>
        <v>2650000</v>
      </c>
      <c r="K17" s="36">
        <f>IF(H17&lt;='Valores Vigentes'!D$4*2,'Valores Vigentes'!$D$5/30*I17,0)</f>
        <v>200000</v>
      </c>
      <c r="L17" s="36">
        <f t="shared" si="6"/>
        <v>66250</v>
      </c>
      <c r="M17" s="36">
        <f t="shared" si="7"/>
        <v>0</v>
      </c>
      <c r="N17" s="36">
        <f t="shared" si="8"/>
        <v>39750</v>
      </c>
      <c r="O17" s="37">
        <f t="shared" si="2"/>
        <v>14</v>
      </c>
      <c r="P17" s="36">
        <f t="shared" si="3"/>
        <v>421590.90909090912</v>
      </c>
      <c r="Q17" s="36">
        <f t="shared" si="9"/>
        <v>0</v>
      </c>
      <c r="R17" s="30">
        <f t="shared" si="10"/>
        <v>3377590.9090909092</v>
      </c>
      <c r="S17" s="30">
        <f>(R17-K17+L17-N17-Q17)*'Valores Vigentes'!$D$6</f>
        <v>128163.63636363637</v>
      </c>
      <c r="T17" s="30">
        <f>(R17-K17+L17-N17-Q17)*'Valores Vigentes'!$D$7</f>
        <v>128163.63636363637</v>
      </c>
      <c r="U17" s="36">
        <f>IF(H17&gt;'Valores Vigentes'!$D$4*4,H17*1%,0)</f>
        <v>0</v>
      </c>
      <c r="V17" s="36">
        <f t="shared" si="4"/>
        <v>0</v>
      </c>
      <c r="W17" s="36">
        <f t="shared" si="11"/>
        <v>79500</v>
      </c>
      <c r="X17" s="36">
        <f t="shared" si="12"/>
        <v>0</v>
      </c>
      <c r="Y17" s="30">
        <f t="shared" si="13"/>
        <v>335827.27272727271</v>
      </c>
      <c r="Z17" s="30">
        <f t="shared" si="14"/>
        <v>3041763.6363636367</v>
      </c>
    </row>
    <row r="18" spans="1:26" x14ac:dyDescent="0.25">
      <c r="A18" s="17" t="s">
        <v>69</v>
      </c>
      <c r="B18" s="17" t="s">
        <v>278</v>
      </c>
      <c r="C18" s="17">
        <v>9</v>
      </c>
      <c r="D18" s="17" t="s">
        <v>277</v>
      </c>
      <c r="E18" s="17" t="s">
        <v>276</v>
      </c>
      <c r="F18" s="17" t="s">
        <v>35</v>
      </c>
      <c r="G18" s="17" t="str">
        <f t="shared" si="0"/>
        <v>JEFE ÁREA</v>
      </c>
      <c r="H18" s="30">
        <f t="shared" si="1"/>
        <v>6000000</v>
      </c>
      <c r="I18" s="16">
        <v>29</v>
      </c>
      <c r="J18" s="30">
        <f t="shared" si="5"/>
        <v>5800000</v>
      </c>
      <c r="K18" s="36">
        <f>IF(H18&lt;='Valores Vigentes'!D$4*2,'Valores Vigentes'!$D$5/30*I18,0)</f>
        <v>0</v>
      </c>
      <c r="L18" s="36">
        <f t="shared" si="6"/>
        <v>87000</v>
      </c>
      <c r="M18" s="36">
        <f t="shared" si="7"/>
        <v>0</v>
      </c>
      <c r="N18" s="36">
        <f t="shared" si="8"/>
        <v>87000</v>
      </c>
      <c r="O18" s="37">
        <f t="shared" si="2"/>
        <v>11</v>
      </c>
      <c r="P18" s="36">
        <f t="shared" si="3"/>
        <v>750000</v>
      </c>
      <c r="Q18" s="36">
        <f t="shared" si="9"/>
        <v>900000</v>
      </c>
      <c r="R18" s="30">
        <f t="shared" si="10"/>
        <v>7624000</v>
      </c>
      <c r="S18" s="30">
        <f>(R18-K18+L18-N18-Q18)*'Valores Vigentes'!$D$6</f>
        <v>268960</v>
      </c>
      <c r="T18" s="30">
        <f>(R18-K18+L18-N18-Q18)*'Valores Vigentes'!$D$7</f>
        <v>268960</v>
      </c>
      <c r="U18" s="36">
        <f>IF(H18&gt;'Valores Vigentes'!$D$4*4,H18*1%,0)</f>
        <v>60000</v>
      </c>
      <c r="V18" s="36">
        <f t="shared" si="4"/>
        <v>85000</v>
      </c>
      <c r="W18" s="36">
        <f t="shared" si="11"/>
        <v>0</v>
      </c>
      <c r="X18" s="36">
        <f t="shared" si="12"/>
        <v>152480</v>
      </c>
      <c r="Y18" s="30">
        <f t="shared" si="13"/>
        <v>835400</v>
      </c>
      <c r="Z18" s="30">
        <f t="shared" si="14"/>
        <v>6788600</v>
      </c>
    </row>
    <row r="19" spans="1:26" x14ac:dyDescent="0.25">
      <c r="A19" s="17" t="s">
        <v>70</v>
      </c>
      <c r="B19" s="17" t="s">
        <v>275</v>
      </c>
      <c r="C19" s="17">
        <v>4</v>
      </c>
      <c r="D19" s="17" t="s">
        <v>276</v>
      </c>
      <c r="E19" s="17" t="s">
        <v>276</v>
      </c>
      <c r="F19" s="17" t="s">
        <v>37</v>
      </c>
      <c r="G19" s="17" t="str">
        <f t="shared" si="0"/>
        <v>TÉCNICO PROFESIONAL</v>
      </c>
      <c r="H19" s="30">
        <f t="shared" si="1"/>
        <v>2450000</v>
      </c>
      <c r="I19" s="16">
        <v>26</v>
      </c>
      <c r="J19" s="30">
        <f t="shared" si="5"/>
        <v>2123333.3333333335</v>
      </c>
      <c r="K19" s="36">
        <f>IF(H19&lt;='Valores Vigentes'!D$4*2,'Valores Vigentes'!$D$5/30*I19,0)</f>
        <v>173333.33333333334</v>
      </c>
      <c r="L19" s="36">
        <f t="shared" si="6"/>
        <v>31850</v>
      </c>
      <c r="M19" s="36">
        <f t="shared" si="7"/>
        <v>0</v>
      </c>
      <c r="N19" s="36">
        <f t="shared" si="8"/>
        <v>53083.333333333343</v>
      </c>
      <c r="O19" s="37">
        <f t="shared" si="2"/>
        <v>13</v>
      </c>
      <c r="P19" s="36">
        <f t="shared" si="3"/>
        <v>361931.81818181812</v>
      </c>
      <c r="Q19" s="36">
        <f t="shared" si="9"/>
        <v>0</v>
      </c>
      <c r="R19" s="30">
        <f t="shared" si="10"/>
        <v>2743531.8181818184</v>
      </c>
      <c r="S19" s="30">
        <f>(R19-K19+L19-N19-Q19)*'Valores Vigentes'!$D$6</f>
        <v>101958.60606060606</v>
      </c>
      <c r="T19" s="30">
        <f>(R19-K19+L19-N19-Q19)*'Valores Vigentes'!$D$7</f>
        <v>101958.60606060606</v>
      </c>
      <c r="U19" s="36">
        <f>IF(H19&gt;'Valores Vigentes'!$D$4*4,H19*1%,0)</f>
        <v>0</v>
      </c>
      <c r="V19" s="36">
        <f t="shared" si="4"/>
        <v>0</v>
      </c>
      <c r="W19" s="36">
        <f t="shared" si="11"/>
        <v>73500</v>
      </c>
      <c r="X19" s="36">
        <f t="shared" si="12"/>
        <v>54870.636363636368</v>
      </c>
      <c r="Y19" s="30">
        <f t="shared" si="13"/>
        <v>332287.84848484851</v>
      </c>
      <c r="Z19" s="30">
        <f t="shared" si="14"/>
        <v>2411243.9696969697</v>
      </c>
    </row>
    <row r="20" spans="1:26" x14ac:dyDescent="0.25">
      <c r="A20" s="17" t="s">
        <v>71</v>
      </c>
      <c r="B20" s="17" t="s">
        <v>278</v>
      </c>
      <c r="C20" s="17">
        <v>4</v>
      </c>
      <c r="D20" s="17" t="s">
        <v>276</v>
      </c>
      <c r="E20" s="17" t="s">
        <v>276</v>
      </c>
      <c r="F20" s="17" t="s">
        <v>31</v>
      </c>
      <c r="G20" s="17" t="str">
        <f t="shared" si="0"/>
        <v>TÉCNICO PROFESIONAL</v>
      </c>
      <c r="H20" s="30">
        <f t="shared" si="1"/>
        <v>2450000</v>
      </c>
      <c r="I20" s="16">
        <v>28</v>
      </c>
      <c r="J20" s="30">
        <f t="shared" si="5"/>
        <v>2286666.666666667</v>
      </c>
      <c r="K20" s="36">
        <f>IF(H20&lt;='Valores Vigentes'!D$4*2,'Valores Vigentes'!$D$5/30*I20,0)</f>
        <v>186666.66666666669</v>
      </c>
      <c r="L20" s="36">
        <f t="shared" si="6"/>
        <v>34300</v>
      </c>
      <c r="M20" s="36">
        <f t="shared" si="7"/>
        <v>80033.333333333358</v>
      </c>
      <c r="N20" s="36">
        <f t="shared" si="8"/>
        <v>57166.666666666679</v>
      </c>
      <c r="O20" s="37">
        <f t="shared" si="2"/>
        <v>30</v>
      </c>
      <c r="P20" s="36">
        <f t="shared" si="3"/>
        <v>835227.27272727271</v>
      </c>
      <c r="Q20" s="36">
        <f t="shared" si="9"/>
        <v>0</v>
      </c>
      <c r="R20" s="30">
        <f t="shared" si="10"/>
        <v>3480060.6060606064</v>
      </c>
      <c r="S20" s="30">
        <f>(R20-K20+L20-N20-Q20)*'Valores Vigentes'!$D$6</f>
        <v>130821.09090909094</v>
      </c>
      <c r="T20" s="30">
        <f>(R20-K20+L20-N20-Q20)*'Valores Vigentes'!$D$7</f>
        <v>130821.09090909094</v>
      </c>
      <c r="U20" s="36">
        <f>IF(H20&gt;'Valores Vigentes'!$D$4*4,H20*1%,0)</f>
        <v>0</v>
      </c>
      <c r="V20" s="36">
        <f t="shared" si="4"/>
        <v>0</v>
      </c>
      <c r="W20" s="36">
        <f t="shared" si="11"/>
        <v>73500</v>
      </c>
      <c r="X20" s="36">
        <f t="shared" si="12"/>
        <v>69601.212121212127</v>
      </c>
      <c r="Y20" s="30">
        <f t="shared" si="13"/>
        <v>404743.39393939404</v>
      </c>
      <c r="Z20" s="30">
        <f t="shared" si="14"/>
        <v>3075317.2121212124</v>
      </c>
    </row>
    <row r="21" spans="1:26" ht="15.75" customHeight="1" x14ac:dyDescent="0.25">
      <c r="A21" s="17" t="s">
        <v>72</v>
      </c>
      <c r="B21" s="17" t="s">
        <v>278</v>
      </c>
      <c r="C21" s="17">
        <v>2</v>
      </c>
      <c r="D21" s="17" t="s">
        <v>277</v>
      </c>
      <c r="E21" s="17" t="s">
        <v>276</v>
      </c>
      <c r="F21" s="17" t="s">
        <v>35</v>
      </c>
      <c r="G21" s="17" t="str">
        <f t="shared" si="0"/>
        <v>ASISTENTES</v>
      </c>
      <c r="H21" s="30">
        <f t="shared" si="1"/>
        <v>1626000</v>
      </c>
      <c r="I21" s="16">
        <v>26</v>
      </c>
      <c r="J21" s="30">
        <f t="shared" si="5"/>
        <v>1409200</v>
      </c>
      <c r="K21" s="36">
        <f>IF(H21&lt;='Valores Vigentes'!D$4*2,'Valores Vigentes'!$D$5/30*I21,0)</f>
        <v>173333.33333333334</v>
      </c>
      <c r="L21" s="36">
        <f t="shared" si="6"/>
        <v>21138</v>
      </c>
      <c r="M21" s="36">
        <f t="shared" si="7"/>
        <v>0</v>
      </c>
      <c r="N21" s="36">
        <f t="shared" si="8"/>
        <v>21138</v>
      </c>
      <c r="O21" s="37">
        <f t="shared" si="2"/>
        <v>0</v>
      </c>
      <c r="P21" s="36">
        <f t="shared" si="3"/>
        <v>0</v>
      </c>
      <c r="Q21" s="36">
        <f t="shared" si="9"/>
        <v>0</v>
      </c>
      <c r="R21" s="30">
        <f t="shared" si="10"/>
        <v>1624809.3333333333</v>
      </c>
      <c r="S21" s="30">
        <f>(R21-K21+L21-N21-Q21)*'Valores Vigentes'!$D$6</f>
        <v>58059.040000000001</v>
      </c>
      <c r="T21" s="30">
        <f>(R21-K21+L21-N21-Q21)*'Valores Vigentes'!$D$7</f>
        <v>58059.040000000001</v>
      </c>
      <c r="U21" s="36">
        <f>IF(H21&gt;'Valores Vigentes'!$D$4*4,H21*1%,0)</f>
        <v>0</v>
      </c>
      <c r="V21" s="36">
        <f t="shared" si="4"/>
        <v>0</v>
      </c>
      <c r="W21" s="36">
        <f t="shared" si="11"/>
        <v>0</v>
      </c>
      <c r="X21" s="36">
        <f t="shared" si="12"/>
        <v>32496.186666666665</v>
      </c>
      <c r="Y21" s="30">
        <f t="shared" si="13"/>
        <v>148614.26666666666</v>
      </c>
      <c r="Z21" s="30">
        <f t="shared" si="14"/>
        <v>1476195.0666666667</v>
      </c>
    </row>
    <row r="22" spans="1:26" ht="15.75" customHeight="1" x14ac:dyDescent="0.25">
      <c r="A22" s="17" t="s">
        <v>73</v>
      </c>
      <c r="B22" s="17" t="s">
        <v>278</v>
      </c>
      <c r="C22" s="17">
        <v>7</v>
      </c>
      <c r="D22" s="17" t="s">
        <v>277</v>
      </c>
      <c r="E22" s="17" t="s">
        <v>276</v>
      </c>
      <c r="F22" s="17" t="s">
        <v>31</v>
      </c>
      <c r="G22" s="17" t="str">
        <f t="shared" si="0"/>
        <v>COORDINADOR</v>
      </c>
      <c r="H22" s="30">
        <f t="shared" si="1"/>
        <v>3250000</v>
      </c>
      <c r="I22" s="16">
        <v>28</v>
      </c>
      <c r="J22" s="30">
        <f t="shared" si="5"/>
        <v>3033333.333333333</v>
      </c>
      <c r="K22" s="36">
        <f>IF(H22&lt;='Valores Vigentes'!D$4*2,'Valores Vigentes'!$D$5/30*I22,0)</f>
        <v>0</v>
      </c>
      <c r="L22" s="36">
        <f t="shared" si="6"/>
        <v>45499.999999999993</v>
      </c>
      <c r="M22" s="36">
        <f t="shared" si="7"/>
        <v>106166.66666666667</v>
      </c>
      <c r="N22" s="36">
        <f t="shared" si="8"/>
        <v>45499.999999999993</v>
      </c>
      <c r="O22" s="37">
        <f t="shared" si="2"/>
        <v>17</v>
      </c>
      <c r="P22" s="36">
        <f t="shared" si="3"/>
        <v>627840.90909090894</v>
      </c>
      <c r="Q22" s="36">
        <f t="shared" si="9"/>
        <v>0</v>
      </c>
      <c r="R22" s="30">
        <f t="shared" si="10"/>
        <v>3858340.9090909082</v>
      </c>
      <c r="S22" s="30">
        <f>(R22-K22+L22-N22-Q22)*'Valores Vigentes'!$D$6</f>
        <v>154333.63636363632</v>
      </c>
      <c r="T22" s="30">
        <f>(R22-K22+L22-N22-Q22)*'Valores Vigentes'!$D$7</f>
        <v>154333.63636363632</v>
      </c>
      <c r="U22" s="36">
        <f>IF(H22&gt;'Valores Vigentes'!$D$4*4,H22*1%,0)</f>
        <v>0</v>
      </c>
      <c r="V22" s="36">
        <f t="shared" si="4"/>
        <v>0</v>
      </c>
      <c r="W22" s="36">
        <f t="shared" si="11"/>
        <v>0</v>
      </c>
      <c r="X22" s="36">
        <f t="shared" si="12"/>
        <v>77166.818181818162</v>
      </c>
      <c r="Y22" s="30">
        <f t="shared" si="13"/>
        <v>385834.09090909082</v>
      </c>
      <c r="Z22" s="30">
        <f t="shared" si="14"/>
        <v>3472506.8181818174</v>
      </c>
    </row>
    <row r="23" spans="1:26" ht="15.75" customHeight="1" x14ac:dyDescent="0.25">
      <c r="A23" s="17" t="s">
        <v>74</v>
      </c>
      <c r="B23" s="17" t="s">
        <v>278</v>
      </c>
      <c r="C23" s="17">
        <v>1</v>
      </c>
      <c r="D23" s="17" t="s">
        <v>276</v>
      </c>
      <c r="E23" s="17" t="s">
        <v>277</v>
      </c>
      <c r="F23" s="17" t="s">
        <v>33</v>
      </c>
      <c r="G23" s="17" t="str">
        <f t="shared" si="0"/>
        <v>AUXILIAR ADMON</v>
      </c>
      <c r="H23" s="30">
        <f t="shared" si="1"/>
        <v>1423500</v>
      </c>
      <c r="I23" s="16">
        <v>28</v>
      </c>
      <c r="J23" s="30">
        <f t="shared" si="5"/>
        <v>1328600</v>
      </c>
      <c r="K23" s="36">
        <f>IF(H23&lt;='Valores Vigentes'!D$4*2,'Valores Vigentes'!$D$5/30*I23,0)</f>
        <v>186666.66666666669</v>
      </c>
      <c r="L23" s="36">
        <f t="shared" si="6"/>
        <v>19929</v>
      </c>
      <c r="M23" s="36">
        <f t="shared" si="7"/>
        <v>0</v>
      </c>
      <c r="N23" s="36">
        <f t="shared" si="8"/>
        <v>19929</v>
      </c>
      <c r="O23" s="37">
        <f t="shared" si="2"/>
        <v>15</v>
      </c>
      <c r="P23" s="36">
        <f t="shared" si="3"/>
        <v>242642.04545454544</v>
      </c>
      <c r="Q23" s="36">
        <f t="shared" si="9"/>
        <v>0</v>
      </c>
      <c r="R23" s="30">
        <f t="shared" si="10"/>
        <v>1797766.7121212122</v>
      </c>
      <c r="S23" s="30">
        <f>(R23-K23+L23-N23-Q23)*'Valores Vigentes'!$D$6</f>
        <v>64444.001818181816</v>
      </c>
      <c r="T23" s="30">
        <f>(R23-K23+L23-N23-Q23)*'Valores Vigentes'!$D$7</f>
        <v>64444.001818181816</v>
      </c>
      <c r="U23" s="36">
        <f>IF(H23&gt;'Valores Vigentes'!$D$4*4,H23*1%,0)</f>
        <v>0</v>
      </c>
      <c r="V23" s="36">
        <f t="shared" si="4"/>
        <v>0</v>
      </c>
      <c r="W23" s="36">
        <f t="shared" si="11"/>
        <v>42705</v>
      </c>
      <c r="X23" s="36">
        <f t="shared" si="12"/>
        <v>0</v>
      </c>
      <c r="Y23" s="30">
        <f t="shared" si="13"/>
        <v>171593.00363636363</v>
      </c>
      <c r="Z23" s="30">
        <f t="shared" si="14"/>
        <v>1626173.7084848485</v>
      </c>
    </row>
    <row r="24" spans="1:26" ht="15.75" customHeight="1" x14ac:dyDescent="0.25">
      <c r="A24" s="17" t="s">
        <v>75</v>
      </c>
      <c r="B24" s="17" t="s">
        <v>278</v>
      </c>
      <c r="C24" s="17">
        <v>5</v>
      </c>
      <c r="D24" s="17" t="s">
        <v>276</v>
      </c>
      <c r="E24" s="17" t="s">
        <v>277</v>
      </c>
      <c r="F24" s="17" t="s">
        <v>35</v>
      </c>
      <c r="G24" s="17" t="str">
        <f t="shared" si="0"/>
        <v>ASESOR VENTAS</v>
      </c>
      <c r="H24" s="30">
        <f t="shared" si="1"/>
        <v>2650000</v>
      </c>
      <c r="I24" s="16">
        <v>30</v>
      </c>
      <c r="J24" s="30">
        <f t="shared" si="5"/>
        <v>2650000</v>
      </c>
      <c r="K24" s="36">
        <f>IF(H24&lt;='Valores Vigentes'!D$4*2,'Valores Vigentes'!$D$5/30*I24,0)</f>
        <v>200000</v>
      </c>
      <c r="L24" s="36">
        <f t="shared" si="6"/>
        <v>66250</v>
      </c>
      <c r="M24" s="36">
        <f t="shared" si="7"/>
        <v>0</v>
      </c>
      <c r="N24" s="36">
        <f t="shared" si="8"/>
        <v>39750</v>
      </c>
      <c r="O24" s="37">
        <f t="shared" si="2"/>
        <v>21</v>
      </c>
      <c r="P24" s="36">
        <f t="shared" si="3"/>
        <v>632386.36363636365</v>
      </c>
      <c r="Q24" s="36">
        <f t="shared" si="9"/>
        <v>0</v>
      </c>
      <c r="R24" s="30">
        <f t="shared" si="10"/>
        <v>3588386.3636363638</v>
      </c>
      <c r="S24" s="30">
        <f>(R24-K24+L24-N24-Q24)*'Valores Vigentes'!$D$6</f>
        <v>136595.45454545456</v>
      </c>
      <c r="T24" s="30">
        <f>(R24-K24+L24-N24-Q24)*'Valores Vigentes'!$D$7</f>
        <v>136595.45454545456</v>
      </c>
      <c r="U24" s="36">
        <f>IF(H24&gt;'Valores Vigentes'!$D$4*4,H24*1%,0)</f>
        <v>0</v>
      </c>
      <c r="V24" s="36">
        <f t="shared" si="4"/>
        <v>0</v>
      </c>
      <c r="W24" s="36">
        <f t="shared" si="11"/>
        <v>79500</v>
      </c>
      <c r="X24" s="36">
        <f t="shared" si="12"/>
        <v>0</v>
      </c>
      <c r="Y24" s="30">
        <f t="shared" si="13"/>
        <v>352690.90909090912</v>
      </c>
      <c r="Z24" s="30">
        <f t="shared" si="14"/>
        <v>3235695.4545454546</v>
      </c>
    </row>
    <row r="25" spans="1:26" ht="15.75" customHeight="1" x14ac:dyDescent="0.25">
      <c r="A25" s="17" t="s">
        <v>76</v>
      </c>
      <c r="B25" s="17" t="s">
        <v>275</v>
      </c>
      <c r="C25" s="17">
        <v>7</v>
      </c>
      <c r="D25" s="17" t="s">
        <v>276</v>
      </c>
      <c r="E25" s="17" t="s">
        <v>277</v>
      </c>
      <c r="F25" s="17" t="s">
        <v>31</v>
      </c>
      <c r="G25" s="17" t="str">
        <f t="shared" si="0"/>
        <v>COORDINADOR</v>
      </c>
      <c r="H25" s="30">
        <f t="shared" si="1"/>
        <v>3250000</v>
      </c>
      <c r="I25" s="16">
        <v>27</v>
      </c>
      <c r="J25" s="30">
        <f t="shared" si="5"/>
        <v>2925000</v>
      </c>
      <c r="K25" s="36">
        <f>IF(H25&lt;='Valores Vigentes'!D$4*2,'Valores Vigentes'!$D$5/30*I25,0)</f>
        <v>0</v>
      </c>
      <c r="L25" s="36">
        <f t="shared" si="6"/>
        <v>43875</v>
      </c>
      <c r="M25" s="36">
        <f t="shared" si="7"/>
        <v>102375.00000000001</v>
      </c>
      <c r="N25" s="36">
        <f t="shared" si="8"/>
        <v>43875</v>
      </c>
      <c r="O25" s="37">
        <f t="shared" si="2"/>
        <v>6</v>
      </c>
      <c r="P25" s="36">
        <f t="shared" si="3"/>
        <v>221590.90909090906</v>
      </c>
      <c r="Q25" s="36">
        <f t="shared" si="9"/>
        <v>0</v>
      </c>
      <c r="R25" s="30">
        <f t="shared" si="10"/>
        <v>3336715.9090909092</v>
      </c>
      <c r="S25" s="30">
        <f>(R25-K25+L25-N25-Q25)*'Valores Vigentes'!$D$6</f>
        <v>133468.63636363638</v>
      </c>
      <c r="T25" s="30">
        <f>(R25-K25+L25-N25-Q25)*'Valores Vigentes'!$D$7</f>
        <v>133468.63636363638</v>
      </c>
      <c r="U25" s="36">
        <f>IF(H25&gt;'Valores Vigentes'!$D$4*4,H25*1%,0)</f>
        <v>0</v>
      </c>
      <c r="V25" s="36">
        <f t="shared" si="4"/>
        <v>0</v>
      </c>
      <c r="W25" s="36">
        <f t="shared" si="11"/>
        <v>97500</v>
      </c>
      <c r="X25" s="36">
        <f t="shared" si="12"/>
        <v>0</v>
      </c>
      <c r="Y25" s="30">
        <f t="shared" si="13"/>
        <v>364437.27272727276</v>
      </c>
      <c r="Z25" s="30">
        <f t="shared" si="14"/>
        <v>2972278.6363636362</v>
      </c>
    </row>
    <row r="26" spans="1:26" ht="15.75" customHeight="1" x14ac:dyDescent="0.25">
      <c r="A26" s="17" t="s">
        <v>77</v>
      </c>
      <c r="B26" s="17" t="s">
        <v>278</v>
      </c>
      <c r="C26" s="17">
        <v>2</v>
      </c>
      <c r="D26" s="17" t="s">
        <v>276</v>
      </c>
      <c r="E26" s="17" t="s">
        <v>276</v>
      </c>
      <c r="F26" s="17" t="s">
        <v>31</v>
      </c>
      <c r="G26" s="17" t="str">
        <f t="shared" si="0"/>
        <v>ASISTENTES</v>
      </c>
      <c r="H26" s="30">
        <f t="shared" si="1"/>
        <v>1626000</v>
      </c>
      <c r="I26" s="16">
        <v>29</v>
      </c>
      <c r="J26" s="30">
        <f t="shared" si="5"/>
        <v>1571800</v>
      </c>
      <c r="K26" s="36">
        <f>IF(H26&lt;='Valores Vigentes'!D$4*2,'Valores Vigentes'!$D$5/30*I26,0)</f>
        <v>193333.33333333334</v>
      </c>
      <c r="L26" s="36">
        <f t="shared" si="6"/>
        <v>23577</v>
      </c>
      <c r="M26" s="36">
        <f t="shared" si="7"/>
        <v>55013.000000000007</v>
      </c>
      <c r="N26" s="36">
        <f t="shared" si="8"/>
        <v>39295</v>
      </c>
      <c r="O26" s="37">
        <f t="shared" si="2"/>
        <v>22</v>
      </c>
      <c r="P26" s="36">
        <f t="shared" si="3"/>
        <v>406500</v>
      </c>
      <c r="Q26" s="36">
        <f t="shared" si="9"/>
        <v>0</v>
      </c>
      <c r="R26" s="30">
        <f t="shared" si="10"/>
        <v>2289518.333333333</v>
      </c>
      <c r="S26" s="30">
        <f>(R26-K26+L26-N26-Q26)*'Valores Vigentes'!$D$6</f>
        <v>83218.680000000008</v>
      </c>
      <c r="T26" s="30">
        <f>(R26-K26+L26-N26-Q26)*'Valores Vigentes'!$D$7</f>
        <v>83218.680000000008</v>
      </c>
      <c r="U26" s="36">
        <f>IF(H26&gt;'Valores Vigentes'!$D$4*4,H26*1%,0)</f>
        <v>0</v>
      </c>
      <c r="V26" s="36">
        <f t="shared" si="4"/>
        <v>0</v>
      </c>
      <c r="W26" s="36">
        <f t="shared" si="11"/>
        <v>48780</v>
      </c>
      <c r="X26" s="36">
        <f t="shared" si="12"/>
        <v>45790.366666666661</v>
      </c>
      <c r="Y26" s="30">
        <f t="shared" si="13"/>
        <v>261007.72666666668</v>
      </c>
      <c r="Z26" s="30">
        <f t="shared" si="14"/>
        <v>2028510.6066666665</v>
      </c>
    </row>
    <row r="27" spans="1:26" ht="15.75" customHeight="1" x14ac:dyDescent="0.25">
      <c r="A27" s="17" t="s">
        <v>78</v>
      </c>
      <c r="B27" s="17" t="s">
        <v>278</v>
      </c>
      <c r="C27" s="17">
        <v>7</v>
      </c>
      <c r="D27" s="17" t="s">
        <v>276</v>
      </c>
      <c r="E27" s="17" t="s">
        <v>277</v>
      </c>
      <c r="F27" s="17" t="s">
        <v>33</v>
      </c>
      <c r="G27" s="17" t="str">
        <f t="shared" si="0"/>
        <v>COORDINADOR</v>
      </c>
      <c r="H27" s="30">
        <f t="shared" si="1"/>
        <v>3250000</v>
      </c>
      <c r="I27" s="16">
        <v>25</v>
      </c>
      <c r="J27" s="30">
        <f t="shared" si="5"/>
        <v>2708333.333333333</v>
      </c>
      <c r="K27" s="36">
        <f>IF(H27&lt;='Valores Vigentes'!D$4*2,'Valores Vigentes'!$D$5/30*I27,0)</f>
        <v>0</v>
      </c>
      <c r="L27" s="36">
        <f t="shared" si="6"/>
        <v>40624.999999999993</v>
      </c>
      <c r="M27" s="36">
        <f t="shared" si="7"/>
        <v>0</v>
      </c>
      <c r="N27" s="36">
        <f t="shared" si="8"/>
        <v>40624.999999999993</v>
      </c>
      <c r="O27" s="37">
        <f t="shared" si="2"/>
        <v>3</v>
      </c>
      <c r="P27" s="36">
        <f t="shared" si="3"/>
        <v>110795.45454545453</v>
      </c>
      <c r="Q27" s="36">
        <f t="shared" si="9"/>
        <v>0</v>
      </c>
      <c r="R27" s="30">
        <f t="shared" si="10"/>
        <v>2900378.7878787876</v>
      </c>
      <c r="S27" s="30">
        <f>(R27-K27+L27-N27-Q27)*'Valores Vigentes'!$D$6</f>
        <v>116015.15151515151</v>
      </c>
      <c r="T27" s="30">
        <f>(R27-K27+L27-N27-Q27)*'Valores Vigentes'!$D$7</f>
        <v>116015.15151515151</v>
      </c>
      <c r="U27" s="36">
        <f>IF(H27&gt;'Valores Vigentes'!$D$4*4,H27*1%,0)</f>
        <v>0</v>
      </c>
      <c r="V27" s="36">
        <f t="shared" si="4"/>
        <v>0</v>
      </c>
      <c r="W27" s="36">
        <f t="shared" si="11"/>
        <v>97500</v>
      </c>
      <c r="X27" s="36">
        <f t="shared" si="12"/>
        <v>0</v>
      </c>
      <c r="Y27" s="30">
        <f t="shared" si="13"/>
        <v>329530.30303030298</v>
      </c>
      <c r="Z27" s="30">
        <f t="shared" si="14"/>
        <v>2570848.4848484844</v>
      </c>
    </row>
    <row r="28" spans="1:26" ht="15.75" customHeight="1" x14ac:dyDescent="0.25">
      <c r="A28" s="17" t="s">
        <v>79</v>
      </c>
      <c r="B28" s="17" t="s">
        <v>275</v>
      </c>
      <c r="C28" s="17">
        <v>7</v>
      </c>
      <c r="D28" s="17" t="s">
        <v>276</v>
      </c>
      <c r="E28" s="17" t="s">
        <v>276</v>
      </c>
      <c r="F28" s="17" t="s">
        <v>39</v>
      </c>
      <c r="G28" s="17" t="str">
        <f t="shared" si="0"/>
        <v>COORDINADOR</v>
      </c>
      <c r="H28" s="30">
        <f t="shared" si="1"/>
        <v>3250000</v>
      </c>
      <c r="I28" s="16">
        <v>26</v>
      </c>
      <c r="J28" s="30">
        <f t="shared" si="5"/>
        <v>2816666.6666666665</v>
      </c>
      <c r="K28" s="36">
        <f>IF(H28&lt;='Valores Vigentes'!D$4*2,'Valores Vigentes'!$D$5/30*I28,0)</f>
        <v>0</v>
      </c>
      <c r="L28" s="36">
        <f t="shared" si="6"/>
        <v>42249.999999999993</v>
      </c>
      <c r="M28" s="36">
        <f t="shared" si="7"/>
        <v>0</v>
      </c>
      <c r="N28" s="36">
        <f t="shared" si="8"/>
        <v>70416.666666666672</v>
      </c>
      <c r="O28" s="37">
        <f t="shared" si="2"/>
        <v>17</v>
      </c>
      <c r="P28" s="36">
        <f t="shared" si="3"/>
        <v>627840.90909090894</v>
      </c>
      <c r="Q28" s="36">
        <f t="shared" si="9"/>
        <v>0</v>
      </c>
      <c r="R28" s="30">
        <f t="shared" si="10"/>
        <v>3557174.2424242422</v>
      </c>
      <c r="S28" s="30">
        <f>(R28-K28+L28-N28-Q28)*'Valores Vigentes'!$D$6</f>
        <v>141160.30303030304</v>
      </c>
      <c r="T28" s="30">
        <f>(R28-K28+L28-N28-Q28)*'Valores Vigentes'!$D$7</f>
        <v>141160.30303030304</v>
      </c>
      <c r="U28" s="36">
        <f>IF(H28&gt;'Valores Vigentes'!$D$4*4,H28*1%,0)</f>
        <v>0</v>
      </c>
      <c r="V28" s="36">
        <f t="shared" si="4"/>
        <v>0</v>
      </c>
      <c r="W28" s="36">
        <f t="shared" si="11"/>
        <v>97500</v>
      </c>
      <c r="X28" s="36">
        <f t="shared" si="12"/>
        <v>71143.484848484848</v>
      </c>
      <c r="Y28" s="30">
        <f t="shared" si="13"/>
        <v>450964.09090909094</v>
      </c>
      <c r="Z28" s="30">
        <f t="shared" si="14"/>
        <v>3106210.1515151514</v>
      </c>
    </row>
    <row r="29" spans="1:26" ht="15.75" customHeight="1" x14ac:dyDescent="0.25">
      <c r="A29" s="17" t="s">
        <v>80</v>
      </c>
      <c r="B29" s="17" t="s">
        <v>278</v>
      </c>
      <c r="C29" s="17">
        <v>5</v>
      </c>
      <c r="D29" s="17" t="s">
        <v>276</v>
      </c>
      <c r="E29" s="17" t="s">
        <v>277</v>
      </c>
      <c r="F29" s="17" t="s">
        <v>37</v>
      </c>
      <c r="G29" s="17" t="str">
        <f t="shared" si="0"/>
        <v>ASESOR VENTAS</v>
      </c>
      <c r="H29" s="30">
        <f t="shared" si="1"/>
        <v>2650000</v>
      </c>
      <c r="I29" s="16">
        <v>26</v>
      </c>
      <c r="J29" s="30">
        <f t="shared" si="5"/>
        <v>2296666.6666666665</v>
      </c>
      <c r="K29" s="36">
        <f>IF(H29&lt;='Valores Vigentes'!D$4*2,'Valores Vigentes'!$D$5/30*I29,0)</f>
        <v>173333.33333333334</v>
      </c>
      <c r="L29" s="36">
        <f t="shared" si="6"/>
        <v>34450</v>
      </c>
      <c r="M29" s="36">
        <f t="shared" si="7"/>
        <v>0</v>
      </c>
      <c r="N29" s="36">
        <f t="shared" si="8"/>
        <v>34450</v>
      </c>
      <c r="O29" s="37">
        <f t="shared" si="2"/>
        <v>27</v>
      </c>
      <c r="P29" s="36">
        <f t="shared" si="3"/>
        <v>813068.18181818188</v>
      </c>
      <c r="Q29" s="36">
        <f t="shared" si="9"/>
        <v>0</v>
      </c>
      <c r="R29" s="30">
        <f t="shared" si="10"/>
        <v>3351968.1818181816</v>
      </c>
      <c r="S29" s="30">
        <f>(R29-K29+L29-N29-Q29)*'Valores Vigentes'!$D$6</f>
        <v>127145.39393939394</v>
      </c>
      <c r="T29" s="30">
        <f>(R29-K29+L29-N29-Q29)*'Valores Vigentes'!$D$7</f>
        <v>127145.39393939394</v>
      </c>
      <c r="U29" s="36">
        <f>IF(H29&gt;'Valores Vigentes'!$D$4*4,H29*1%,0)</f>
        <v>0</v>
      </c>
      <c r="V29" s="36">
        <f t="shared" si="4"/>
        <v>0</v>
      </c>
      <c r="W29" s="36">
        <f t="shared" si="11"/>
        <v>79500</v>
      </c>
      <c r="X29" s="36">
        <f t="shared" si="12"/>
        <v>0</v>
      </c>
      <c r="Y29" s="30">
        <f t="shared" si="13"/>
        <v>333790.78787878784</v>
      </c>
      <c r="Z29" s="30">
        <f t="shared" si="14"/>
        <v>3018177.3939393936</v>
      </c>
    </row>
    <row r="30" spans="1:26" ht="15.75" customHeight="1" x14ac:dyDescent="0.25">
      <c r="A30" s="17" t="s">
        <v>81</v>
      </c>
      <c r="B30" s="17" t="s">
        <v>278</v>
      </c>
      <c r="C30" s="17">
        <v>4</v>
      </c>
      <c r="D30" s="17" t="s">
        <v>277</v>
      </c>
      <c r="E30" s="17" t="s">
        <v>276</v>
      </c>
      <c r="F30" s="17" t="s">
        <v>31</v>
      </c>
      <c r="G30" s="17" t="str">
        <f t="shared" si="0"/>
        <v>TÉCNICO PROFESIONAL</v>
      </c>
      <c r="H30" s="30">
        <f t="shared" si="1"/>
        <v>2450000</v>
      </c>
      <c r="I30" s="16">
        <v>26</v>
      </c>
      <c r="J30" s="30">
        <f t="shared" si="5"/>
        <v>2123333.3333333335</v>
      </c>
      <c r="K30" s="36">
        <f>IF(H30&lt;='Valores Vigentes'!D$4*2,'Valores Vigentes'!$D$5/30*I30,0)</f>
        <v>173333.33333333334</v>
      </c>
      <c r="L30" s="36">
        <f t="shared" si="6"/>
        <v>31850</v>
      </c>
      <c r="M30" s="36">
        <f t="shared" si="7"/>
        <v>74316.666666666686</v>
      </c>
      <c r="N30" s="36">
        <f t="shared" si="8"/>
        <v>31850</v>
      </c>
      <c r="O30" s="37">
        <f t="shared" si="2"/>
        <v>29</v>
      </c>
      <c r="P30" s="36">
        <f t="shared" si="3"/>
        <v>807386.36363636353</v>
      </c>
      <c r="Q30" s="36">
        <f t="shared" si="9"/>
        <v>0</v>
      </c>
      <c r="R30" s="30">
        <f t="shared" si="10"/>
        <v>3242069.6969696973</v>
      </c>
      <c r="S30" s="30">
        <f>(R30-K30+L30-N30-Q30)*'Valores Vigentes'!$D$6</f>
        <v>122749.45454545456</v>
      </c>
      <c r="T30" s="30">
        <f>(R30-K30+L30-N30-Q30)*'Valores Vigentes'!$D$7</f>
        <v>122749.45454545456</v>
      </c>
      <c r="U30" s="36">
        <f>IF(H30&gt;'Valores Vigentes'!$D$4*4,H30*1%,0)</f>
        <v>0</v>
      </c>
      <c r="V30" s="36">
        <f t="shared" si="4"/>
        <v>0</v>
      </c>
      <c r="W30" s="36">
        <f t="shared" si="11"/>
        <v>0</v>
      </c>
      <c r="X30" s="36">
        <f t="shared" si="12"/>
        <v>64841.393939393944</v>
      </c>
      <c r="Y30" s="30">
        <f t="shared" si="13"/>
        <v>310340.30303030304</v>
      </c>
      <c r="Z30" s="30">
        <f t="shared" si="14"/>
        <v>2931729.393939394</v>
      </c>
    </row>
    <row r="31" spans="1:26" ht="15.75" customHeight="1" x14ac:dyDescent="0.25">
      <c r="A31" s="17" t="s">
        <v>82</v>
      </c>
      <c r="B31" s="17" t="s">
        <v>278</v>
      </c>
      <c r="C31" s="17">
        <v>1</v>
      </c>
      <c r="D31" s="17" t="s">
        <v>276</v>
      </c>
      <c r="E31" s="17" t="s">
        <v>277</v>
      </c>
      <c r="F31" s="17" t="s">
        <v>33</v>
      </c>
      <c r="G31" s="17" t="str">
        <f t="shared" si="0"/>
        <v>AUXILIAR ADMON</v>
      </c>
      <c r="H31" s="30">
        <f t="shared" si="1"/>
        <v>1423500</v>
      </c>
      <c r="I31" s="16">
        <v>30</v>
      </c>
      <c r="J31" s="30">
        <f t="shared" si="5"/>
        <v>1423500</v>
      </c>
      <c r="K31" s="36">
        <f>IF(H31&lt;='Valores Vigentes'!D$4*2,'Valores Vigentes'!$D$5/30*I31,0)</f>
        <v>200000</v>
      </c>
      <c r="L31" s="36">
        <f t="shared" si="6"/>
        <v>35587.5</v>
      </c>
      <c r="M31" s="36">
        <f t="shared" si="7"/>
        <v>0</v>
      </c>
      <c r="N31" s="36">
        <f t="shared" si="8"/>
        <v>21352.5</v>
      </c>
      <c r="O31" s="37">
        <f t="shared" si="2"/>
        <v>2</v>
      </c>
      <c r="P31" s="36">
        <f t="shared" si="3"/>
        <v>32352.272727272724</v>
      </c>
      <c r="Q31" s="36">
        <f t="shared" si="9"/>
        <v>0</v>
      </c>
      <c r="R31" s="30">
        <f t="shared" si="10"/>
        <v>1712792.2727272727</v>
      </c>
      <c r="S31" s="30">
        <f>(R31-K31+L31-N31-Q31)*'Valores Vigentes'!$D$6</f>
        <v>61081.090909090912</v>
      </c>
      <c r="T31" s="30">
        <f>(R31-K31+L31-N31-Q31)*'Valores Vigentes'!$D$7</f>
        <v>61081.090909090912</v>
      </c>
      <c r="U31" s="36">
        <f>IF(H31&gt;'Valores Vigentes'!$D$4*4,H31*1%,0)</f>
        <v>0</v>
      </c>
      <c r="V31" s="36">
        <f t="shared" si="4"/>
        <v>0</v>
      </c>
      <c r="W31" s="36">
        <f t="shared" si="11"/>
        <v>42705</v>
      </c>
      <c r="X31" s="36">
        <f t="shared" si="12"/>
        <v>0</v>
      </c>
      <c r="Y31" s="30">
        <f t="shared" si="13"/>
        <v>164867.18181818182</v>
      </c>
      <c r="Z31" s="30">
        <f t="shared" si="14"/>
        <v>1547925.0909090908</v>
      </c>
    </row>
    <row r="32" spans="1:26" ht="15.75" customHeight="1" x14ac:dyDescent="0.25">
      <c r="A32" s="17" t="s">
        <v>83</v>
      </c>
      <c r="B32" s="17" t="s">
        <v>275</v>
      </c>
      <c r="C32" s="17">
        <v>8</v>
      </c>
      <c r="D32" s="17" t="s">
        <v>276</v>
      </c>
      <c r="E32" s="17" t="s">
        <v>276</v>
      </c>
      <c r="F32" s="17" t="s">
        <v>35</v>
      </c>
      <c r="G32" s="17" t="str">
        <f t="shared" si="0"/>
        <v>ASESOR</v>
      </c>
      <c r="H32" s="30">
        <f t="shared" si="1"/>
        <v>3900000</v>
      </c>
      <c r="I32" s="16">
        <v>30</v>
      </c>
      <c r="J32" s="30">
        <f t="shared" si="5"/>
        <v>3900000</v>
      </c>
      <c r="K32" s="36">
        <f>IF(H32&lt;='Valores Vigentes'!D$4*2,'Valores Vigentes'!$D$5/30*I32,0)</f>
        <v>0</v>
      </c>
      <c r="L32" s="36">
        <f t="shared" si="6"/>
        <v>97500</v>
      </c>
      <c r="M32" s="36">
        <f t="shared" si="7"/>
        <v>0</v>
      </c>
      <c r="N32" s="36">
        <f t="shared" si="8"/>
        <v>97500</v>
      </c>
      <c r="O32" s="37">
        <f t="shared" si="2"/>
        <v>6</v>
      </c>
      <c r="P32" s="36">
        <f t="shared" si="3"/>
        <v>265909.09090909094</v>
      </c>
      <c r="Q32" s="36">
        <f t="shared" si="9"/>
        <v>0</v>
      </c>
      <c r="R32" s="30">
        <f t="shared" si="10"/>
        <v>4360909.0909090908</v>
      </c>
      <c r="S32" s="30">
        <f>(R32-K32+L32-N32-Q32)*'Valores Vigentes'!$D$6</f>
        <v>174436.36363636365</v>
      </c>
      <c r="T32" s="30">
        <f>(R32-K32+L32-N32-Q32)*'Valores Vigentes'!$D$7</f>
        <v>174436.36363636365</v>
      </c>
      <c r="U32" s="36">
        <f>IF(H32&gt;'Valores Vigentes'!$D$4*4,H32*1%,0)</f>
        <v>0</v>
      </c>
      <c r="V32" s="36">
        <f t="shared" si="4"/>
        <v>65000</v>
      </c>
      <c r="W32" s="36">
        <f t="shared" si="11"/>
        <v>117000</v>
      </c>
      <c r="X32" s="36">
        <f t="shared" si="12"/>
        <v>87218.181818181823</v>
      </c>
      <c r="Y32" s="30">
        <f t="shared" si="13"/>
        <v>618090.90909090918</v>
      </c>
      <c r="Z32" s="30">
        <f t="shared" si="14"/>
        <v>3742818.1818181816</v>
      </c>
    </row>
    <row r="33" spans="1:26" ht="15.75" customHeight="1" x14ac:dyDescent="0.25">
      <c r="A33" s="17" t="s">
        <v>84</v>
      </c>
      <c r="B33" s="17" t="s">
        <v>278</v>
      </c>
      <c r="C33" s="17">
        <v>5</v>
      </c>
      <c r="D33" s="17" t="s">
        <v>276</v>
      </c>
      <c r="E33" s="17" t="s">
        <v>277</v>
      </c>
      <c r="F33" s="17" t="s">
        <v>31</v>
      </c>
      <c r="G33" s="17" t="str">
        <f t="shared" si="0"/>
        <v>ASESOR VENTAS</v>
      </c>
      <c r="H33" s="30">
        <f t="shared" si="1"/>
        <v>2650000</v>
      </c>
      <c r="I33" s="16">
        <v>28</v>
      </c>
      <c r="J33" s="30">
        <f t="shared" si="5"/>
        <v>2473333.333333333</v>
      </c>
      <c r="K33" s="36">
        <f>IF(H33&lt;='Valores Vigentes'!D$4*2,'Valores Vigentes'!$D$5/30*I33,0)</f>
        <v>186666.66666666669</v>
      </c>
      <c r="L33" s="36">
        <f t="shared" si="6"/>
        <v>37099.999999999993</v>
      </c>
      <c r="M33" s="36">
        <f t="shared" si="7"/>
        <v>86566.666666666657</v>
      </c>
      <c r="N33" s="36">
        <f t="shared" si="8"/>
        <v>37099.999999999993</v>
      </c>
      <c r="O33" s="37">
        <f t="shared" si="2"/>
        <v>6</v>
      </c>
      <c r="P33" s="36">
        <f t="shared" si="3"/>
        <v>180681.81818181818</v>
      </c>
      <c r="Q33" s="36">
        <f t="shared" si="9"/>
        <v>0</v>
      </c>
      <c r="R33" s="30">
        <f t="shared" si="10"/>
        <v>3001448.4848484844</v>
      </c>
      <c r="S33" s="30">
        <f>(R33-K33+L33-N33-Q33)*'Valores Vigentes'!$D$6</f>
        <v>112591.27272727272</v>
      </c>
      <c r="T33" s="30">
        <f>(R33-K33+L33-N33-Q33)*'Valores Vigentes'!$D$7</f>
        <v>112591.27272727272</v>
      </c>
      <c r="U33" s="36">
        <f>IF(H33&gt;'Valores Vigentes'!$D$4*4,H33*1%,0)</f>
        <v>0</v>
      </c>
      <c r="V33" s="36">
        <f t="shared" si="4"/>
        <v>0</v>
      </c>
      <c r="W33" s="36">
        <f t="shared" si="11"/>
        <v>79500</v>
      </c>
      <c r="X33" s="36">
        <f t="shared" si="12"/>
        <v>0</v>
      </c>
      <c r="Y33" s="30">
        <f t="shared" si="13"/>
        <v>304682.54545454541</v>
      </c>
      <c r="Z33" s="30">
        <f t="shared" si="14"/>
        <v>2696765.939393939</v>
      </c>
    </row>
    <row r="34" spans="1:26" ht="15.75" customHeight="1" x14ac:dyDescent="0.25">
      <c r="A34" s="17" t="s">
        <v>85</v>
      </c>
      <c r="B34" s="17" t="s">
        <v>278</v>
      </c>
      <c r="C34" s="17">
        <v>3</v>
      </c>
      <c r="D34" s="17" t="s">
        <v>277</v>
      </c>
      <c r="E34" s="17" t="s">
        <v>276</v>
      </c>
      <c r="F34" s="17" t="s">
        <v>37</v>
      </c>
      <c r="G34" s="17" t="str">
        <f t="shared" si="0"/>
        <v>SECRETARIAS</v>
      </c>
      <c r="H34" s="30">
        <f t="shared" si="1"/>
        <v>1813000</v>
      </c>
      <c r="I34" s="16">
        <v>30</v>
      </c>
      <c r="J34" s="30">
        <f t="shared" si="5"/>
        <v>1813000</v>
      </c>
      <c r="K34" s="36">
        <f>IF(H34&lt;='Valores Vigentes'!D$4*2,'Valores Vigentes'!$D$5/30*I34,0)</f>
        <v>200000</v>
      </c>
      <c r="L34" s="36">
        <f t="shared" si="6"/>
        <v>45325</v>
      </c>
      <c r="M34" s="36">
        <f t="shared" si="7"/>
        <v>0</v>
      </c>
      <c r="N34" s="36">
        <f t="shared" si="8"/>
        <v>27195</v>
      </c>
      <c r="O34" s="37">
        <f t="shared" si="2"/>
        <v>18</v>
      </c>
      <c r="P34" s="36">
        <f t="shared" si="3"/>
        <v>370840.90909090906</v>
      </c>
      <c r="Q34" s="36">
        <f t="shared" si="9"/>
        <v>0</v>
      </c>
      <c r="R34" s="30">
        <f t="shared" si="10"/>
        <v>2456360.9090909092</v>
      </c>
      <c r="S34" s="30">
        <f>(R34-K34+L34-N34-Q34)*'Valores Vigentes'!$D$6</f>
        <v>90979.636363636368</v>
      </c>
      <c r="T34" s="30">
        <f>(R34-K34+L34-N34-Q34)*'Valores Vigentes'!$D$7</f>
        <v>90979.636363636368</v>
      </c>
      <c r="U34" s="36">
        <f>IF(H34&gt;'Valores Vigentes'!$D$4*4,H34*1%,0)</f>
        <v>0</v>
      </c>
      <c r="V34" s="36">
        <f t="shared" si="4"/>
        <v>0</v>
      </c>
      <c r="W34" s="36">
        <f t="shared" si="11"/>
        <v>0</v>
      </c>
      <c r="X34" s="36">
        <f t="shared" si="12"/>
        <v>49127.218181818185</v>
      </c>
      <c r="Y34" s="30">
        <f t="shared" si="13"/>
        <v>231086.49090909091</v>
      </c>
      <c r="Z34" s="30">
        <f t="shared" si="14"/>
        <v>2225274.4181818184</v>
      </c>
    </row>
    <row r="35" spans="1:26" ht="15.75" customHeight="1" x14ac:dyDescent="0.25">
      <c r="A35" s="17" t="s">
        <v>86</v>
      </c>
      <c r="B35" s="17" t="s">
        <v>275</v>
      </c>
      <c r="C35" s="17">
        <v>6</v>
      </c>
      <c r="D35" s="17" t="s">
        <v>276</v>
      </c>
      <c r="E35" s="17" t="s">
        <v>276</v>
      </c>
      <c r="F35" s="17" t="s">
        <v>33</v>
      </c>
      <c r="G35" s="17" t="str">
        <f t="shared" si="0"/>
        <v>PROFESIONAL</v>
      </c>
      <c r="H35" s="30">
        <f t="shared" si="1"/>
        <v>2950000</v>
      </c>
      <c r="I35" s="16">
        <v>27</v>
      </c>
      <c r="J35" s="30">
        <f t="shared" si="5"/>
        <v>2655000</v>
      </c>
      <c r="K35" s="36">
        <f>IF(H35&lt;='Valores Vigentes'!D$4*2,'Valores Vigentes'!$D$5/30*I35,0)</f>
        <v>0</v>
      </c>
      <c r="L35" s="36">
        <f t="shared" si="6"/>
        <v>39825</v>
      </c>
      <c r="M35" s="36">
        <f t="shared" si="7"/>
        <v>0</v>
      </c>
      <c r="N35" s="36">
        <f t="shared" si="8"/>
        <v>66375</v>
      </c>
      <c r="O35" s="37">
        <f t="shared" si="2"/>
        <v>23</v>
      </c>
      <c r="P35" s="36">
        <f t="shared" si="3"/>
        <v>771022.72727272729</v>
      </c>
      <c r="Q35" s="36">
        <f t="shared" si="9"/>
        <v>0</v>
      </c>
      <c r="R35" s="30">
        <f t="shared" si="10"/>
        <v>3532222.7272727275</v>
      </c>
      <c r="S35" s="30">
        <f>(R35-K35+L35-N35-Q35)*'Valores Vigentes'!$D$6</f>
        <v>140226.90909090912</v>
      </c>
      <c r="T35" s="30">
        <f>(R35-K35+L35-N35-Q35)*'Valores Vigentes'!$D$7</f>
        <v>140226.90909090912</v>
      </c>
      <c r="U35" s="36">
        <f>IF(H35&gt;'Valores Vigentes'!$D$4*4,H35*1%,0)</f>
        <v>0</v>
      </c>
      <c r="V35" s="36">
        <f t="shared" si="4"/>
        <v>0</v>
      </c>
      <c r="W35" s="36">
        <f t="shared" si="11"/>
        <v>88500</v>
      </c>
      <c r="X35" s="36">
        <f t="shared" si="12"/>
        <v>70644.454545454559</v>
      </c>
      <c r="Y35" s="30">
        <f t="shared" si="13"/>
        <v>439598.27272727282</v>
      </c>
      <c r="Z35" s="30">
        <f t="shared" si="14"/>
        <v>3092624.4545454546</v>
      </c>
    </row>
    <row r="36" spans="1:26" ht="15.75" customHeight="1" x14ac:dyDescent="0.25">
      <c r="A36" s="17" t="s">
        <v>87</v>
      </c>
      <c r="B36" s="17" t="s">
        <v>278</v>
      </c>
      <c r="C36" s="17">
        <v>6</v>
      </c>
      <c r="D36" s="17" t="s">
        <v>276</v>
      </c>
      <c r="E36" s="17" t="s">
        <v>276</v>
      </c>
      <c r="F36" s="17" t="s">
        <v>35</v>
      </c>
      <c r="G36" s="17" t="str">
        <f t="shared" si="0"/>
        <v>PROFESIONAL</v>
      </c>
      <c r="H36" s="30">
        <f t="shared" si="1"/>
        <v>2950000</v>
      </c>
      <c r="I36" s="16">
        <v>28</v>
      </c>
      <c r="J36" s="30">
        <f t="shared" si="5"/>
        <v>2753333.333333333</v>
      </c>
      <c r="K36" s="36">
        <f>IF(H36&lt;='Valores Vigentes'!D$4*2,'Valores Vigentes'!$D$5/30*I36,0)</f>
        <v>0</v>
      </c>
      <c r="L36" s="36">
        <f t="shared" si="6"/>
        <v>41299.999999999993</v>
      </c>
      <c r="M36" s="36">
        <f t="shared" si="7"/>
        <v>0</v>
      </c>
      <c r="N36" s="36">
        <f t="shared" si="8"/>
        <v>68833.333333333328</v>
      </c>
      <c r="O36" s="37">
        <f t="shared" si="2"/>
        <v>12</v>
      </c>
      <c r="P36" s="36">
        <f t="shared" si="3"/>
        <v>402272.72727272729</v>
      </c>
      <c r="Q36" s="36">
        <f t="shared" si="9"/>
        <v>0</v>
      </c>
      <c r="R36" s="30">
        <f t="shared" si="10"/>
        <v>3265739.3939393936</v>
      </c>
      <c r="S36" s="30">
        <f>(R36-K36+L36-N36-Q36)*'Valores Vigentes'!$D$6</f>
        <v>129528.2424242424</v>
      </c>
      <c r="T36" s="30">
        <f>(R36-K36+L36-N36-Q36)*'Valores Vigentes'!$D$7</f>
        <v>129528.2424242424</v>
      </c>
      <c r="U36" s="36">
        <f>IF(H36&gt;'Valores Vigentes'!$D$4*4,H36*1%,0)</f>
        <v>0</v>
      </c>
      <c r="V36" s="36">
        <f t="shared" si="4"/>
        <v>0</v>
      </c>
      <c r="W36" s="36">
        <f t="shared" si="11"/>
        <v>88500</v>
      </c>
      <c r="X36" s="36">
        <f t="shared" si="12"/>
        <v>65314.787878787873</v>
      </c>
      <c r="Y36" s="30">
        <f t="shared" si="13"/>
        <v>412871.27272727271</v>
      </c>
      <c r="Z36" s="30">
        <f t="shared" si="14"/>
        <v>2852868.1212121211</v>
      </c>
    </row>
    <row r="37" spans="1:26" ht="15.75" customHeight="1" x14ac:dyDescent="0.25">
      <c r="A37" s="17" t="s">
        <v>88</v>
      </c>
      <c r="B37" s="17" t="s">
        <v>278</v>
      </c>
      <c r="C37" s="17">
        <v>1</v>
      </c>
      <c r="D37" s="17" t="s">
        <v>277</v>
      </c>
      <c r="E37" s="17" t="s">
        <v>276</v>
      </c>
      <c r="F37" s="17" t="s">
        <v>37</v>
      </c>
      <c r="G37" s="17" t="str">
        <f t="shared" si="0"/>
        <v>AUXILIAR ADMON</v>
      </c>
      <c r="H37" s="30">
        <f t="shared" si="1"/>
        <v>1423500</v>
      </c>
      <c r="I37" s="16">
        <v>26</v>
      </c>
      <c r="J37" s="30">
        <f t="shared" si="5"/>
        <v>1233700</v>
      </c>
      <c r="K37" s="36">
        <f>IF(H37&lt;='Valores Vigentes'!D$4*2,'Valores Vigentes'!$D$5/30*I37,0)</f>
        <v>173333.33333333334</v>
      </c>
      <c r="L37" s="36">
        <f t="shared" si="6"/>
        <v>18505.5</v>
      </c>
      <c r="M37" s="36">
        <f t="shared" si="7"/>
        <v>0</v>
      </c>
      <c r="N37" s="36">
        <f t="shared" si="8"/>
        <v>18505.5</v>
      </c>
      <c r="O37" s="37">
        <f t="shared" si="2"/>
        <v>28</v>
      </c>
      <c r="P37" s="36">
        <f t="shared" si="3"/>
        <v>452931.81818181812</v>
      </c>
      <c r="Q37" s="36">
        <f t="shared" si="9"/>
        <v>0</v>
      </c>
      <c r="R37" s="30">
        <f t="shared" si="10"/>
        <v>1896976.1515151514</v>
      </c>
      <c r="S37" s="30">
        <f>(R37-K37+L37-N37-Q37)*'Valores Vigentes'!$D$6</f>
        <v>68945.712727272723</v>
      </c>
      <c r="T37" s="30">
        <f>(R37-K37+L37-N37-Q37)*'Valores Vigentes'!$D$7</f>
        <v>68945.712727272723</v>
      </c>
      <c r="U37" s="36">
        <f>IF(H37&gt;'Valores Vigentes'!$D$4*4,H37*1%,0)</f>
        <v>0</v>
      </c>
      <c r="V37" s="36">
        <f t="shared" si="4"/>
        <v>0</v>
      </c>
      <c r="W37" s="36">
        <f t="shared" si="11"/>
        <v>0</v>
      </c>
      <c r="X37" s="36">
        <f t="shared" si="12"/>
        <v>37939.523030303026</v>
      </c>
      <c r="Y37" s="30">
        <f t="shared" si="13"/>
        <v>175830.94848484849</v>
      </c>
      <c r="Z37" s="30">
        <f t="shared" si="14"/>
        <v>1721145.2030303029</v>
      </c>
    </row>
    <row r="38" spans="1:26" ht="15.75" customHeight="1" x14ac:dyDescent="0.25">
      <c r="A38" s="17" t="s">
        <v>89</v>
      </c>
      <c r="B38" s="17" t="s">
        <v>278</v>
      </c>
      <c r="C38" s="17">
        <v>5</v>
      </c>
      <c r="D38" s="17" t="s">
        <v>276</v>
      </c>
      <c r="E38" s="17" t="s">
        <v>276</v>
      </c>
      <c r="F38" s="17" t="s">
        <v>31</v>
      </c>
      <c r="G38" s="17" t="str">
        <f t="shared" si="0"/>
        <v>ASESOR VENTAS</v>
      </c>
      <c r="H38" s="30">
        <f t="shared" si="1"/>
        <v>2650000</v>
      </c>
      <c r="I38" s="16">
        <v>25</v>
      </c>
      <c r="J38" s="30">
        <f t="shared" si="5"/>
        <v>2208333.333333333</v>
      </c>
      <c r="K38" s="36">
        <f>IF(H38&lt;='Valores Vigentes'!D$4*2,'Valores Vigentes'!$D$5/30*I38,0)</f>
        <v>166666.66666666669</v>
      </c>
      <c r="L38" s="36">
        <f t="shared" si="6"/>
        <v>33124.999999999993</v>
      </c>
      <c r="M38" s="36">
        <f t="shared" si="7"/>
        <v>77291.666666666657</v>
      </c>
      <c r="N38" s="36">
        <f t="shared" si="8"/>
        <v>55208.333333333328</v>
      </c>
      <c r="O38" s="37">
        <f t="shared" si="2"/>
        <v>21</v>
      </c>
      <c r="P38" s="36">
        <f t="shared" si="3"/>
        <v>632386.36363636365</v>
      </c>
      <c r="Q38" s="36">
        <f t="shared" si="9"/>
        <v>0</v>
      </c>
      <c r="R38" s="30">
        <f t="shared" si="10"/>
        <v>3173011.3636363633</v>
      </c>
      <c r="S38" s="30">
        <f>(R38-K38+L38-N38-Q38)*'Valores Vigentes'!$D$6</f>
        <v>119370.45454545453</v>
      </c>
      <c r="T38" s="30">
        <f>(R38-K38+L38-N38-Q38)*'Valores Vigentes'!$D$7</f>
        <v>119370.45454545453</v>
      </c>
      <c r="U38" s="36">
        <f>IF(H38&gt;'Valores Vigentes'!$D$4*4,H38*1%,0)</f>
        <v>0</v>
      </c>
      <c r="V38" s="36">
        <f t="shared" si="4"/>
        <v>0</v>
      </c>
      <c r="W38" s="36">
        <f t="shared" si="11"/>
        <v>79500</v>
      </c>
      <c r="X38" s="36">
        <f t="shared" si="12"/>
        <v>63460.227272727265</v>
      </c>
      <c r="Y38" s="30">
        <f t="shared" si="13"/>
        <v>381701.13636363635</v>
      </c>
      <c r="Z38" s="30">
        <f t="shared" si="14"/>
        <v>2791310.2272727271</v>
      </c>
    </row>
    <row r="39" spans="1:26" ht="15.75" customHeight="1" x14ac:dyDescent="0.25">
      <c r="A39" s="17" t="s">
        <v>90</v>
      </c>
      <c r="B39" s="17" t="s">
        <v>278</v>
      </c>
      <c r="C39" s="17">
        <v>5</v>
      </c>
      <c r="D39" s="17" t="s">
        <v>276</v>
      </c>
      <c r="E39" s="17" t="s">
        <v>277</v>
      </c>
      <c r="F39" s="17" t="s">
        <v>33</v>
      </c>
      <c r="G39" s="17" t="str">
        <f t="shared" si="0"/>
        <v>ASESOR VENTAS</v>
      </c>
      <c r="H39" s="30">
        <f t="shared" si="1"/>
        <v>2650000</v>
      </c>
      <c r="I39" s="16">
        <v>30</v>
      </c>
      <c r="J39" s="30">
        <f t="shared" si="5"/>
        <v>2650000</v>
      </c>
      <c r="K39" s="36">
        <f>IF(H39&lt;='Valores Vigentes'!D$4*2,'Valores Vigentes'!$D$5/30*I39,0)</f>
        <v>200000</v>
      </c>
      <c r="L39" s="36">
        <f t="shared" si="6"/>
        <v>66250</v>
      </c>
      <c r="M39" s="36">
        <f t="shared" si="7"/>
        <v>0</v>
      </c>
      <c r="N39" s="36">
        <f t="shared" si="8"/>
        <v>39750</v>
      </c>
      <c r="O39" s="37">
        <f t="shared" si="2"/>
        <v>0</v>
      </c>
      <c r="P39" s="36">
        <f t="shared" si="3"/>
        <v>0</v>
      </c>
      <c r="Q39" s="36">
        <f t="shared" si="9"/>
        <v>0</v>
      </c>
      <c r="R39" s="30">
        <f t="shared" si="10"/>
        <v>2956000</v>
      </c>
      <c r="S39" s="30">
        <f>(R39-K39+L39-N39-Q39)*'Valores Vigentes'!$D$6</f>
        <v>111300</v>
      </c>
      <c r="T39" s="30">
        <f>(R39-K39+L39-N39-Q39)*'Valores Vigentes'!$D$7</f>
        <v>111300</v>
      </c>
      <c r="U39" s="36">
        <f>IF(H39&gt;'Valores Vigentes'!$D$4*4,H39*1%,0)</f>
        <v>0</v>
      </c>
      <c r="V39" s="36">
        <f t="shared" si="4"/>
        <v>0</v>
      </c>
      <c r="W39" s="36">
        <f t="shared" si="11"/>
        <v>79500</v>
      </c>
      <c r="X39" s="36">
        <f t="shared" si="12"/>
        <v>0</v>
      </c>
      <c r="Y39" s="30">
        <f t="shared" si="13"/>
        <v>302100</v>
      </c>
      <c r="Z39" s="30">
        <f t="shared" si="14"/>
        <v>2653900</v>
      </c>
    </row>
    <row r="40" spans="1:26" ht="15.75" customHeight="1" x14ac:dyDescent="0.25">
      <c r="A40" s="17" t="s">
        <v>91</v>
      </c>
      <c r="B40" s="17" t="s">
        <v>278</v>
      </c>
      <c r="C40" s="17">
        <v>1</v>
      </c>
      <c r="D40" s="17" t="s">
        <v>276</v>
      </c>
      <c r="E40" s="17" t="s">
        <v>276</v>
      </c>
      <c r="F40" s="17" t="s">
        <v>41</v>
      </c>
      <c r="G40" s="17" t="str">
        <f t="shared" si="0"/>
        <v>AUXILIAR ADMON</v>
      </c>
      <c r="H40" s="30">
        <f t="shared" si="1"/>
        <v>1423500</v>
      </c>
      <c r="I40" s="16">
        <v>26</v>
      </c>
      <c r="J40" s="30">
        <f t="shared" si="5"/>
        <v>1233700</v>
      </c>
      <c r="K40" s="36">
        <f>IF(H40&lt;='Valores Vigentes'!D$4*2,'Valores Vigentes'!$D$5/30*I40,0)</f>
        <v>173333.33333333334</v>
      </c>
      <c r="L40" s="36">
        <f t="shared" si="6"/>
        <v>18505.5</v>
      </c>
      <c r="M40" s="36">
        <f t="shared" si="7"/>
        <v>0</v>
      </c>
      <c r="N40" s="36">
        <f t="shared" si="8"/>
        <v>30842.5</v>
      </c>
      <c r="O40" s="37">
        <f t="shared" si="2"/>
        <v>16</v>
      </c>
      <c r="P40" s="36">
        <f t="shared" si="3"/>
        <v>258818.18181818179</v>
      </c>
      <c r="Q40" s="36">
        <f t="shared" si="9"/>
        <v>0</v>
      </c>
      <c r="R40" s="30">
        <f t="shared" si="10"/>
        <v>1715199.5151515151</v>
      </c>
      <c r="S40" s="30">
        <f>(R40-K40+L40-N40-Q40)*'Valores Vigentes'!$D$6</f>
        <v>61181.167272727274</v>
      </c>
      <c r="T40" s="30">
        <f>(R40-K40+L40-N40-Q40)*'Valores Vigentes'!$D$7</f>
        <v>61181.167272727274</v>
      </c>
      <c r="U40" s="36">
        <f>IF(H40&gt;'Valores Vigentes'!$D$4*4,H40*1%,0)</f>
        <v>0</v>
      </c>
      <c r="V40" s="36">
        <f t="shared" si="4"/>
        <v>0</v>
      </c>
      <c r="W40" s="36">
        <f t="shared" si="11"/>
        <v>42705</v>
      </c>
      <c r="X40" s="36">
        <f t="shared" si="12"/>
        <v>34303.990303030303</v>
      </c>
      <c r="Y40" s="30">
        <f t="shared" si="13"/>
        <v>199371.32484848483</v>
      </c>
      <c r="Z40" s="30">
        <f t="shared" si="14"/>
        <v>1515828.1903030304</v>
      </c>
    </row>
    <row r="41" spans="1:26" ht="15.75" customHeight="1" x14ac:dyDescent="0.25">
      <c r="A41" s="17" t="s">
        <v>92</v>
      </c>
      <c r="B41" s="17" t="s">
        <v>278</v>
      </c>
      <c r="C41" s="17">
        <v>2</v>
      </c>
      <c r="D41" s="17" t="s">
        <v>276</v>
      </c>
      <c r="E41" s="17" t="s">
        <v>276</v>
      </c>
      <c r="F41" s="17" t="s">
        <v>31</v>
      </c>
      <c r="G41" s="17" t="str">
        <f t="shared" si="0"/>
        <v>ASISTENTES</v>
      </c>
      <c r="H41" s="30">
        <f t="shared" si="1"/>
        <v>1626000</v>
      </c>
      <c r="I41" s="16">
        <v>30</v>
      </c>
      <c r="J41" s="30">
        <f t="shared" si="5"/>
        <v>1626000</v>
      </c>
      <c r="K41" s="36">
        <f>IF(H41&lt;='Valores Vigentes'!D$4*2,'Valores Vigentes'!$D$5/30*I41,0)</f>
        <v>200000</v>
      </c>
      <c r="L41" s="36">
        <f t="shared" si="6"/>
        <v>40650</v>
      </c>
      <c r="M41" s="36">
        <f t="shared" si="7"/>
        <v>56910.000000000007</v>
      </c>
      <c r="N41" s="36">
        <f t="shared" si="8"/>
        <v>40650</v>
      </c>
      <c r="O41" s="37">
        <f t="shared" si="2"/>
        <v>23</v>
      </c>
      <c r="P41" s="36">
        <f t="shared" si="3"/>
        <v>424977.27272727276</v>
      </c>
      <c r="Q41" s="36">
        <f t="shared" si="9"/>
        <v>0</v>
      </c>
      <c r="R41" s="30">
        <f t="shared" si="10"/>
        <v>2389187.2727272729</v>
      </c>
      <c r="S41" s="30">
        <f>(R41-K41+L41-N41-Q41)*'Valores Vigentes'!$D$6</f>
        <v>87567.49090909092</v>
      </c>
      <c r="T41" s="30">
        <f>(R41-K41+L41-N41-Q41)*'Valores Vigentes'!$D$7</f>
        <v>87567.49090909092</v>
      </c>
      <c r="U41" s="36">
        <f>IF(H41&gt;'Valores Vigentes'!$D$4*4,H41*1%,0)</f>
        <v>0</v>
      </c>
      <c r="V41" s="36">
        <f t="shared" si="4"/>
        <v>0</v>
      </c>
      <c r="W41" s="36">
        <f t="shared" si="11"/>
        <v>48780</v>
      </c>
      <c r="X41" s="36">
        <f t="shared" si="12"/>
        <v>47783.74545454546</v>
      </c>
      <c r="Y41" s="30">
        <f t="shared" si="13"/>
        <v>271698.72727272729</v>
      </c>
      <c r="Z41" s="30">
        <f t="shared" si="14"/>
        <v>2117488.5454545459</v>
      </c>
    </row>
    <row r="42" spans="1:26" ht="15.75" customHeight="1" x14ac:dyDescent="0.25">
      <c r="A42" s="17" t="s">
        <v>93</v>
      </c>
      <c r="B42" s="17" t="s">
        <v>278</v>
      </c>
      <c r="C42" s="17">
        <v>8</v>
      </c>
      <c r="D42" s="17" t="s">
        <v>276</v>
      </c>
      <c r="E42" s="17" t="s">
        <v>276</v>
      </c>
      <c r="F42" s="17" t="s">
        <v>31</v>
      </c>
      <c r="G42" s="17" t="str">
        <f t="shared" si="0"/>
        <v>ASESOR</v>
      </c>
      <c r="H42" s="30">
        <f t="shared" si="1"/>
        <v>3900000</v>
      </c>
      <c r="I42" s="16">
        <v>26</v>
      </c>
      <c r="J42" s="30">
        <f t="shared" si="5"/>
        <v>3380000</v>
      </c>
      <c r="K42" s="36">
        <f>IF(H42&lt;='Valores Vigentes'!D$4*2,'Valores Vigentes'!$D$5/30*I42,0)</f>
        <v>0</v>
      </c>
      <c r="L42" s="36">
        <f t="shared" si="6"/>
        <v>50700</v>
      </c>
      <c r="M42" s="36">
        <f t="shared" si="7"/>
        <v>118300.00000000001</v>
      </c>
      <c r="N42" s="36">
        <f t="shared" si="8"/>
        <v>84500</v>
      </c>
      <c r="O42" s="37">
        <f t="shared" si="2"/>
        <v>8</v>
      </c>
      <c r="P42" s="36">
        <f t="shared" si="3"/>
        <v>354545.45454545459</v>
      </c>
      <c r="Q42" s="36">
        <f t="shared" si="9"/>
        <v>0</v>
      </c>
      <c r="R42" s="30">
        <f t="shared" si="10"/>
        <v>3988045.4545454546</v>
      </c>
      <c r="S42" s="30">
        <f>(R42-K42+L42-N42-Q42)*'Valores Vigentes'!$D$6</f>
        <v>158169.81818181818</v>
      </c>
      <c r="T42" s="30">
        <f>(R42-K42+L42-N42-Q42)*'Valores Vigentes'!$D$7</f>
        <v>158169.81818181818</v>
      </c>
      <c r="U42" s="36">
        <f>IF(H42&gt;'Valores Vigentes'!$D$4*4,H42*1%,0)</f>
        <v>0</v>
      </c>
      <c r="V42" s="36">
        <f t="shared" si="4"/>
        <v>65000</v>
      </c>
      <c r="W42" s="36">
        <f t="shared" si="11"/>
        <v>117000</v>
      </c>
      <c r="X42" s="36">
        <f t="shared" si="12"/>
        <v>79760.909090909088</v>
      </c>
      <c r="Y42" s="30">
        <f t="shared" si="13"/>
        <v>578100.54545454541</v>
      </c>
      <c r="Z42" s="30">
        <f t="shared" si="14"/>
        <v>3409944.9090909092</v>
      </c>
    </row>
    <row r="43" spans="1:26" ht="15.75" customHeight="1" x14ac:dyDescent="0.25">
      <c r="A43" s="17" t="s">
        <v>94</v>
      </c>
      <c r="B43" s="17" t="s">
        <v>275</v>
      </c>
      <c r="C43" s="17">
        <v>10</v>
      </c>
      <c r="D43" s="17" t="s">
        <v>276</v>
      </c>
      <c r="E43" s="17" t="s">
        <v>276</v>
      </c>
      <c r="F43" s="17" t="s">
        <v>33</v>
      </c>
      <c r="G43" s="17" t="str">
        <f t="shared" si="0"/>
        <v>GERENTE</v>
      </c>
      <c r="H43" s="30">
        <f t="shared" si="1"/>
        <v>6500000</v>
      </c>
      <c r="I43" s="16">
        <v>28</v>
      </c>
      <c r="J43" s="30">
        <f t="shared" si="5"/>
        <v>6066666.666666666</v>
      </c>
      <c r="K43" s="36">
        <f>IF(H43&lt;='Valores Vigentes'!D$4*2,'Valores Vigentes'!$D$5/30*I43,0)</f>
        <v>0</v>
      </c>
      <c r="L43" s="36">
        <f t="shared" si="6"/>
        <v>90999.999999999985</v>
      </c>
      <c r="M43" s="36">
        <f t="shared" si="7"/>
        <v>0</v>
      </c>
      <c r="N43" s="36">
        <f t="shared" si="8"/>
        <v>151666.66666666666</v>
      </c>
      <c r="O43" s="37">
        <f t="shared" si="2"/>
        <v>23</v>
      </c>
      <c r="P43" s="36">
        <f t="shared" si="3"/>
        <v>1698863.6363636362</v>
      </c>
      <c r="Q43" s="36">
        <f t="shared" si="9"/>
        <v>975000</v>
      </c>
      <c r="R43" s="30">
        <f t="shared" si="10"/>
        <v>8983196.9696969688</v>
      </c>
      <c r="S43" s="30">
        <f>(R43-K43+L43-N43-Q43)*'Valores Vigentes'!$D$6</f>
        <v>317901.2121212121</v>
      </c>
      <c r="T43" s="30">
        <f>(R43-K43+L43-N43-Q43)*'Valores Vigentes'!$D$7</f>
        <v>317901.2121212121</v>
      </c>
      <c r="U43" s="36">
        <f>IF(H43&gt;'Valores Vigentes'!$D$4*4,H43*1%,0)</f>
        <v>65000</v>
      </c>
      <c r="V43" s="36">
        <f t="shared" si="4"/>
        <v>85000</v>
      </c>
      <c r="W43" s="36">
        <f t="shared" si="11"/>
        <v>195000</v>
      </c>
      <c r="X43" s="36">
        <f t="shared" si="12"/>
        <v>179663.93939393939</v>
      </c>
      <c r="Y43" s="30">
        <f t="shared" si="13"/>
        <v>1160466.3636363635</v>
      </c>
      <c r="Z43" s="30">
        <f t="shared" si="14"/>
        <v>7822730.6060606055</v>
      </c>
    </row>
    <row r="44" spans="1:26" ht="15.75" customHeight="1" x14ac:dyDescent="0.25">
      <c r="A44" s="17" t="s">
        <v>95</v>
      </c>
      <c r="B44" s="17" t="s">
        <v>278</v>
      </c>
      <c r="C44" s="17">
        <v>8</v>
      </c>
      <c r="D44" s="17" t="s">
        <v>277</v>
      </c>
      <c r="E44" s="17" t="s">
        <v>276</v>
      </c>
      <c r="F44" s="17" t="s">
        <v>31</v>
      </c>
      <c r="G44" s="17" t="str">
        <f t="shared" si="0"/>
        <v>ASESOR</v>
      </c>
      <c r="H44" s="30">
        <f t="shared" si="1"/>
        <v>3900000</v>
      </c>
      <c r="I44" s="16">
        <v>28</v>
      </c>
      <c r="J44" s="30">
        <f t="shared" si="5"/>
        <v>3640000</v>
      </c>
      <c r="K44" s="36">
        <f>IF(H44&lt;='Valores Vigentes'!D$4*2,'Valores Vigentes'!$D$5/30*I44,0)</f>
        <v>0</v>
      </c>
      <c r="L44" s="36">
        <f t="shared" si="6"/>
        <v>54600</v>
      </c>
      <c r="M44" s="36">
        <f t="shared" si="7"/>
        <v>127400.00000000001</v>
      </c>
      <c r="N44" s="36">
        <f t="shared" si="8"/>
        <v>54600</v>
      </c>
      <c r="O44" s="37">
        <f t="shared" si="2"/>
        <v>7</v>
      </c>
      <c r="P44" s="36">
        <f t="shared" si="3"/>
        <v>310227.27272727276</v>
      </c>
      <c r="Q44" s="36">
        <f t="shared" si="9"/>
        <v>0</v>
      </c>
      <c r="R44" s="30">
        <f t="shared" si="10"/>
        <v>4186827.2727272729</v>
      </c>
      <c r="S44" s="30">
        <f>(R44-K44+L44-N44-Q44)*'Valores Vigentes'!$D$6</f>
        <v>167473.09090909094</v>
      </c>
      <c r="T44" s="30">
        <f>(R44-K44+L44-N44-Q44)*'Valores Vigentes'!$D$7</f>
        <v>167473.09090909094</v>
      </c>
      <c r="U44" s="36">
        <f>IF(H44&gt;'Valores Vigentes'!$D$4*4,H44*1%,0)</f>
        <v>0</v>
      </c>
      <c r="V44" s="36">
        <f t="shared" si="4"/>
        <v>65000</v>
      </c>
      <c r="W44" s="36">
        <f t="shared" si="11"/>
        <v>0</v>
      </c>
      <c r="X44" s="36">
        <f t="shared" si="12"/>
        <v>83736.545454545456</v>
      </c>
      <c r="Y44" s="30">
        <f t="shared" si="13"/>
        <v>483682.72727272735</v>
      </c>
      <c r="Z44" s="30">
        <f t="shared" si="14"/>
        <v>3703144.5454545454</v>
      </c>
    </row>
    <row r="45" spans="1:26" ht="15.75" customHeight="1" x14ac:dyDescent="0.25">
      <c r="A45" s="17" t="s">
        <v>96</v>
      </c>
      <c r="B45" s="17" t="s">
        <v>275</v>
      </c>
      <c r="C45" s="17">
        <v>5</v>
      </c>
      <c r="D45" s="17" t="s">
        <v>277</v>
      </c>
      <c r="E45" s="17" t="s">
        <v>276</v>
      </c>
      <c r="F45" s="17" t="s">
        <v>31</v>
      </c>
      <c r="G45" s="17" t="str">
        <f t="shared" si="0"/>
        <v>ASESOR VENTAS</v>
      </c>
      <c r="H45" s="30">
        <f t="shared" si="1"/>
        <v>2650000</v>
      </c>
      <c r="I45" s="16">
        <v>29</v>
      </c>
      <c r="J45" s="30">
        <f t="shared" si="5"/>
        <v>2561666.6666666665</v>
      </c>
      <c r="K45" s="36">
        <f>IF(H45&lt;='Valores Vigentes'!D$4*2,'Valores Vigentes'!$D$5/30*I45,0)</f>
        <v>193333.33333333334</v>
      </c>
      <c r="L45" s="36">
        <f t="shared" si="6"/>
        <v>38424.999999999993</v>
      </c>
      <c r="M45" s="36">
        <f t="shared" si="7"/>
        <v>89658.333333333343</v>
      </c>
      <c r="N45" s="36">
        <f t="shared" si="8"/>
        <v>38424.999999999993</v>
      </c>
      <c r="O45" s="37">
        <f t="shared" si="2"/>
        <v>18</v>
      </c>
      <c r="P45" s="36">
        <f t="shared" si="3"/>
        <v>542045.45454545459</v>
      </c>
      <c r="Q45" s="36">
        <f t="shared" si="9"/>
        <v>0</v>
      </c>
      <c r="R45" s="30">
        <f t="shared" si="10"/>
        <v>3463553.7878787881</v>
      </c>
      <c r="S45" s="30">
        <f>(R45-K45+L45-N45-Q45)*'Valores Vigentes'!$D$6</f>
        <v>130808.81818181819</v>
      </c>
      <c r="T45" s="30">
        <f>(R45-K45+L45-N45-Q45)*'Valores Vigentes'!$D$7</f>
        <v>130808.81818181819</v>
      </c>
      <c r="U45" s="36">
        <f>IF(H45&gt;'Valores Vigentes'!$D$4*4,H45*1%,0)</f>
        <v>0</v>
      </c>
      <c r="V45" s="36">
        <f t="shared" si="4"/>
        <v>0</v>
      </c>
      <c r="W45" s="36">
        <f t="shared" si="11"/>
        <v>0</v>
      </c>
      <c r="X45" s="36">
        <f t="shared" si="12"/>
        <v>69271.07575757576</v>
      </c>
      <c r="Y45" s="30">
        <f t="shared" si="13"/>
        <v>330888.71212121216</v>
      </c>
      <c r="Z45" s="30">
        <f t="shared" si="14"/>
        <v>3132665.0757575762</v>
      </c>
    </row>
    <row r="46" spans="1:26" ht="15.75" customHeight="1" x14ac:dyDescent="0.25">
      <c r="A46" s="17" t="s">
        <v>97</v>
      </c>
      <c r="B46" s="17" t="s">
        <v>275</v>
      </c>
      <c r="C46" s="17">
        <v>1</v>
      </c>
      <c r="D46" s="17" t="s">
        <v>276</v>
      </c>
      <c r="E46" s="17" t="s">
        <v>277</v>
      </c>
      <c r="F46" s="17" t="s">
        <v>43</v>
      </c>
      <c r="G46" s="17" t="str">
        <f t="shared" si="0"/>
        <v>AUXILIAR ADMON</v>
      </c>
      <c r="H46" s="30">
        <f t="shared" si="1"/>
        <v>1423500</v>
      </c>
      <c r="I46" s="16">
        <v>25</v>
      </c>
      <c r="J46" s="30">
        <f t="shared" si="5"/>
        <v>1186250</v>
      </c>
      <c r="K46" s="36">
        <f>IF(H46&lt;='Valores Vigentes'!D$4*2,'Valores Vigentes'!$D$5/30*I46,0)</f>
        <v>166666.66666666669</v>
      </c>
      <c r="L46" s="36">
        <f t="shared" si="6"/>
        <v>17793.75</v>
      </c>
      <c r="M46" s="36">
        <f t="shared" si="7"/>
        <v>0</v>
      </c>
      <c r="N46" s="36">
        <f t="shared" si="8"/>
        <v>17793.75</v>
      </c>
      <c r="O46" s="37">
        <f t="shared" si="2"/>
        <v>2</v>
      </c>
      <c r="P46" s="36">
        <f t="shared" si="3"/>
        <v>32352.272727272724</v>
      </c>
      <c r="Q46" s="36">
        <f t="shared" si="9"/>
        <v>0</v>
      </c>
      <c r="R46" s="30">
        <f t="shared" si="10"/>
        <v>1420856.4393939395</v>
      </c>
      <c r="S46" s="30">
        <f>(R46-K46+L46-N46-Q46)*'Valores Vigentes'!$D$6</f>
        <v>50167.590909090912</v>
      </c>
      <c r="T46" s="30">
        <f>(R46-K46+L46-N46-Q46)*'Valores Vigentes'!$D$7</f>
        <v>50167.590909090912</v>
      </c>
      <c r="U46" s="36">
        <f>IF(H46&gt;'Valores Vigentes'!$D$4*4,H46*1%,0)</f>
        <v>0</v>
      </c>
      <c r="V46" s="36">
        <f t="shared" si="4"/>
        <v>0</v>
      </c>
      <c r="W46" s="36">
        <f t="shared" si="11"/>
        <v>42705</v>
      </c>
      <c r="X46" s="36">
        <f t="shared" si="12"/>
        <v>0</v>
      </c>
      <c r="Y46" s="30">
        <f t="shared" si="13"/>
        <v>143040.18181818182</v>
      </c>
      <c r="Z46" s="30">
        <f t="shared" si="14"/>
        <v>1277816.2575757576</v>
      </c>
    </row>
    <row r="47" spans="1:26" ht="15.75" customHeight="1" x14ac:dyDescent="0.25">
      <c r="A47" s="17" t="s">
        <v>98</v>
      </c>
      <c r="B47" s="17" t="s">
        <v>278</v>
      </c>
      <c r="C47" s="17">
        <v>8</v>
      </c>
      <c r="D47" s="17" t="s">
        <v>276</v>
      </c>
      <c r="E47" s="17" t="s">
        <v>276</v>
      </c>
      <c r="F47" s="17" t="s">
        <v>31</v>
      </c>
      <c r="G47" s="17" t="str">
        <f t="shared" ref="G47:G78" si="15">VLOOKUP(C47,SALARIOSACTUALES,2,0)</f>
        <v>ASESOR</v>
      </c>
      <c r="H47" s="30">
        <f t="shared" ref="H47:H78" si="16">VLOOKUP(C47,SALARIOSACTUALES,3,0)</f>
        <v>3900000</v>
      </c>
      <c r="I47" s="16">
        <v>27</v>
      </c>
      <c r="J47" s="30">
        <f t="shared" si="5"/>
        <v>3510000</v>
      </c>
      <c r="K47" s="36">
        <f>IF(H47&lt;='Valores Vigentes'!D$4*2,'Valores Vigentes'!$D$5/30*I47,0)</f>
        <v>0</v>
      </c>
      <c r="L47" s="36">
        <f t="shared" si="6"/>
        <v>52650</v>
      </c>
      <c r="M47" s="36">
        <f t="shared" si="7"/>
        <v>122850.00000000001</v>
      </c>
      <c r="N47" s="36">
        <f t="shared" si="8"/>
        <v>87750</v>
      </c>
      <c r="O47" s="37">
        <f t="shared" ref="O47:O78" si="17">VLOOKUP(A47,HORASEXTRAS,11,0)</f>
        <v>21</v>
      </c>
      <c r="P47" s="36">
        <f t="shared" ref="P47:P78" si="18">VLOOKUP(A47,HORASEXTRAS,10,0)</f>
        <v>930681.81818181835</v>
      </c>
      <c r="Q47" s="36">
        <f t="shared" si="9"/>
        <v>0</v>
      </c>
      <c r="R47" s="30">
        <f t="shared" si="10"/>
        <v>4703931.8181818184</v>
      </c>
      <c r="S47" s="30">
        <f>(R47-K47+L47-N47-Q47)*'Valores Vigentes'!$D$6</f>
        <v>186753.27272727274</v>
      </c>
      <c r="T47" s="30">
        <f>(R47-K47+L47-N47-Q47)*'Valores Vigentes'!$D$7</f>
        <v>186753.27272727274</v>
      </c>
      <c r="U47" s="36">
        <f>IF(H47&gt;'Valores Vigentes'!$D$4*4,H47*1%,0)</f>
        <v>0</v>
      </c>
      <c r="V47" s="36">
        <f t="shared" ref="V47:V78" si="19">HLOOKUP(R47,RETEFUENTE,2,1)</f>
        <v>79000</v>
      </c>
      <c r="W47" s="36">
        <f t="shared" si="11"/>
        <v>117000</v>
      </c>
      <c r="X47" s="36">
        <f t="shared" si="12"/>
        <v>94078.636363636368</v>
      </c>
      <c r="Y47" s="30">
        <f t="shared" si="13"/>
        <v>663585.18181818177</v>
      </c>
      <c r="Z47" s="30">
        <f t="shared" si="14"/>
        <v>4040346.6363636367</v>
      </c>
    </row>
    <row r="48" spans="1:26" ht="15.75" customHeight="1" x14ac:dyDescent="0.25">
      <c r="A48" s="17" t="s">
        <v>99</v>
      </c>
      <c r="B48" s="17" t="s">
        <v>275</v>
      </c>
      <c r="C48" s="17">
        <v>1</v>
      </c>
      <c r="D48" s="17" t="s">
        <v>277</v>
      </c>
      <c r="E48" s="17" t="s">
        <v>276</v>
      </c>
      <c r="F48" s="17" t="s">
        <v>33</v>
      </c>
      <c r="G48" s="17" t="str">
        <f t="shared" si="15"/>
        <v>AUXILIAR ADMON</v>
      </c>
      <c r="H48" s="30">
        <f t="shared" si="16"/>
        <v>1423500</v>
      </c>
      <c r="I48" s="16">
        <v>28</v>
      </c>
      <c r="J48" s="30">
        <f t="shared" si="5"/>
        <v>1328600</v>
      </c>
      <c r="K48" s="36">
        <f>IF(H48&lt;='Valores Vigentes'!D$4*2,'Valores Vigentes'!$D$5/30*I48,0)</f>
        <v>186666.66666666669</v>
      </c>
      <c r="L48" s="36">
        <f t="shared" si="6"/>
        <v>19929</v>
      </c>
      <c r="M48" s="36">
        <f t="shared" si="7"/>
        <v>0</v>
      </c>
      <c r="N48" s="36">
        <f t="shared" si="8"/>
        <v>19929</v>
      </c>
      <c r="O48" s="37">
        <f t="shared" si="17"/>
        <v>13</v>
      </c>
      <c r="P48" s="36">
        <f t="shared" si="18"/>
        <v>210289.77272727271</v>
      </c>
      <c r="Q48" s="36">
        <f t="shared" si="9"/>
        <v>0</v>
      </c>
      <c r="R48" s="30">
        <f t="shared" si="10"/>
        <v>1765414.4393939395</v>
      </c>
      <c r="S48" s="30">
        <f>(R48-K48+L48-N48-Q48)*'Valores Vigentes'!$D$6</f>
        <v>63149.910909090911</v>
      </c>
      <c r="T48" s="30">
        <f>(R48-K48+L48-N48-Q48)*'Valores Vigentes'!$D$7</f>
        <v>63149.910909090911</v>
      </c>
      <c r="U48" s="36">
        <f>IF(H48&gt;'Valores Vigentes'!$D$4*4,H48*1%,0)</f>
        <v>0</v>
      </c>
      <c r="V48" s="36">
        <f t="shared" si="19"/>
        <v>0</v>
      </c>
      <c r="W48" s="36">
        <f t="shared" si="11"/>
        <v>0</v>
      </c>
      <c r="X48" s="36">
        <f t="shared" si="12"/>
        <v>35308.288787878788</v>
      </c>
      <c r="Y48" s="30">
        <f t="shared" si="13"/>
        <v>161608.1106060606</v>
      </c>
      <c r="Z48" s="30">
        <f t="shared" si="14"/>
        <v>1603806.3287878789</v>
      </c>
    </row>
    <row r="49" spans="1:26" ht="15.75" customHeight="1" x14ac:dyDescent="0.25">
      <c r="A49" s="17" t="s">
        <v>100</v>
      </c>
      <c r="B49" s="17" t="s">
        <v>275</v>
      </c>
      <c r="C49" s="17">
        <v>8</v>
      </c>
      <c r="D49" s="17" t="s">
        <v>276</v>
      </c>
      <c r="E49" s="17" t="s">
        <v>276</v>
      </c>
      <c r="F49" s="17" t="s">
        <v>35</v>
      </c>
      <c r="G49" s="17" t="str">
        <f t="shared" si="15"/>
        <v>ASESOR</v>
      </c>
      <c r="H49" s="30">
        <f t="shared" si="16"/>
        <v>3900000</v>
      </c>
      <c r="I49" s="16">
        <v>25</v>
      </c>
      <c r="J49" s="30">
        <f t="shared" si="5"/>
        <v>3250000</v>
      </c>
      <c r="K49" s="36">
        <f>IF(H49&lt;='Valores Vigentes'!D$4*2,'Valores Vigentes'!$D$5/30*I49,0)</f>
        <v>0</v>
      </c>
      <c r="L49" s="36">
        <f t="shared" si="6"/>
        <v>48750</v>
      </c>
      <c r="M49" s="36">
        <f t="shared" si="7"/>
        <v>0</v>
      </c>
      <c r="N49" s="36">
        <f t="shared" si="8"/>
        <v>81250</v>
      </c>
      <c r="O49" s="37">
        <f t="shared" si="17"/>
        <v>9</v>
      </c>
      <c r="P49" s="36">
        <f t="shared" si="18"/>
        <v>398863.63636363641</v>
      </c>
      <c r="Q49" s="36">
        <f t="shared" si="9"/>
        <v>0</v>
      </c>
      <c r="R49" s="30">
        <f t="shared" si="10"/>
        <v>3778863.6363636362</v>
      </c>
      <c r="S49" s="30">
        <f>(R49-K49+L49-N49-Q49)*'Valores Vigentes'!$D$6</f>
        <v>149854.54545454544</v>
      </c>
      <c r="T49" s="30">
        <f>(R49-K49+L49-N49-Q49)*'Valores Vigentes'!$D$7</f>
        <v>149854.54545454544</v>
      </c>
      <c r="U49" s="36">
        <f>IF(H49&gt;'Valores Vigentes'!$D$4*4,H49*1%,0)</f>
        <v>0</v>
      </c>
      <c r="V49" s="36">
        <f t="shared" si="19"/>
        <v>0</v>
      </c>
      <c r="W49" s="36">
        <f t="shared" si="11"/>
        <v>117000</v>
      </c>
      <c r="X49" s="36">
        <f t="shared" si="12"/>
        <v>75577.272727272721</v>
      </c>
      <c r="Y49" s="30">
        <f t="shared" si="13"/>
        <v>492286.36363636359</v>
      </c>
      <c r="Z49" s="30">
        <f t="shared" si="14"/>
        <v>3286577.2727272725</v>
      </c>
    </row>
    <row r="50" spans="1:26" ht="15.75" customHeight="1" x14ac:dyDescent="0.25">
      <c r="A50" s="17" t="s">
        <v>101</v>
      </c>
      <c r="B50" s="17" t="s">
        <v>275</v>
      </c>
      <c r="C50" s="17">
        <v>7</v>
      </c>
      <c r="D50" s="17" t="s">
        <v>276</v>
      </c>
      <c r="E50" s="17" t="s">
        <v>276</v>
      </c>
      <c r="F50" s="17" t="s">
        <v>31</v>
      </c>
      <c r="G50" s="17" t="str">
        <f t="shared" si="15"/>
        <v>COORDINADOR</v>
      </c>
      <c r="H50" s="30">
        <f t="shared" si="16"/>
        <v>3250000</v>
      </c>
      <c r="I50" s="16">
        <v>29</v>
      </c>
      <c r="J50" s="30">
        <f t="shared" si="5"/>
        <v>3141666.6666666665</v>
      </c>
      <c r="K50" s="36">
        <f>IF(H50&lt;='Valores Vigentes'!D$4*2,'Valores Vigentes'!$D$5/30*I50,0)</f>
        <v>0</v>
      </c>
      <c r="L50" s="36">
        <f t="shared" si="6"/>
        <v>47124.999999999993</v>
      </c>
      <c r="M50" s="36">
        <f t="shared" si="7"/>
        <v>109958.33333333334</v>
      </c>
      <c r="N50" s="36">
        <f t="shared" si="8"/>
        <v>78541.666666666672</v>
      </c>
      <c r="O50" s="37">
        <f t="shared" si="17"/>
        <v>29</v>
      </c>
      <c r="P50" s="36">
        <f t="shared" si="18"/>
        <v>1071022.7272727271</v>
      </c>
      <c r="Q50" s="36">
        <f t="shared" si="9"/>
        <v>0</v>
      </c>
      <c r="R50" s="30">
        <f t="shared" si="10"/>
        <v>4448314.3939393936</v>
      </c>
      <c r="S50" s="30">
        <f>(R50-K50+L50-N50-Q50)*'Valores Vigentes'!$D$6</f>
        <v>176675.90909090906</v>
      </c>
      <c r="T50" s="30">
        <f>(R50-K50+L50-N50-Q50)*'Valores Vigentes'!$D$7</f>
        <v>176675.90909090906</v>
      </c>
      <c r="U50" s="36">
        <f>IF(H50&gt;'Valores Vigentes'!$D$4*4,H50*1%,0)</f>
        <v>0</v>
      </c>
      <c r="V50" s="36">
        <f t="shared" si="19"/>
        <v>65000</v>
      </c>
      <c r="W50" s="36">
        <f t="shared" si="11"/>
        <v>97500</v>
      </c>
      <c r="X50" s="36">
        <f t="shared" si="12"/>
        <v>88966.287878787873</v>
      </c>
      <c r="Y50" s="30">
        <f t="shared" si="13"/>
        <v>604818.10606060596</v>
      </c>
      <c r="Z50" s="30">
        <f t="shared" si="14"/>
        <v>3843496.2878787876</v>
      </c>
    </row>
    <row r="51" spans="1:26" ht="15.75" customHeight="1" x14ac:dyDescent="0.25">
      <c r="A51" s="17" t="s">
        <v>102</v>
      </c>
      <c r="B51" s="17" t="s">
        <v>278</v>
      </c>
      <c r="C51" s="17">
        <v>2</v>
      </c>
      <c r="D51" s="17" t="s">
        <v>276</v>
      </c>
      <c r="E51" s="17" t="s">
        <v>276</v>
      </c>
      <c r="F51" s="17" t="s">
        <v>31</v>
      </c>
      <c r="G51" s="17" t="str">
        <f t="shared" si="15"/>
        <v>ASISTENTES</v>
      </c>
      <c r="H51" s="30">
        <f t="shared" si="16"/>
        <v>1626000</v>
      </c>
      <c r="I51" s="16">
        <v>28</v>
      </c>
      <c r="J51" s="30">
        <f t="shared" si="5"/>
        <v>1517600</v>
      </c>
      <c r="K51" s="36">
        <f>IF(H51&lt;='Valores Vigentes'!D$4*2,'Valores Vigentes'!$D$5/30*I51,0)</f>
        <v>186666.66666666669</v>
      </c>
      <c r="L51" s="36">
        <f t="shared" si="6"/>
        <v>22764</v>
      </c>
      <c r="M51" s="36">
        <f t="shared" si="7"/>
        <v>53116.000000000007</v>
      </c>
      <c r="N51" s="36">
        <f t="shared" si="8"/>
        <v>37940</v>
      </c>
      <c r="O51" s="37">
        <f t="shared" si="17"/>
        <v>12</v>
      </c>
      <c r="P51" s="36">
        <f t="shared" si="18"/>
        <v>221727.27272727274</v>
      </c>
      <c r="Q51" s="36">
        <f t="shared" si="9"/>
        <v>0</v>
      </c>
      <c r="R51" s="30">
        <f t="shared" si="10"/>
        <v>2039813.9393939395</v>
      </c>
      <c r="S51" s="30">
        <f>(R51-K51+L51-N51-Q51)*'Valores Vigentes'!$D$6</f>
        <v>73518.850909090906</v>
      </c>
      <c r="T51" s="30">
        <f>(R51-K51+L51-N51-Q51)*'Valores Vigentes'!$D$7</f>
        <v>73518.850909090906</v>
      </c>
      <c r="U51" s="36">
        <f>IF(H51&gt;'Valores Vigentes'!$D$4*4,H51*1%,0)</f>
        <v>0</v>
      </c>
      <c r="V51" s="36">
        <f t="shared" si="19"/>
        <v>0</v>
      </c>
      <c r="W51" s="36">
        <f t="shared" si="11"/>
        <v>48780</v>
      </c>
      <c r="X51" s="36">
        <f t="shared" si="12"/>
        <v>40796.278787878793</v>
      </c>
      <c r="Y51" s="30">
        <f t="shared" si="13"/>
        <v>236613.98060606059</v>
      </c>
      <c r="Z51" s="30">
        <f t="shared" si="14"/>
        <v>1803199.958787879</v>
      </c>
    </row>
    <row r="52" spans="1:26" ht="15.75" customHeight="1" x14ac:dyDescent="0.25">
      <c r="A52" s="17" t="s">
        <v>103</v>
      </c>
      <c r="B52" s="17" t="s">
        <v>278</v>
      </c>
      <c r="C52" s="17">
        <v>1</v>
      </c>
      <c r="D52" s="17" t="s">
        <v>277</v>
      </c>
      <c r="E52" s="17" t="s">
        <v>276</v>
      </c>
      <c r="F52" s="17" t="s">
        <v>33</v>
      </c>
      <c r="G52" s="17" t="str">
        <f t="shared" si="15"/>
        <v>AUXILIAR ADMON</v>
      </c>
      <c r="H52" s="30">
        <f t="shared" si="16"/>
        <v>1423500</v>
      </c>
      <c r="I52" s="16">
        <v>27</v>
      </c>
      <c r="J52" s="30">
        <f t="shared" si="5"/>
        <v>1281150</v>
      </c>
      <c r="K52" s="36">
        <f>IF(H52&lt;='Valores Vigentes'!D$4*2,'Valores Vigentes'!$D$5/30*I52,0)</f>
        <v>180000</v>
      </c>
      <c r="L52" s="36">
        <f t="shared" si="6"/>
        <v>19217.25</v>
      </c>
      <c r="M52" s="36">
        <f t="shared" si="7"/>
        <v>0</v>
      </c>
      <c r="N52" s="36">
        <f t="shared" si="8"/>
        <v>19217.25</v>
      </c>
      <c r="O52" s="37">
        <f t="shared" si="17"/>
        <v>15</v>
      </c>
      <c r="P52" s="36">
        <f t="shared" si="18"/>
        <v>242642.04545454544</v>
      </c>
      <c r="Q52" s="36">
        <f t="shared" si="9"/>
        <v>0</v>
      </c>
      <c r="R52" s="30">
        <f t="shared" si="10"/>
        <v>1742226.5454545454</v>
      </c>
      <c r="S52" s="30">
        <f>(R52-K52+L52-N52-Q52)*'Valores Vigentes'!$D$6</f>
        <v>62489.061818181821</v>
      </c>
      <c r="T52" s="30">
        <f>(R52-K52+L52-N52-Q52)*'Valores Vigentes'!$D$7</f>
        <v>62489.061818181821</v>
      </c>
      <c r="U52" s="36">
        <f>IF(H52&gt;'Valores Vigentes'!$D$4*4,H52*1%,0)</f>
        <v>0</v>
      </c>
      <c r="V52" s="36">
        <f t="shared" si="19"/>
        <v>0</v>
      </c>
      <c r="W52" s="36">
        <f t="shared" si="11"/>
        <v>0</v>
      </c>
      <c r="X52" s="36">
        <f t="shared" si="12"/>
        <v>34844.530909090907</v>
      </c>
      <c r="Y52" s="30">
        <f t="shared" si="13"/>
        <v>159822.65454545454</v>
      </c>
      <c r="Z52" s="30">
        <f t="shared" si="14"/>
        <v>1582403.8909090909</v>
      </c>
    </row>
    <row r="53" spans="1:26" ht="15.75" customHeight="1" x14ac:dyDescent="0.25">
      <c r="A53" s="17" t="s">
        <v>104</v>
      </c>
      <c r="B53" s="17" t="s">
        <v>275</v>
      </c>
      <c r="C53" s="17">
        <v>3</v>
      </c>
      <c r="D53" s="17" t="s">
        <v>276</v>
      </c>
      <c r="E53" s="17" t="s">
        <v>276</v>
      </c>
      <c r="F53" s="17" t="s">
        <v>39</v>
      </c>
      <c r="G53" s="17" t="str">
        <f t="shared" si="15"/>
        <v>SECRETARIAS</v>
      </c>
      <c r="H53" s="30">
        <f t="shared" si="16"/>
        <v>1813000</v>
      </c>
      <c r="I53" s="16">
        <v>25</v>
      </c>
      <c r="J53" s="30">
        <f t="shared" si="5"/>
        <v>1510833.3333333335</v>
      </c>
      <c r="K53" s="36">
        <f>IF(H53&lt;='Valores Vigentes'!D$4*2,'Valores Vigentes'!$D$5/30*I53,0)</f>
        <v>166666.66666666669</v>
      </c>
      <c r="L53" s="36">
        <f t="shared" si="6"/>
        <v>22662.5</v>
      </c>
      <c r="M53" s="36">
        <f t="shared" si="7"/>
        <v>0</v>
      </c>
      <c r="N53" s="36">
        <f t="shared" si="8"/>
        <v>37770.833333333336</v>
      </c>
      <c r="O53" s="37">
        <f t="shared" si="17"/>
        <v>23</v>
      </c>
      <c r="P53" s="36">
        <f t="shared" si="18"/>
        <v>473852.27272727265</v>
      </c>
      <c r="Q53" s="36">
        <f t="shared" si="9"/>
        <v>0</v>
      </c>
      <c r="R53" s="30">
        <f t="shared" si="10"/>
        <v>2211785.606060606</v>
      </c>
      <c r="S53" s="30">
        <f>(R53-K53+L53-N53-Q53)*'Valores Vigentes'!$D$6</f>
        <v>81200.42424242424</v>
      </c>
      <c r="T53" s="30">
        <f>(R53-K53+L53-N53-Q53)*'Valores Vigentes'!$D$7</f>
        <v>81200.42424242424</v>
      </c>
      <c r="U53" s="36">
        <f>IF(H53&gt;'Valores Vigentes'!$D$4*4,H53*1%,0)</f>
        <v>0</v>
      </c>
      <c r="V53" s="36">
        <f t="shared" si="19"/>
        <v>0</v>
      </c>
      <c r="W53" s="36">
        <f t="shared" si="11"/>
        <v>54390</v>
      </c>
      <c r="X53" s="36">
        <f t="shared" si="12"/>
        <v>44235.71212121212</v>
      </c>
      <c r="Y53" s="30">
        <f t="shared" si="13"/>
        <v>261026.56060606061</v>
      </c>
      <c r="Z53" s="30">
        <f t="shared" si="14"/>
        <v>1950759.0454545454</v>
      </c>
    </row>
    <row r="54" spans="1:26" ht="15.75" customHeight="1" x14ac:dyDescent="0.25">
      <c r="A54" s="17" t="s">
        <v>105</v>
      </c>
      <c r="B54" s="17" t="s">
        <v>278</v>
      </c>
      <c r="C54" s="17">
        <v>1</v>
      </c>
      <c r="D54" s="17" t="s">
        <v>276</v>
      </c>
      <c r="E54" s="17" t="s">
        <v>277</v>
      </c>
      <c r="F54" s="17" t="s">
        <v>31</v>
      </c>
      <c r="G54" s="17" t="str">
        <f t="shared" si="15"/>
        <v>AUXILIAR ADMON</v>
      </c>
      <c r="H54" s="30">
        <f t="shared" si="16"/>
        <v>1423500</v>
      </c>
      <c r="I54" s="16">
        <v>30</v>
      </c>
      <c r="J54" s="30">
        <f t="shared" si="5"/>
        <v>1423500</v>
      </c>
      <c r="K54" s="36">
        <f>IF(H54&lt;='Valores Vigentes'!D$4*2,'Valores Vigentes'!$D$5/30*I54,0)</f>
        <v>200000</v>
      </c>
      <c r="L54" s="36">
        <f t="shared" si="6"/>
        <v>35587.5</v>
      </c>
      <c r="M54" s="36">
        <f t="shared" si="7"/>
        <v>49822.500000000007</v>
      </c>
      <c r="N54" s="36">
        <f t="shared" si="8"/>
        <v>21352.5</v>
      </c>
      <c r="O54" s="37">
        <f t="shared" si="17"/>
        <v>23</v>
      </c>
      <c r="P54" s="36">
        <f t="shared" si="18"/>
        <v>372051.13636363635</v>
      </c>
      <c r="Q54" s="36">
        <f t="shared" si="9"/>
        <v>0</v>
      </c>
      <c r="R54" s="30">
        <f t="shared" si="10"/>
        <v>2102313.6363636362</v>
      </c>
      <c r="S54" s="30">
        <f>(R54-K54+L54-N54-Q54)*'Valores Vigentes'!$D$6</f>
        <v>76661.94545454545</v>
      </c>
      <c r="T54" s="30">
        <f>(R54-K54+L54-N54-Q54)*'Valores Vigentes'!$D$7</f>
        <v>76661.94545454545</v>
      </c>
      <c r="U54" s="36">
        <f>IF(H54&gt;'Valores Vigentes'!$D$4*4,H54*1%,0)</f>
        <v>0</v>
      </c>
      <c r="V54" s="36">
        <f t="shared" si="19"/>
        <v>0</v>
      </c>
      <c r="W54" s="36">
        <f t="shared" si="11"/>
        <v>42705</v>
      </c>
      <c r="X54" s="36">
        <f t="shared" si="12"/>
        <v>0</v>
      </c>
      <c r="Y54" s="30">
        <f t="shared" si="13"/>
        <v>196028.8909090909</v>
      </c>
      <c r="Z54" s="30">
        <f t="shared" si="14"/>
        <v>1906284.7454545454</v>
      </c>
    </row>
    <row r="55" spans="1:26" ht="15.75" customHeight="1" x14ac:dyDescent="0.25">
      <c r="A55" s="17" t="s">
        <v>106</v>
      </c>
      <c r="B55" s="17" t="s">
        <v>278</v>
      </c>
      <c r="C55" s="17">
        <v>4</v>
      </c>
      <c r="D55" s="17" t="s">
        <v>276</v>
      </c>
      <c r="E55" s="17" t="s">
        <v>276</v>
      </c>
      <c r="F55" s="17" t="s">
        <v>31</v>
      </c>
      <c r="G55" s="17" t="str">
        <f t="shared" si="15"/>
        <v>TÉCNICO PROFESIONAL</v>
      </c>
      <c r="H55" s="30">
        <f t="shared" si="16"/>
        <v>2450000</v>
      </c>
      <c r="I55" s="16">
        <v>26</v>
      </c>
      <c r="J55" s="30">
        <f t="shared" si="5"/>
        <v>2123333.3333333335</v>
      </c>
      <c r="K55" s="36">
        <f>IF(H55&lt;='Valores Vigentes'!D$4*2,'Valores Vigentes'!$D$5/30*I55,0)</f>
        <v>173333.33333333334</v>
      </c>
      <c r="L55" s="36">
        <f t="shared" si="6"/>
        <v>31850</v>
      </c>
      <c r="M55" s="36">
        <f t="shared" si="7"/>
        <v>74316.666666666686</v>
      </c>
      <c r="N55" s="36">
        <f t="shared" si="8"/>
        <v>53083.333333333343</v>
      </c>
      <c r="O55" s="37">
        <f t="shared" si="17"/>
        <v>28</v>
      </c>
      <c r="P55" s="36">
        <f t="shared" si="18"/>
        <v>779545.45454545447</v>
      </c>
      <c r="Q55" s="36">
        <f t="shared" si="9"/>
        <v>0</v>
      </c>
      <c r="R55" s="30">
        <f t="shared" si="10"/>
        <v>3235462.1212121216</v>
      </c>
      <c r="S55" s="30">
        <f>(R55-K55+L55-N55-Q55)*'Valores Vigentes'!$D$6</f>
        <v>121635.81818181819</v>
      </c>
      <c r="T55" s="30">
        <f>(R55-K55+L55-N55-Q55)*'Valores Vigentes'!$D$7</f>
        <v>121635.81818181819</v>
      </c>
      <c r="U55" s="36">
        <f>IF(H55&gt;'Valores Vigentes'!$D$4*4,H55*1%,0)</f>
        <v>0</v>
      </c>
      <c r="V55" s="36">
        <f t="shared" si="19"/>
        <v>0</v>
      </c>
      <c r="W55" s="36">
        <f t="shared" si="11"/>
        <v>73500</v>
      </c>
      <c r="X55" s="36">
        <f t="shared" si="12"/>
        <v>64709.242424242431</v>
      </c>
      <c r="Y55" s="30">
        <f t="shared" si="13"/>
        <v>381480.87878787878</v>
      </c>
      <c r="Z55" s="30">
        <f t="shared" si="14"/>
        <v>2853981.2424242427</v>
      </c>
    </row>
    <row r="56" spans="1:26" ht="15.75" customHeight="1" x14ac:dyDescent="0.25">
      <c r="A56" s="17" t="s">
        <v>107</v>
      </c>
      <c r="B56" s="17" t="s">
        <v>278</v>
      </c>
      <c r="C56" s="17">
        <v>4</v>
      </c>
      <c r="D56" s="17" t="s">
        <v>276</v>
      </c>
      <c r="E56" s="17" t="s">
        <v>276</v>
      </c>
      <c r="F56" s="17" t="s">
        <v>33</v>
      </c>
      <c r="G56" s="17" t="str">
        <f t="shared" si="15"/>
        <v>TÉCNICO PROFESIONAL</v>
      </c>
      <c r="H56" s="30">
        <f t="shared" si="16"/>
        <v>2450000</v>
      </c>
      <c r="I56" s="16">
        <v>25</v>
      </c>
      <c r="J56" s="30">
        <f t="shared" si="5"/>
        <v>2041666.6666666667</v>
      </c>
      <c r="K56" s="36">
        <f>IF(H56&lt;='Valores Vigentes'!D$4*2,'Valores Vigentes'!$D$5/30*I56,0)</f>
        <v>166666.66666666669</v>
      </c>
      <c r="L56" s="36">
        <f t="shared" si="6"/>
        <v>30625</v>
      </c>
      <c r="M56" s="36">
        <f t="shared" si="7"/>
        <v>0</v>
      </c>
      <c r="N56" s="36">
        <f t="shared" si="8"/>
        <v>51041.666666666672</v>
      </c>
      <c r="O56" s="37">
        <f t="shared" si="17"/>
        <v>23</v>
      </c>
      <c r="P56" s="36">
        <f t="shared" si="18"/>
        <v>640340.90909090906</v>
      </c>
      <c r="Q56" s="36">
        <f t="shared" si="9"/>
        <v>0</v>
      </c>
      <c r="R56" s="30">
        <f t="shared" si="10"/>
        <v>2930340.9090909092</v>
      </c>
      <c r="S56" s="30">
        <f>(R56-K56+L56-N56-Q56)*'Valores Vigentes'!$D$6</f>
        <v>109730.30303030305</v>
      </c>
      <c r="T56" s="30">
        <f>(R56-K56+L56-N56-Q56)*'Valores Vigentes'!$D$7</f>
        <v>109730.30303030305</v>
      </c>
      <c r="U56" s="36">
        <f>IF(H56&gt;'Valores Vigentes'!$D$4*4,H56*1%,0)</f>
        <v>0</v>
      </c>
      <c r="V56" s="36">
        <f t="shared" si="19"/>
        <v>0</v>
      </c>
      <c r="W56" s="36">
        <f t="shared" si="11"/>
        <v>73500</v>
      </c>
      <c r="X56" s="36">
        <f t="shared" si="12"/>
        <v>58606.818181818184</v>
      </c>
      <c r="Y56" s="30">
        <f t="shared" si="13"/>
        <v>351567.42424242425</v>
      </c>
      <c r="Z56" s="30">
        <f t="shared" si="14"/>
        <v>2578773.4848484849</v>
      </c>
    </row>
    <row r="57" spans="1:26" ht="15.75" customHeight="1" x14ac:dyDescent="0.25">
      <c r="A57" s="17" t="s">
        <v>108</v>
      </c>
      <c r="B57" s="17" t="s">
        <v>275</v>
      </c>
      <c r="C57" s="17">
        <v>3</v>
      </c>
      <c r="D57" s="17" t="s">
        <v>276</v>
      </c>
      <c r="E57" s="17" t="s">
        <v>276</v>
      </c>
      <c r="F57" s="17" t="s">
        <v>41</v>
      </c>
      <c r="G57" s="17" t="str">
        <f t="shared" si="15"/>
        <v>SECRETARIAS</v>
      </c>
      <c r="H57" s="30">
        <f t="shared" si="16"/>
        <v>1813000</v>
      </c>
      <c r="I57" s="16">
        <v>28</v>
      </c>
      <c r="J57" s="30">
        <f t="shared" si="5"/>
        <v>1692133.3333333335</v>
      </c>
      <c r="K57" s="36">
        <f>IF(H57&lt;='Valores Vigentes'!D$4*2,'Valores Vigentes'!$D$5/30*I57,0)</f>
        <v>186666.66666666669</v>
      </c>
      <c r="L57" s="36">
        <f t="shared" si="6"/>
        <v>25382</v>
      </c>
      <c r="M57" s="36">
        <f t="shared" si="7"/>
        <v>0</v>
      </c>
      <c r="N57" s="36">
        <f t="shared" si="8"/>
        <v>42303.333333333343</v>
      </c>
      <c r="O57" s="37">
        <f t="shared" si="17"/>
        <v>20</v>
      </c>
      <c r="P57" s="36">
        <f t="shared" si="18"/>
        <v>412045.45454545447</v>
      </c>
      <c r="Q57" s="36">
        <f t="shared" si="9"/>
        <v>0</v>
      </c>
      <c r="R57" s="30">
        <f t="shared" si="10"/>
        <v>2358530.7878787881</v>
      </c>
      <c r="S57" s="30">
        <f>(R57-K57+L57-N57-Q57)*'Valores Vigentes'!$D$6</f>
        <v>86197.711515151532</v>
      </c>
      <c r="T57" s="30">
        <f>(R57-K57+L57-N57-Q57)*'Valores Vigentes'!$D$7</f>
        <v>86197.711515151532</v>
      </c>
      <c r="U57" s="36">
        <f>IF(H57&gt;'Valores Vigentes'!$D$4*4,H57*1%,0)</f>
        <v>0</v>
      </c>
      <c r="V57" s="36">
        <f t="shared" si="19"/>
        <v>0</v>
      </c>
      <c r="W57" s="36">
        <f t="shared" si="11"/>
        <v>54390</v>
      </c>
      <c r="X57" s="36">
        <f t="shared" si="12"/>
        <v>47170.615757575761</v>
      </c>
      <c r="Y57" s="30">
        <f t="shared" si="13"/>
        <v>273956.03878787882</v>
      </c>
      <c r="Z57" s="30">
        <f t="shared" si="14"/>
        <v>2084574.7490909093</v>
      </c>
    </row>
    <row r="58" spans="1:26" ht="15.75" customHeight="1" x14ac:dyDescent="0.25">
      <c r="A58" s="17" t="s">
        <v>109</v>
      </c>
      <c r="B58" s="17" t="s">
        <v>278</v>
      </c>
      <c r="C58" s="17">
        <v>1</v>
      </c>
      <c r="D58" s="17" t="s">
        <v>276</v>
      </c>
      <c r="E58" s="17" t="s">
        <v>276</v>
      </c>
      <c r="F58" s="17" t="s">
        <v>31</v>
      </c>
      <c r="G58" s="17" t="str">
        <f t="shared" si="15"/>
        <v>AUXILIAR ADMON</v>
      </c>
      <c r="H58" s="30">
        <f t="shared" si="16"/>
        <v>1423500</v>
      </c>
      <c r="I58" s="16">
        <v>28</v>
      </c>
      <c r="J58" s="30">
        <f t="shared" si="5"/>
        <v>1328600</v>
      </c>
      <c r="K58" s="36">
        <f>IF(H58&lt;='Valores Vigentes'!D$4*2,'Valores Vigentes'!$D$5/30*I58,0)</f>
        <v>186666.66666666669</v>
      </c>
      <c r="L58" s="36">
        <f t="shared" si="6"/>
        <v>19929</v>
      </c>
      <c r="M58" s="36">
        <f t="shared" si="7"/>
        <v>46501.000000000007</v>
      </c>
      <c r="N58" s="36">
        <f t="shared" si="8"/>
        <v>33215</v>
      </c>
      <c r="O58" s="37">
        <f t="shared" si="17"/>
        <v>21</v>
      </c>
      <c r="P58" s="36">
        <f t="shared" si="18"/>
        <v>339698.86363636359</v>
      </c>
      <c r="Q58" s="36">
        <f t="shared" si="9"/>
        <v>0</v>
      </c>
      <c r="R58" s="30">
        <f t="shared" si="10"/>
        <v>1954610.5303030303</v>
      </c>
      <c r="S58" s="30">
        <f>(R58-K58+L58-N58-Q58)*'Valores Vigentes'!$D$6</f>
        <v>70186.314545454545</v>
      </c>
      <c r="T58" s="30">
        <f>(R58-K58+L58-N58-Q58)*'Valores Vigentes'!$D$7</f>
        <v>70186.314545454545</v>
      </c>
      <c r="U58" s="36">
        <f>IF(H58&gt;'Valores Vigentes'!$D$4*4,H58*1%,0)</f>
        <v>0</v>
      </c>
      <c r="V58" s="36">
        <f t="shared" si="19"/>
        <v>0</v>
      </c>
      <c r="W58" s="36">
        <f t="shared" si="11"/>
        <v>42705</v>
      </c>
      <c r="X58" s="36">
        <f t="shared" si="12"/>
        <v>39092.210606060609</v>
      </c>
      <c r="Y58" s="30">
        <f t="shared" si="13"/>
        <v>222169.83969696969</v>
      </c>
      <c r="Z58" s="30">
        <f t="shared" si="14"/>
        <v>1732440.6906060607</v>
      </c>
    </row>
    <row r="59" spans="1:26" ht="15.75" customHeight="1" x14ac:dyDescent="0.25">
      <c r="A59" s="17" t="s">
        <v>110</v>
      </c>
      <c r="B59" s="17" t="s">
        <v>275</v>
      </c>
      <c r="C59" s="17">
        <v>6</v>
      </c>
      <c r="D59" s="17" t="s">
        <v>276</v>
      </c>
      <c r="E59" s="17" t="s">
        <v>276</v>
      </c>
      <c r="F59" s="17" t="s">
        <v>31</v>
      </c>
      <c r="G59" s="17" t="str">
        <f t="shared" si="15"/>
        <v>PROFESIONAL</v>
      </c>
      <c r="H59" s="30">
        <f t="shared" si="16"/>
        <v>2950000</v>
      </c>
      <c r="I59" s="16">
        <v>26</v>
      </c>
      <c r="J59" s="30">
        <f t="shared" si="5"/>
        <v>2556666.6666666665</v>
      </c>
      <c r="K59" s="36">
        <f>IF(H59&lt;='Valores Vigentes'!D$4*2,'Valores Vigentes'!$D$5/30*I59,0)</f>
        <v>0</v>
      </c>
      <c r="L59" s="36">
        <f t="shared" si="6"/>
        <v>38349.999999999993</v>
      </c>
      <c r="M59" s="36">
        <f t="shared" si="7"/>
        <v>89483.333333333343</v>
      </c>
      <c r="N59" s="36">
        <f t="shared" si="8"/>
        <v>63916.666666666664</v>
      </c>
      <c r="O59" s="37">
        <f t="shared" si="17"/>
        <v>1</v>
      </c>
      <c r="P59" s="36">
        <f t="shared" si="18"/>
        <v>33522.727272727272</v>
      </c>
      <c r="Q59" s="36">
        <f t="shared" si="9"/>
        <v>0</v>
      </c>
      <c r="R59" s="30">
        <f t="shared" si="10"/>
        <v>2781939.3939393936</v>
      </c>
      <c r="S59" s="30">
        <f>(R59-K59+L59-N59-Q59)*'Valores Vigentes'!$D$6</f>
        <v>110254.90909090909</v>
      </c>
      <c r="T59" s="30">
        <f>(R59-K59+L59-N59-Q59)*'Valores Vigentes'!$D$7</f>
        <v>110254.90909090909</v>
      </c>
      <c r="U59" s="36">
        <f>IF(H59&gt;'Valores Vigentes'!$D$4*4,H59*1%,0)</f>
        <v>0</v>
      </c>
      <c r="V59" s="36">
        <f t="shared" si="19"/>
        <v>0</v>
      </c>
      <c r="W59" s="36">
        <f t="shared" si="11"/>
        <v>88500</v>
      </c>
      <c r="X59" s="36">
        <f t="shared" si="12"/>
        <v>55638.787878787873</v>
      </c>
      <c r="Y59" s="30">
        <f t="shared" si="13"/>
        <v>364648.60606060608</v>
      </c>
      <c r="Z59" s="30">
        <f t="shared" si="14"/>
        <v>2417290.7878787876</v>
      </c>
    </row>
    <row r="60" spans="1:26" ht="15.75" customHeight="1" x14ac:dyDescent="0.25">
      <c r="A60" s="17" t="s">
        <v>111</v>
      </c>
      <c r="B60" s="17" t="s">
        <v>275</v>
      </c>
      <c r="C60" s="17">
        <v>7</v>
      </c>
      <c r="D60" s="17" t="s">
        <v>276</v>
      </c>
      <c r="E60" s="17" t="s">
        <v>276</v>
      </c>
      <c r="F60" s="17" t="s">
        <v>33</v>
      </c>
      <c r="G60" s="17" t="str">
        <f t="shared" si="15"/>
        <v>COORDINADOR</v>
      </c>
      <c r="H60" s="30">
        <f t="shared" si="16"/>
        <v>3250000</v>
      </c>
      <c r="I60" s="16">
        <v>30</v>
      </c>
      <c r="J60" s="30">
        <f t="shared" si="5"/>
        <v>3250000</v>
      </c>
      <c r="K60" s="36">
        <f>IF(H60&lt;='Valores Vigentes'!D$4*2,'Valores Vigentes'!$D$5/30*I60,0)</f>
        <v>0</v>
      </c>
      <c r="L60" s="36">
        <f t="shared" si="6"/>
        <v>81250</v>
      </c>
      <c r="M60" s="36">
        <f t="shared" si="7"/>
        <v>0</v>
      </c>
      <c r="N60" s="36">
        <f t="shared" si="8"/>
        <v>81250</v>
      </c>
      <c r="O60" s="37">
        <f t="shared" si="17"/>
        <v>16</v>
      </c>
      <c r="P60" s="36">
        <f t="shared" si="18"/>
        <v>590909.09090909082</v>
      </c>
      <c r="Q60" s="36">
        <f t="shared" si="9"/>
        <v>0</v>
      </c>
      <c r="R60" s="30">
        <f t="shared" si="10"/>
        <v>4003409.0909090908</v>
      </c>
      <c r="S60" s="30">
        <f>(R60-K60+L60-N60-Q60)*'Valores Vigentes'!$D$6</f>
        <v>160136.36363636365</v>
      </c>
      <c r="T60" s="30">
        <f>(R60-K60+L60-N60-Q60)*'Valores Vigentes'!$D$7</f>
        <v>160136.36363636365</v>
      </c>
      <c r="U60" s="36">
        <f>IF(H60&gt;'Valores Vigentes'!$D$4*4,H60*1%,0)</f>
        <v>0</v>
      </c>
      <c r="V60" s="36">
        <f t="shared" si="19"/>
        <v>65000</v>
      </c>
      <c r="W60" s="36">
        <f t="shared" si="11"/>
        <v>97500</v>
      </c>
      <c r="X60" s="36">
        <f t="shared" si="12"/>
        <v>80068.181818181823</v>
      </c>
      <c r="Y60" s="30">
        <f t="shared" si="13"/>
        <v>562840.90909090918</v>
      </c>
      <c r="Z60" s="30">
        <f t="shared" si="14"/>
        <v>3440568.1818181816</v>
      </c>
    </row>
    <row r="61" spans="1:26" ht="15.75" customHeight="1" x14ac:dyDescent="0.25">
      <c r="A61" s="17" t="s">
        <v>112</v>
      </c>
      <c r="B61" s="17" t="s">
        <v>278</v>
      </c>
      <c r="C61" s="17">
        <v>7</v>
      </c>
      <c r="D61" s="17" t="s">
        <v>276</v>
      </c>
      <c r="E61" s="17" t="s">
        <v>276</v>
      </c>
      <c r="F61" s="17" t="s">
        <v>43</v>
      </c>
      <c r="G61" s="17" t="str">
        <f t="shared" si="15"/>
        <v>COORDINADOR</v>
      </c>
      <c r="H61" s="30">
        <f t="shared" si="16"/>
        <v>3250000</v>
      </c>
      <c r="I61" s="16">
        <v>28</v>
      </c>
      <c r="J61" s="30">
        <f t="shared" si="5"/>
        <v>3033333.333333333</v>
      </c>
      <c r="K61" s="36">
        <f>IF(H61&lt;='Valores Vigentes'!D$4*2,'Valores Vigentes'!$D$5/30*I61,0)</f>
        <v>0</v>
      </c>
      <c r="L61" s="36">
        <f t="shared" si="6"/>
        <v>45499.999999999993</v>
      </c>
      <c r="M61" s="36">
        <f t="shared" si="7"/>
        <v>0</v>
      </c>
      <c r="N61" s="36">
        <f t="shared" si="8"/>
        <v>75833.333333333328</v>
      </c>
      <c r="O61" s="37">
        <f t="shared" si="17"/>
        <v>13</v>
      </c>
      <c r="P61" s="36">
        <f t="shared" si="18"/>
        <v>480113.63636363629</v>
      </c>
      <c r="Q61" s="36">
        <f t="shared" si="9"/>
        <v>0</v>
      </c>
      <c r="R61" s="30">
        <f t="shared" si="10"/>
        <v>3634780.3030303027</v>
      </c>
      <c r="S61" s="30">
        <f>(R61-K61+L61-N61-Q61)*'Valores Vigentes'!$D$6</f>
        <v>144177.87878787878</v>
      </c>
      <c r="T61" s="30">
        <f>(R61-K61+L61-N61-Q61)*'Valores Vigentes'!$D$7</f>
        <v>144177.87878787878</v>
      </c>
      <c r="U61" s="36">
        <f>IF(H61&gt;'Valores Vigentes'!$D$4*4,H61*1%,0)</f>
        <v>0</v>
      </c>
      <c r="V61" s="36">
        <f t="shared" si="19"/>
        <v>0</v>
      </c>
      <c r="W61" s="36">
        <f t="shared" si="11"/>
        <v>97500</v>
      </c>
      <c r="X61" s="36">
        <f t="shared" si="12"/>
        <v>72695.606060606064</v>
      </c>
      <c r="Y61" s="30">
        <f t="shared" si="13"/>
        <v>458551.36363636365</v>
      </c>
      <c r="Z61" s="30">
        <f t="shared" si="14"/>
        <v>3176228.939393939</v>
      </c>
    </row>
    <row r="62" spans="1:26" ht="15.75" customHeight="1" x14ac:dyDescent="0.25">
      <c r="A62" s="17" t="s">
        <v>113</v>
      </c>
      <c r="B62" s="17" t="s">
        <v>278</v>
      </c>
      <c r="C62" s="17">
        <v>4</v>
      </c>
      <c r="D62" s="17" t="s">
        <v>277</v>
      </c>
      <c r="E62" s="17" t="s">
        <v>276</v>
      </c>
      <c r="F62" s="17" t="s">
        <v>31</v>
      </c>
      <c r="G62" s="17" t="str">
        <f t="shared" si="15"/>
        <v>TÉCNICO PROFESIONAL</v>
      </c>
      <c r="H62" s="30">
        <f t="shared" si="16"/>
        <v>2450000</v>
      </c>
      <c r="I62" s="16">
        <v>25</v>
      </c>
      <c r="J62" s="30">
        <f t="shared" si="5"/>
        <v>2041666.6666666667</v>
      </c>
      <c r="K62" s="36">
        <f>IF(H62&lt;='Valores Vigentes'!D$4*2,'Valores Vigentes'!$D$5/30*I62,0)</f>
        <v>166666.66666666669</v>
      </c>
      <c r="L62" s="36">
        <f t="shared" si="6"/>
        <v>30625</v>
      </c>
      <c r="M62" s="36">
        <f t="shared" si="7"/>
        <v>71458.333333333343</v>
      </c>
      <c r="N62" s="36">
        <f t="shared" si="8"/>
        <v>30625</v>
      </c>
      <c r="O62" s="37">
        <f t="shared" si="17"/>
        <v>10</v>
      </c>
      <c r="P62" s="36">
        <f t="shared" si="18"/>
        <v>278409.09090909088</v>
      </c>
      <c r="Q62" s="36">
        <f t="shared" si="9"/>
        <v>0</v>
      </c>
      <c r="R62" s="30">
        <f t="shared" si="10"/>
        <v>2619450.7575757578</v>
      </c>
      <c r="S62" s="30">
        <f>(R62-K62+L62-N62-Q62)*'Valores Vigentes'!$D$6</f>
        <v>98111.363636363647</v>
      </c>
      <c r="T62" s="30">
        <f>(R62-K62+L62-N62-Q62)*'Valores Vigentes'!$D$7</f>
        <v>98111.363636363647</v>
      </c>
      <c r="U62" s="36">
        <f>IF(H62&gt;'Valores Vigentes'!$D$4*4,H62*1%,0)</f>
        <v>0</v>
      </c>
      <c r="V62" s="36">
        <f t="shared" si="19"/>
        <v>0</v>
      </c>
      <c r="W62" s="36">
        <f t="shared" si="11"/>
        <v>0</v>
      </c>
      <c r="X62" s="36">
        <f t="shared" si="12"/>
        <v>52389.015151515159</v>
      </c>
      <c r="Y62" s="30">
        <f t="shared" si="13"/>
        <v>248611.74242424246</v>
      </c>
      <c r="Z62" s="30">
        <f t="shared" si="14"/>
        <v>2370839.0151515151</v>
      </c>
    </row>
    <row r="63" spans="1:26" ht="15.75" customHeight="1" x14ac:dyDescent="0.25">
      <c r="A63" s="17" t="s">
        <v>114</v>
      </c>
      <c r="B63" s="17" t="s">
        <v>278</v>
      </c>
      <c r="C63" s="17">
        <v>8</v>
      </c>
      <c r="D63" s="17" t="s">
        <v>276</v>
      </c>
      <c r="E63" s="17" t="s">
        <v>277</v>
      </c>
      <c r="F63" s="17" t="s">
        <v>31</v>
      </c>
      <c r="G63" s="17" t="str">
        <f t="shared" si="15"/>
        <v>ASESOR</v>
      </c>
      <c r="H63" s="30">
        <f t="shared" si="16"/>
        <v>3900000</v>
      </c>
      <c r="I63" s="16">
        <v>28</v>
      </c>
      <c r="J63" s="30">
        <f t="shared" si="5"/>
        <v>3640000</v>
      </c>
      <c r="K63" s="36">
        <f>IF(H63&lt;='Valores Vigentes'!D$4*2,'Valores Vigentes'!$D$5/30*I63,0)</f>
        <v>0</v>
      </c>
      <c r="L63" s="36">
        <f t="shared" si="6"/>
        <v>54600</v>
      </c>
      <c r="M63" s="36">
        <f t="shared" si="7"/>
        <v>127400.00000000001</v>
      </c>
      <c r="N63" s="36">
        <f t="shared" si="8"/>
        <v>54600</v>
      </c>
      <c r="O63" s="37">
        <f t="shared" si="17"/>
        <v>2</v>
      </c>
      <c r="P63" s="36">
        <f t="shared" si="18"/>
        <v>88636.363636363647</v>
      </c>
      <c r="Q63" s="36">
        <f t="shared" si="9"/>
        <v>0</v>
      </c>
      <c r="R63" s="30">
        <f t="shared" si="10"/>
        <v>3965236.3636363638</v>
      </c>
      <c r="S63" s="30">
        <f>(R63-K63+L63-N63-Q63)*'Valores Vigentes'!$D$6</f>
        <v>158609.45454545456</v>
      </c>
      <c r="T63" s="30">
        <f>(R63-K63+L63-N63-Q63)*'Valores Vigentes'!$D$7</f>
        <v>158609.45454545456</v>
      </c>
      <c r="U63" s="36">
        <f>IF(H63&gt;'Valores Vigentes'!$D$4*4,H63*1%,0)</f>
        <v>0</v>
      </c>
      <c r="V63" s="36">
        <f t="shared" si="19"/>
        <v>65000</v>
      </c>
      <c r="W63" s="36">
        <f t="shared" si="11"/>
        <v>117000</v>
      </c>
      <c r="X63" s="36">
        <f t="shared" si="12"/>
        <v>0</v>
      </c>
      <c r="Y63" s="30">
        <f t="shared" si="13"/>
        <v>499218.90909090912</v>
      </c>
      <c r="Z63" s="30">
        <f t="shared" si="14"/>
        <v>3466017.4545454546</v>
      </c>
    </row>
    <row r="64" spans="1:26" ht="15.75" customHeight="1" x14ac:dyDescent="0.25">
      <c r="A64" s="17" t="s">
        <v>115</v>
      </c>
      <c r="B64" s="17" t="s">
        <v>275</v>
      </c>
      <c r="C64" s="17">
        <v>6</v>
      </c>
      <c r="D64" s="17" t="s">
        <v>276</v>
      </c>
      <c r="E64" s="17" t="s">
        <v>276</v>
      </c>
      <c r="F64" s="17" t="s">
        <v>35</v>
      </c>
      <c r="G64" s="17" t="str">
        <f t="shared" si="15"/>
        <v>PROFESIONAL</v>
      </c>
      <c r="H64" s="30">
        <f t="shared" si="16"/>
        <v>2950000</v>
      </c>
      <c r="I64" s="16">
        <v>29</v>
      </c>
      <c r="J64" s="30">
        <f t="shared" si="5"/>
        <v>2851666.6666666665</v>
      </c>
      <c r="K64" s="36">
        <f>IF(H64&lt;='Valores Vigentes'!D$4*2,'Valores Vigentes'!$D$5/30*I64,0)</f>
        <v>0</v>
      </c>
      <c r="L64" s="36">
        <f t="shared" si="6"/>
        <v>42774.999999999993</v>
      </c>
      <c r="M64" s="36">
        <f t="shared" si="7"/>
        <v>0</v>
      </c>
      <c r="N64" s="36">
        <f t="shared" si="8"/>
        <v>71291.666666666672</v>
      </c>
      <c r="O64" s="37">
        <f t="shared" si="17"/>
        <v>27</v>
      </c>
      <c r="P64" s="36">
        <f t="shared" si="18"/>
        <v>905113.63636363635</v>
      </c>
      <c r="Q64" s="36">
        <f t="shared" si="9"/>
        <v>0</v>
      </c>
      <c r="R64" s="30">
        <f t="shared" si="10"/>
        <v>3870846.9696969693</v>
      </c>
      <c r="S64" s="30">
        <f>(R64-K64+L64-N64-Q64)*'Valores Vigentes'!$D$6</f>
        <v>153693.21212121213</v>
      </c>
      <c r="T64" s="30">
        <f>(R64-K64+L64-N64-Q64)*'Valores Vigentes'!$D$7</f>
        <v>153693.21212121213</v>
      </c>
      <c r="U64" s="36">
        <f>IF(H64&gt;'Valores Vigentes'!$D$4*4,H64*1%,0)</f>
        <v>0</v>
      </c>
      <c r="V64" s="36">
        <f t="shared" si="19"/>
        <v>0</v>
      </c>
      <c r="W64" s="36">
        <f t="shared" si="11"/>
        <v>88500</v>
      </c>
      <c r="X64" s="36">
        <f t="shared" si="12"/>
        <v>77416.939393939392</v>
      </c>
      <c r="Y64" s="30">
        <f t="shared" si="13"/>
        <v>473303.36363636365</v>
      </c>
      <c r="Z64" s="30">
        <f t="shared" si="14"/>
        <v>3397543.6060606055</v>
      </c>
    </row>
    <row r="65" spans="1:26" ht="15.75" customHeight="1" x14ac:dyDescent="0.25">
      <c r="A65" s="17" t="s">
        <v>116</v>
      </c>
      <c r="B65" s="17" t="s">
        <v>275</v>
      </c>
      <c r="C65" s="17">
        <v>4</v>
      </c>
      <c r="D65" s="17" t="s">
        <v>276</v>
      </c>
      <c r="E65" s="17" t="s">
        <v>276</v>
      </c>
      <c r="F65" s="17" t="s">
        <v>41</v>
      </c>
      <c r="G65" s="17" t="str">
        <f t="shared" si="15"/>
        <v>TÉCNICO PROFESIONAL</v>
      </c>
      <c r="H65" s="30">
        <f t="shared" si="16"/>
        <v>2450000</v>
      </c>
      <c r="I65" s="16">
        <v>25</v>
      </c>
      <c r="J65" s="30">
        <f t="shared" si="5"/>
        <v>2041666.6666666667</v>
      </c>
      <c r="K65" s="36">
        <f>IF(H65&lt;='Valores Vigentes'!D$4*2,'Valores Vigentes'!$D$5/30*I65,0)</f>
        <v>166666.66666666669</v>
      </c>
      <c r="L65" s="36">
        <f t="shared" si="6"/>
        <v>30625</v>
      </c>
      <c r="M65" s="36">
        <f t="shared" si="7"/>
        <v>0</v>
      </c>
      <c r="N65" s="36">
        <f t="shared" si="8"/>
        <v>51041.666666666672</v>
      </c>
      <c r="O65" s="37">
        <f t="shared" si="17"/>
        <v>19</v>
      </c>
      <c r="P65" s="36">
        <f t="shared" si="18"/>
        <v>528977.27272727271</v>
      </c>
      <c r="Q65" s="36">
        <f t="shared" si="9"/>
        <v>0</v>
      </c>
      <c r="R65" s="30">
        <f t="shared" si="10"/>
        <v>2818977.2727272725</v>
      </c>
      <c r="S65" s="30">
        <f>(R65-K65+L65-N65-Q65)*'Valores Vigentes'!$D$6</f>
        <v>105275.75757575758</v>
      </c>
      <c r="T65" s="30">
        <f>(R65-K65+L65-N65-Q65)*'Valores Vigentes'!$D$7</f>
        <v>105275.75757575758</v>
      </c>
      <c r="U65" s="36">
        <f>IF(H65&gt;'Valores Vigentes'!$D$4*4,H65*1%,0)</f>
        <v>0</v>
      </c>
      <c r="V65" s="36">
        <f t="shared" si="19"/>
        <v>0</v>
      </c>
      <c r="W65" s="36">
        <f t="shared" si="11"/>
        <v>73500</v>
      </c>
      <c r="X65" s="36">
        <f t="shared" si="12"/>
        <v>56379.545454545449</v>
      </c>
      <c r="Y65" s="30">
        <f t="shared" si="13"/>
        <v>340431.06060606061</v>
      </c>
      <c r="Z65" s="30">
        <f t="shared" si="14"/>
        <v>2478546.2121212119</v>
      </c>
    </row>
    <row r="66" spans="1:26" ht="15.75" customHeight="1" x14ac:dyDescent="0.25">
      <c r="A66" s="17" t="s">
        <v>117</v>
      </c>
      <c r="B66" s="17" t="s">
        <v>278</v>
      </c>
      <c r="C66" s="17">
        <v>3</v>
      </c>
      <c r="D66" s="17" t="s">
        <v>276</v>
      </c>
      <c r="E66" s="17" t="s">
        <v>276</v>
      </c>
      <c r="F66" s="17" t="s">
        <v>31</v>
      </c>
      <c r="G66" s="17" t="str">
        <f t="shared" si="15"/>
        <v>SECRETARIAS</v>
      </c>
      <c r="H66" s="30">
        <f t="shared" si="16"/>
        <v>1813000</v>
      </c>
      <c r="I66" s="16">
        <v>26</v>
      </c>
      <c r="J66" s="30">
        <f t="shared" si="5"/>
        <v>1571266.6666666667</v>
      </c>
      <c r="K66" s="36">
        <f>IF(H66&lt;='Valores Vigentes'!D$4*2,'Valores Vigentes'!$D$5/30*I66,0)</f>
        <v>173333.33333333334</v>
      </c>
      <c r="L66" s="36">
        <f t="shared" si="6"/>
        <v>23569</v>
      </c>
      <c r="M66" s="36">
        <f t="shared" si="7"/>
        <v>54994.333333333343</v>
      </c>
      <c r="N66" s="36">
        <f t="shared" si="8"/>
        <v>39281.666666666672</v>
      </c>
      <c r="O66" s="37">
        <f t="shared" si="17"/>
        <v>6</v>
      </c>
      <c r="P66" s="36">
        <f t="shared" si="18"/>
        <v>123613.63636363635</v>
      </c>
      <c r="Q66" s="36">
        <f t="shared" si="9"/>
        <v>0</v>
      </c>
      <c r="R66" s="30">
        <f t="shared" si="10"/>
        <v>1986058.6363636362</v>
      </c>
      <c r="S66" s="30">
        <f>(R66-K66+L66-N66-Q66)*'Valores Vigentes'!$D$6</f>
        <v>71880.505454545448</v>
      </c>
      <c r="T66" s="30">
        <f>(R66-K66+L66-N66-Q66)*'Valores Vigentes'!$D$7</f>
        <v>71880.505454545448</v>
      </c>
      <c r="U66" s="36">
        <f>IF(H66&gt;'Valores Vigentes'!$D$4*4,H66*1%,0)</f>
        <v>0</v>
      </c>
      <c r="V66" s="36">
        <f t="shared" si="19"/>
        <v>0</v>
      </c>
      <c r="W66" s="36">
        <f t="shared" si="11"/>
        <v>54390</v>
      </c>
      <c r="X66" s="36">
        <f t="shared" si="12"/>
        <v>39721.172727272722</v>
      </c>
      <c r="Y66" s="30">
        <f t="shared" si="13"/>
        <v>237872.18363636362</v>
      </c>
      <c r="Z66" s="30">
        <f t="shared" si="14"/>
        <v>1748186.4527272726</v>
      </c>
    </row>
    <row r="67" spans="1:26" ht="15.75" customHeight="1" x14ac:dyDescent="0.25">
      <c r="A67" s="17" t="s">
        <v>118</v>
      </c>
      <c r="B67" s="17" t="s">
        <v>278</v>
      </c>
      <c r="C67" s="17">
        <v>2</v>
      </c>
      <c r="D67" s="17" t="s">
        <v>277</v>
      </c>
      <c r="E67" s="17" t="s">
        <v>277</v>
      </c>
      <c r="F67" s="17" t="s">
        <v>31</v>
      </c>
      <c r="G67" s="17" t="str">
        <f t="shared" si="15"/>
        <v>ASISTENTES</v>
      </c>
      <c r="H67" s="30">
        <f t="shared" si="16"/>
        <v>1626000</v>
      </c>
      <c r="I67" s="16">
        <v>26</v>
      </c>
      <c r="J67" s="30">
        <f t="shared" si="5"/>
        <v>1409200</v>
      </c>
      <c r="K67" s="36">
        <f>IF(H67&lt;='Valores Vigentes'!D$4*2,'Valores Vigentes'!$D$5/30*I67,0)</f>
        <v>173333.33333333334</v>
      </c>
      <c r="L67" s="36">
        <f t="shared" si="6"/>
        <v>21138</v>
      </c>
      <c r="M67" s="36">
        <f t="shared" si="7"/>
        <v>49322.000000000007</v>
      </c>
      <c r="N67" s="36">
        <f t="shared" si="8"/>
        <v>14092</v>
      </c>
      <c r="O67" s="37">
        <f t="shared" si="17"/>
        <v>21</v>
      </c>
      <c r="P67" s="36">
        <f t="shared" si="18"/>
        <v>388022.72727272729</v>
      </c>
      <c r="Q67" s="36">
        <f t="shared" si="9"/>
        <v>0</v>
      </c>
      <c r="R67" s="30">
        <f t="shared" si="10"/>
        <v>2055108.0606060605</v>
      </c>
      <c r="S67" s="30">
        <f>(R67-K67+L67-N67-Q67)*'Valores Vigentes'!$D$6</f>
        <v>75552.829090909087</v>
      </c>
      <c r="T67" s="30">
        <f>(R67-K67+L67-N67-Q67)*'Valores Vigentes'!$D$7</f>
        <v>75552.829090909087</v>
      </c>
      <c r="U67" s="36">
        <f>IF(H67&gt;'Valores Vigentes'!$D$4*4,H67*1%,0)</f>
        <v>0</v>
      </c>
      <c r="V67" s="36">
        <f t="shared" si="19"/>
        <v>0</v>
      </c>
      <c r="W67" s="36">
        <f t="shared" si="11"/>
        <v>0</v>
      </c>
      <c r="X67" s="36">
        <f t="shared" si="12"/>
        <v>0</v>
      </c>
      <c r="Y67" s="30">
        <f t="shared" si="13"/>
        <v>151105.65818181817</v>
      </c>
      <c r="Z67" s="30">
        <f t="shared" si="14"/>
        <v>1904002.4024242423</v>
      </c>
    </row>
    <row r="68" spans="1:26" ht="15.75" customHeight="1" x14ac:dyDescent="0.25">
      <c r="A68" s="17" t="s">
        <v>119</v>
      </c>
      <c r="B68" s="17" t="s">
        <v>278</v>
      </c>
      <c r="C68" s="17">
        <v>8</v>
      </c>
      <c r="D68" s="17" t="s">
        <v>276</v>
      </c>
      <c r="E68" s="17" t="s">
        <v>276</v>
      </c>
      <c r="F68" s="17" t="s">
        <v>39</v>
      </c>
      <c r="G68" s="17" t="str">
        <f t="shared" si="15"/>
        <v>ASESOR</v>
      </c>
      <c r="H68" s="30">
        <f t="shared" si="16"/>
        <v>3900000</v>
      </c>
      <c r="I68" s="16">
        <v>28</v>
      </c>
      <c r="J68" s="30">
        <f t="shared" si="5"/>
        <v>3640000</v>
      </c>
      <c r="K68" s="36">
        <f>IF(H68&lt;='Valores Vigentes'!D$4*2,'Valores Vigentes'!$D$5/30*I68,0)</f>
        <v>0</v>
      </c>
      <c r="L68" s="36">
        <f t="shared" si="6"/>
        <v>54600</v>
      </c>
      <c r="M68" s="36">
        <f t="shared" si="7"/>
        <v>0</v>
      </c>
      <c r="N68" s="36">
        <f t="shared" si="8"/>
        <v>91000</v>
      </c>
      <c r="O68" s="37">
        <f t="shared" si="17"/>
        <v>9</v>
      </c>
      <c r="P68" s="36">
        <f t="shared" si="18"/>
        <v>398863.63636363641</v>
      </c>
      <c r="Q68" s="36">
        <f t="shared" si="9"/>
        <v>0</v>
      </c>
      <c r="R68" s="30">
        <f t="shared" si="10"/>
        <v>4184463.6363636362</v>
      </c>
      <c r="S68" s="30">
        <f>(R68-K68+L68-N68-Q68)*'Valores Vigentes'!$D$6</f>
        <v>165922.54545454547</v>
      </c>
      <c r="T68" s="30">
        <f>(R68-K68+L68-N68-Q68)*'Valores Vigentes'!$D$7</f>
        <v>165922.54545454547</v>
      </c>
      <c r="U68" s="36">
        <f>IF(H68&gt;'Valores Vigentes'!$D$4*4,H68*1%,0)</f>
        <v>0</v>
      </c>
      <c r="V68" s="36">
        <f t="shared" si="19"/>
        <v>65000</v>
      </c>
      <c r="W68" s="36">
        <f t="shared" si="11"/>
        <v>117000</v>
      </c>
      <c r="X68" s="36">
        <f t="shared" si="12"/>
        <v>83689.272727272721</v>
      </c>
      <c r="Y68" s="30">
        <f t="shared" si="13"/>
        <v>597534.36363636365</v>
      </c>
      <c r="Z68" s="30">
        <f t="shared" si="14"/>
        <v>3586929.2727272725</v>
      </c>
    </row>
    <row r="69" spans="1:26" ht="15.75" customHeight="1" x14ac:dyDescent="0.25">
      <c r="A69" s="17" t="s">
        <v>120</v>
      </c>
      <c r="B69" s="17" t="s">
        <v>278</v>
      </c>
      <c r="C69" s="17">
        <v>6</v>
      </c>
      <c r="D69" s="17" t="s">
        <v>276</v>
      </c>
      <c r="E69" s="17" t="s">
        <v>276</v>
      </c>
      <c r="F69" s="17" t="s">
        <v>45</v>
      </c>
      <c r="G69" s="17" t="str">
        <f t="shared" si="15"/>
        <v>PROFESIONAL</v>
      </c>
      <c r="H69" s="30">
        <f t="shared" si="16"/>
        <v>2950000</v>
      </c>
      <c r="I69" s="16">
        <v>26</v>
      </c>
      <c r="J69" s="30">
        <f t="shared" si="5"/>
        <v>2556666.6666666665</v>
      </c>
      <c r="K69" s="36">
        <f>IF(H69&lt;='Valores Vigentes'!D$4*2,'Valores Vigentes'!$D$5/30*I69,0)</f>
        <v>0</v>
      </c>
      <c r="L69" s="36">
        <f t="shared" si="6"/>
        <v>38349.999999999993</v>
      </c>
      <c r="M69" s="36">
        <f t="shared" si="7"/>
        <v>0</v>
      </c>
      <c r="N69" s="36">
        <f t="shared" si="8"/>
        <v>63916.666666666664</v>
      </c>
      <c r="O69" s="37">
        <f t="shared" si="17"/>
        <v>3</v>
      </c>
      <c r="P69" s="36">
        <f t="shared" si="18"/>
        <v>100568.18181818182</v>
      </c>
      <c r="Q69" s="36">
        <f t="shared" si="9"/>
        <v>0</v>
      </c>
      <c r="R69" s="30">
        <f t="shared" si="10"/>
        <v>2759501.5151515147</v>
      </c>
      <c r="S69" s="30">
        <f>(R69-K69+L69-N69-Q69)*'Valores Vigentes'!$D$6</f>
        <v>109357.39393939392</v>
      </c>
      <c r="T69" s="30">
        <f>(R69-K69+L69-N69-Q69)*'Valores Vigentes'!$D$7</f>
        <v>109357.39393939392</v>
      </c>
      <c r="U69" s="36">
        <f>IF(H69&gt;'Valores Vigentes'!$D$4*4,H69*1%,0)</f>
        <v>0</v>
      </c>
      <c r="V69" s="36">
        <f t="shared" si="19"/>
        <v>0</v>
      </c>
      <c r="W69" s="36">
        <f t="shared" si="11"/>
        <v>88500</v>
      </c>
      <c r="X69" s="36">
        <f t="shared" si="12"/>
        <v>55190.030303030297</v>
      </c>
      <c r="Y69" s="30">
        <f t="shared" si="13"/>
        <v>362404.81818181812</v>
      </c>
      <c r="Z69" s="30">
        <f t="shared" si="14"/>
        <v>2397096.6969696963</v>
      </c>
    </row>
    <row r="70" spans="1:26" ht="15.75" customHeight="1" x14ac:dyDescent="0.25">
      <c r="A70" s="17" t="s">
        <v>121</v>
      </c>
      <c r="B70" s="17" t="s">
        <v>275</v>
      </c>
      <c r="C70" s="17">
        <v>5</v>
      </c>
      <c r="D70" s="17" t="s">
        <v>276</v>
      </c>
      <c r="E70" s="17" t="s">
        <v>277</v>
      </c>
      <c r="F70" s="17" t="s">
        <v>31</v>
      </c>
      <c r="G70" s="17" t="str">
        <f t="shared" si="15"/>
        <v>ASESOR VENTAS</v>
      </c>
      <c r="H70" s="30">
        <f t="shared" si="16"/>
        <v>2650000</v>
      </c>
      <c r="I70" s="16">
        <v>29</v>
      </c>
      <c r="J70" s="30">
        <f t="shared" si="5"/>
        <v>2561666.6666666665</v>
      </c>
      <c r="K70" s="36">
        <f>IF(H70&lt;='Valores Vigentes'!D$4*2,'Valores Vigentes'!$D$5/30*I70,0)</f>
        <v>193333.33333333334</v>
      </c>
      <c r="L70" s="36">
        <f t="shared" si="6"/>
        <v>38424.999999999993</v>
      </c>
      <c r="M70" s="36">
        <f t="shared" si="7"/>
        <v>89658.333333333343</v>
      </c>
      <c r="N70" s="36">
        <f t="shared" si="8"/>
        <v>38424.999999999993</v>
      </c>
      <c r="O70" s="37">
        <f t="shared" si="17"/>
        <v>24</v>
      </c>
      <c r="P70" s="36">
        <f t="shared" si="18"/>
        <v>722727.27272727271</v>
      </c>
      <c r="Q70" s="36">
        <f t="shared" si="9"/>
        <v>0</v>
      </c>
      <c r="R70" s="30">
        <f t="shared" si="10"/>
        <v>3644235.6060606064</v>
      </c>
      <c r="S70" s="30">
        <f>(R70-K70+L70-N70-Q70)*'Valores Vigentes'!$D$6</f>
        <v>138036.09090909091</v>
      </c>
      <c r="T70" s="30">
        <f>(R70-K70+L70-N70-Q70)*'Valores Vigentes'!$D$7</f>
        <v>138036.09090909091</v>
      </c>
      <c r="U70" s="36">
        <f>IF(H70&gt;'Valores Vigentes'!$D$4*4,H70*1%,0)</f>
        <v>0</v>
      </c>
      <c r="V70" s="36">
        <f t="shared" si="19"/>
        <v>0</v>
      </c>
      <c r="W70" s="36">
        <f t="shared" si="11"/>
        <v>79500</v>
      </c>
      <c r="X70" s="36">
        <f t="shared" si="12"/>
        <v>0</v>
      </c>
      <c r="Y70" s="30">
        <f t="shared" si="13"/>
        <v>355572.18181818182</v>
      </c>
      <c r="Z70" s="30">
        <f t="shared" si="14"/>
        <v>3288663.4242424248</v>
      </c>
    </row>
    <row r="71" spans="1:26" ht="15.75" customHeight="1" x14ac:dyDescent="0.25">
      <c r="A71" s="17" t="s">
        <v>122</v>
      </c>
      <c r="B71" s="17" t="s">
        <v>278</v>
      </c>
      <c r="C71" s="17">
        <v>8</v>
      </c>
      <c r="D71" s="17" t="s">
        <v>276</v>
      </c>
      <c r="E71" s="17" t="s">
        <v>276</v>
      </c>
      <c r="F71" s="17" t="s">
        <v>31</v>
      </c>
      <c r="G71" s="17" t="str">
        <f t="shared" si="15"/>
        <v>ASESOR</v>
      </c>
      <c r="H71" s="30">
        <f t="shared" si="16"/>
        <v>3900000</v>
      </c>
      <c r="I71" s="16">
        <v>28</v>
      </c>
      <c r="J71" s="30">
        <f t="shared" si="5"/>
        <v>3640000</v>
      </c>
      <c r="K71" s="36">
        <f>IF(H71&lt;='Valores Vigentes'!D$4*2,'Valores Vigentes'!$D$5/30*I71,0)</f>
        <v>0</v>
      </c>
      <c r="L71" s="36">
        <f t="shared" si="6"/>
        <v>54600</v>
      </c>
      <c r="M71" s="36">
        <f t="shared" si="7"/>
        <v>127400.00000000001</v>
      </c>
      <c r="N71" s="36">
        <f t="shared" si="8"/>
        <v>91000</v>
      </c>
      <c r="O71" s="37">
        <f t="shared" si="17"/>
        <v>10</v>
      </c>
      <c r="P71" s="36">
        <f t="shared" si="18"/>
        <v>443181.81818181823</v>
      </c>
      <c r="Q71" s="36">
        <f t="shared" si="9"/>
        <v>0</v>
      </c>
      <c r="R71" s="30">
        <f t="shared" si="10"/>
        <v>4356181.8181818184</v>
      </c>
      <c r="S71" s="30">
        <f>(R71-K71+L71-N71-Q71)*'Valores Vigentes'!$D$6</f>
        <v>172791.27272727274</v>
      </c>
      <c r="T71" s="30">
        <f>(R71-K71+L71-N71-Q71)*'Valores Vigentes'!$D$7</f>
        <v>172791.27272727274</v>
      </c>
      <c r="U71" s="36">
        <f>IF(H71&gt;'Valores Vigentes'!$D$4*4,H71*1%,0)</f>
        <v>0</v>
      </c>
      <c r="V71" s="36">
        <f t="shared" si="19"/>
        <v>65000</v>
      </c>
      <c r="W71" s="36">
        <f t="shared" si="11"/>
        <v>117000</v>
      </c>
      <c r="X71" s="36">
        <f t="shared" si="12"/>
        <v>87123.636363636368</v>
      </c>
      <c r="Y71" s="30">
        <f t="shared" si="13"/>
        <v>614706.18181818177</v>
      </c>
      <c r="Z71" s="30">
        <f t="shared" si="14"/>
        <v>3741475.6363636367</v>
      </c>
    </row>
    <row r="72" spans="1:26" ht="15.75" customHeight="1" x14ac:dyDescent="0.25">
      <c r="A72" s="17" t="s">
        <v>123</v>
      </c>
      <c r="B72" s="17" t="s">
        <v>278</v>
      </c>
      <c r="C72" s="17">
        <v>1</v>
      </c>
      <c r="D72" s="17" t="s">
        <v>276</v>
      </c>
      <c r="E72" s="17" t="s">
        <v>276</v>
      </c>
      <c r="F72" s="17" t="s">
        <v>35</v>
      </c>
      <c r="G72" s="17" t="str">
        <f t="shared" si="15"/>
        <v>AUXILIAR ADMON</v>
      </c>
      <c r="H72" s="30">
        <f t="shared" si="16"/>
        <v>1423500</v>
      </c>
      <c r="I72" s="16">
        <v>25</v>
      </c>
      <c r="J72" s="30">
        <f t="shared" si="5"/>
        <v>1186250</v>
      </c>
      <c r="K72" s="36">
        <f>IF(H72&lt;='Valores Vigentes'!D$4*2,'Valores Vigentes'!$D$5/30*I72,0)</f>
        <v>166666.66666666669</v>
      </c>
      <c r="L72" s="36">
        <f t="shared" si="6"/>
        <v>17793.75</v>
      </c>
      <c r="M72" s="36">
        <f t="shared" si="7"/>
        <v>0</v>
      </c>
      <c r="N72" s="36">
        <f t="shared" si="8"/>
        <v>29656.25</v>
      </c>
      <c r="O72" s="37">
        <f t="shared" si="17"/>
        <v>12</v>
      </c>
      <c r="P72" s="36">
        <f t="shared" si="18"/>
        <v>194113.63636363635</v>
      </c>
      <c r="Q72" s="36">
        <f t="shared" si="9"/>
        <v>0</v>
      </c>
      <c r="R72" s="30">
        <f t="shared" si="10"/>
        <v>1594480.3030303032</v>
      </c>
      <c r="S72" s="30">
        <f>(R72-K72+L72-N72-Q72)*'Valores Vigentes'!$D$6</f>
        <v>56638.045454545463</v>
      </c>
      <c r="T72" s="30">
        <f>(R72-K72+L72-N72-Q72)*'Valores Vigentes'!$D$7</f>
        <v>56638.045454545463</v>
      </c>
      <c r="U72" s="36">
        <f>IF(H72&gt;'Valores Vigentes'!$D$4*4,H72*1%,0)</f>
        <v>0</v>
      </c>
      <c r="V72" s="36">
        <f t="shared" si="19"/>
        <v>0</v>
      </c>
      <c r="W72" s="36">
        <f t="shared" si="11"/>
        <v>42705</v>
      </c>
      <c r="X72" s="36">
        <f t="shared" si="12"/>
        <v>31889.606060606064</v>
      </c>
      <c r="Y72" s="30">
        <f t="shared" si="13"/>
        <v>187870.69696969702</v>
      </c>
      <c r="Z72" s="30">
        <f t="shared" si="14"/>
        <v>1406609.6060606062</v>
      </c>
    </row>
    <row r="73" spans="1:26" ht="15.75" customHeight="1" x14ac:dyDescent="0.25">
      <c r="A73" s="17" t="s">
        <v>124</v>
      </c>
      <c r="B73" s="17" t="s">
        <v>275</v>
      </c>
      <c r="C73" s="17">
        <v>4</v>
      </c>
      <c r="D73" s="17" t="s">
        <v>277</v>
      </c>
      <c r="E73" s="17" t="s">
        <v>276</v>
      </c>
      <c r="F73" s="17" t="s">
        <v>37</v>
      </c>
      <c r="G73" s="17" t="str">
        <f t="shared" si="15"/>
        <v>TÉCNICO PROFESIONAL</v>
      </c>
      <c r="H73" s="30">
        <f t="shared" si="16"/>
        <v>2450000</v>
      </c>
      <c r="I73" s="16">
        <v>28</v>
      </c>
      <c r="J73" s="30">
        <f t="shared" si="5"/>
        <v>2286666.666666667</v>
      </c>
      <c r="K73" s="36">
        <f>IF(H73&lt;='Valores Vigentes'!D$4*2,'Valores Vigentes'!$D$5/30*I73,0)</f>
        <v>186666.66666666669</v>
      </c>
      <c r="L73" s="36">
        <f t="shared" si="6"/>
        <v>34300</v>
      </c>
      <c r="M73" s="36">
        <f t="shared" si="7"/>
        <v>0</v>
      </c>
      <c r="N73" s="36">
        <f t="shared" si="8"/>
        <v>34300</v>
      </c>
      <c r="O73" s="37">
        <f t="shared" si="17"/>
        <v>25</v>
      </c>
      <c r="P73" s="36">
        <f t="shared" si="18"/>
        <v>696022.72727272718</v>
      </c>
      <c r="Q73" s="36">
        <f t="shared" si="9"/>
        <v>0</v>
      </c>
      <c r="R73" s="30">
        <f t="shared" si="10"/>
        <v>3237956.0606060605</v>
      </c>
      <c r="S73" s="30">
        <f>(R73-K73+L73-N73-Q73)*'Valores Vigentes'!$D$6</f>
        <v>122051.57575757576</v>
      </c>
      <c r="T73" s="30">
        <f>(R73-K73+L73-N73-Q73)*'Valores Vigentes'!$D$7</f>
        <v>122051.57575757576</v>
      </c>
      <c r="U73" s="36">
        <f>IF(H73&gt;'Valores Vigentes'!$D$4*4,H73*1%,0)</f>
        <v>0</v>
      </c>
      <c r="V73" s="36">
        <f t="shared" si="19"/>
        <v>0</v>
      </c>
      <c r="W73" s="36">
        <f t="shared" si="11"/>
        <v>0</v>
      </c>
      <c r="X73" s="36">
        <f t="shared" si="12"/>
        <v>64759.121212121216</v>
      </c>
      <c r="Y73" s="30">
        <f t="shared" si="13"/>
        <v>308862.27272727271</v>
      </c>
      <c r="Z73" s="30">
        <f t="shared" si="14"/>
        <v>2929093.7878787881</v>
      </c>
    </row>
    <row r="74" spans="1:26" ht="15.75" customHeight="1" x14ac:dyDescent="0.25">
      <c r="A74" s="17" t="s">
        <v>125</v>
      </c>
      <c r="B74" s="17" t="s">
        <v>278</v>
      </c>
      <c r="C74" s="17">
        <v>8</v>
      </c>
      <c r="D74" s="17" t="s">
        <v>276</v>
      </c>
      <c r="E74" s="17" t="s">
        <v>277</v>
      </c>
      <c r="F74" s="17" t="s">
        <v>33</v>
      </c>
      <c r="G74" s="17" t="str">
        <f t="shared" si="15"/>
        <v>ASESOR</v>
      </c>
      <c r="H74" s="30">
        <f t="shared" si="16"/>
        <v>3900000</v>
      </c>
      <c r="I74" s="16">
        <v>25</v>
      </c>
      <c r="J74" s="30">
        <f t="shared" si="5"/>
        <v>3250000</v>
      </c>
      <c r="K74" s="36">
        <f>IF(H74&lt;='Valores Vigentes'!D$4*2,'Valores Vigentes'!$D$5/30*I74,0)</f>
        <v>0</v>
      </c>
      <c r="L74" s="36">
        <f t="shared" si="6"/>
        <v>48750</v>
      </c>
      <c r="M74" s="36">
        <f t="shared" si="7"/>
        <v>0</v>
      </c>
      <c r="N74" s="36">
        <f t="shared" si="8"/>
        <v>48750</v>
      </c>
      <c r="O74" s="37">
        <f t="shared" si="17"/>
        <v>8</v>
      </c>
      <c r="P74" s="36">
        <f t="shared" si="18"/>
        <v>354545.45454545459</v>
      </c>
      <c r="Q74" s="36">
        <f t="shared" si="9"/>
        <v>0</v>
      </c>
      <c r="R74" s="30">
        <f t="shared" si="10"/>
        <v>3702045.4545454546</v>
      </c>
      <c r="S74" s="30">
        <f>(R74-K74+L74-N74-Q74)*'Valores Vigentes'!$D$6</f>
        <v>148081.81818181818</v>
      </c>
      <c r="T74" s="30">
        <f>(R74-K74+L74-N74-Q74)*'Valores Vigentes'!$D$7</f>
        <v>148081.81818181818</v>
      </c>
      <c r="U74" s="36">
        <f>IF(H74&gt;'Valores Vigentes'!$D$4*4,H74*1%,0)</f>
        <v>0</v>
      </c>
      <c r="V74" s="36">
        <f t="shared" si="19"/>
        <v>0</v>
      </c>
      <c r="W74" s="36">
        <f t="shared" si="11"/>
        <v>117000</v>
      </c>
      <c r="X74" s="36">
        <f t="shared" si="12"/>
        <v>0</v>
      </c>
      <c r="Y74" s="30">
        <f t="shared" si="13"/>
        <v>413163.63636363635</v>
      </c>
      <c r="Z74" s="30">
        <f t="shared" si="14"/>
        <v>3288881.8181818184</v>
      </c>
    </row>
    <row r="75" spans="1:26" ht="15.75" customHeight="1" x14ac:dyDescent="0.25">
      <c r="A75" s="17" t="s">
        <v>126</v>
      </c>
      <c r="B75" s="17" t="s">
        <v>278</v>
      </c>
      <c r="C75" s="17">
        <v>5</v>
      </c>
      <c r="D75" s="17" t="s">
        <v>276</v>
      </c>
      <c r="E75" s="17" t="s">
        <v>276</v>
      </c>
      <c r="F75" s="17" t="s">
        <v>43</v>
      </c>
      <c r="G75" s="17" t="str">
        <f t="shared" si="15"/>
        <v>ASESOR VENTAS</v>
      </c>
      <c r="H75" s="30">
        <f t="shared" si="16"/>
        <v>2650000</v>
      </c>
      <c r="I75" s="16">
        <v>30</v>
      </c>
      <c r="J75" s="30">
        <f t="shared" si="5"/>
        <v>2650000</v>
      </c>
      <c r="K75" s="36">
        <f>IF(H75&lt;='Valores Vigentes'!D$4*2,'Valores Vigentes'!$D$5/30*I75,0)</f>
        <v>200000</v>
      </c>
      <c r="L75" s="36">
        <f t="shared" si="6"/>
        <v>66250</v>
      </c>
      <c r="M75" s="36">
        <f t="shared" si="7"/>
        <v>0</v>
      </c>
      <c r="N75" s="36">
        <f t="shared" si="8"/>
        <v>66250</v>
      </c>
      <c r="O75" s="37">
        <f t="shared" si="17"/>
        <v>7</v>
      </c>
      <c r="P75" s="36">
        <f t="shared" si="18"/>
        <v>210795.45454545456</v>
      </c>
      <c r="Q75" s="36">
        <f t="shared" si="9"/>
        <v>0</v>
      </c>
      <c r="R75" s="30">
        <f t="shared" si="10"/>
        <v>3193295.4545454546</v>
      </c>
      <c r="S75" s="30">
        <f>(R75-K75+L75-N75-Q75)*'Valores Vigentes'!$D$6</f>
        <v>119731.81818181819</v>
      </c>
      <c r="T75" s="30">
        <f>(R75-K75+L75-N75-Q75)*'Valores Vigentes'!$D$7</f>
        <v>119731.81818181819</v>
      </c>
      <c r="U75" s="36">
        <f>IF(H75&gt;'Valores Vigentes'!$D$4*4,H75*1%,0)</f>
        <v>0</v>
      </c>
      <c r="V75" s="36">
        <f t="shared" si="19"/>
        <v>0</v>
      </c>
      <c r="W75" s="36">
        <f t="shared" si="11"/>
        <v>79500</v>
      </c>
      <c r="X75" s="36">
        <f t="shared" si="12"/>
        <v>63865.909090909096</v>
      </c>
      <c r="Y75" s="30">
        <f t="shared" si="13"/>
        <v>382829.54545454547</v>
      </c>
      <c r="Z75" s="30">
        <f t="shared" si="14"/>
        <v>2810465.9090909092</v>
      </c>
    </row>
    <row r="76" spans="1:26" ht="15.75" customHeight="1" x14ac:dyDescent="0.25">
      <c r="A76" s="17" t="s">
        <v>127</v>
      </c>
      <c r="B76" s="17" t="s">
        <v>278</v>
      </c>
      <c r="C76" s="17">
        <v>8</v>
      </c>
      <c r="D76" s="17" t="s">
        <v>277</v>
      </c>
      <c r="E76" s="17" t="s">
        <v>276</v>
      </c>
      <c r="F76" s="17" t="s">
        <v>31</v>
      </c>
      <c r="G76" s="17" t="str">
        <f t="shared" si="15"/>
        <v>ASESOR</v>
      </c>
      <c r="H76" s="30">
        <f t="shared" si="16"/>
        <v>3900000</v>
      </c>
      <c r="I76" s="16">
        <v>27</v>
      </c>
      <c r="J76" s="30">
        <f t="shared" si="5"/>
        <v>3510000</v>
      </c>
      <c r="K76" s="36">
        <f>IF(H76&lt;='Valores Vigentes'!D$4*2,'Valores Vigentes'!$D$5/30*I76,0)</f>
        <v>0</v>
      </c>
      <c r="L76" s="36">
        <f t="shared" si="6"/>
        <v>52650</v>
      </c>
      <c r="M76" s="36">
        <f t="shared" si="7"/>
        <v>122850.00000000001</v>
      </c>
      <c r="N76" s="36">
        <f t="shared" si="8"/>
        <v>52650</v>
      </c>
      <c r="O76" s="37">
        <f t="shared" si="17"/>
        <v>25</v>
      </c>
      <c r="P76" s="36">
        <f t="shared" si="18"/>
        <v>1107954.5454545456</v>
      </c>
      <c r="Q76" s="36">
        <f t="shared" si="9"/>
        <v>0</v>
      </c>
      <c r="R76" s="30">
        <f t="shared" si="10"/>
        <v>4846104.5454545459</v>
      </c>
      <c r="S76" s="30">
        <f>(R76-K76+L76-N76-Q76)*'Valores Vigentes'!$D$6</f>
        <v>193844.18181818185</v>
      </c>
      <c r="T76" s="30">
        <f>(R76-K76+L76-N76-Q76)*'Valores Vigentes'!$D$7</f>
        <v>193844.18181818185</v>
      </c>
      <c r="U76" s="36">
        <f>IF(H76&gt;'Valores Vigentes'!$D$4*4,H76*1%,0)</f>
        <v>0</v>
      </c>
      <c r="V76" s="36">
        <f t="shared" si="19"/>
        <v>79000</v>
      </c>
      <c r="W76" s="36">
        <f t="shared" si="11"/>
        <v>0</v>
      </c>
      <c r="X76" s="36">
        <f t="shared" si="12"/>
        <v>96922.090909090926</v>
      </c>
      <c r="Y76" s="30">
        <f t="shared" si="13"/>
        <v>563610.45454545459</v>
      </c>
      <c r="Z76" s="30">
        <f t="shared" si="14"/>
        <v>4282494.0909090918</v>
      </c>
    </row>
    <row r="77" spans="1:26" ht="15.75" customHeight="1" x14ac:dyDescent="0.25">
      <c r="A77" s="17" t="s">
        <v>128</v>
      </c>
      <c r="B77" s="17" t="s">
        <v>278</v>
      </c>
      <c r="C77" s="17">
        <v>5</v>
      </c>
      <c r="D77" s="17" t="s">
        <v>276</v>
      </c>
      <c r="E77" s="17" t="s">
        <v>276</v>
      </c>
      <c r="F77" s="17" t="s">
        <v>31</v>
      </c>
      <c r="G77" s="17" t="str">
        <f t="shared" si="15"/>
        <v>ASESOR VENTAS</v>
      </c>
      <c r="H77" s="30">
        <f t="shared" si="16"/>
        <v>2650000</v>
      </c>
      <c r="I77" s="16">
        <v>30</v>
      </c>
      <c r="J77" s="30">
        <f t="shared" si="5"/>
        <v>2650000</v>
      </c>
      <c r="K77" s="36">
        <f>IF(H77&lt;='Valores Vigentes'!D$4*2,'Valores Vigentes'!$D$5/30*I77,0)</f>
        <v>200000</v>
      </c>
      <c r="L77" s="36">
        <f t="shared" si="6"/>
        <v>66250</v>
      </c>
      <c r="M77" s="36">
        <f t="shared" si="7"/>
        <v>92750.000000000015</v>
      </c>
      <c r="N77" s="36">
        <f t="shared" si="8"/>
        <v>66250</v>
      </c>
      <c r="O77" s="37">
        <f t="shared" si="17"/>
        <v>20</v>
      </c>
      <c r="P77" s="36">
        <f t="shared" si="18"/>
        <v>602272.72727272729</v>
      </c>
      <c r="Q77" s="36">
        <f t="shared" si="9"/>
        <v>0</v>
      </c>
      <c r="R77" s="30">
        <f t="shared" si="10"/>
        <v>3677522.7272727275</v>
      </c>
      <c r="S77" s="30">
        <f>(R77-K77+L77-N77-Q77)*'Valores Vigentes'!$D$6</f>
        <v>139100.90909090912</v>
      </c>
      <c r="T77" s="30">
        <f>(R77-K77+L77-N77-Q77)*'Valores Vigentes'!$D$7</f>
        <v>139100.90909090912</v>
      </c>
      <c r="U77" s="36">
        <f>IF(H77&gt;'Valores Vigentes'!$D$4*4,H77*1%,0)</f>
        <v>0</v>
      </c>
      <c r="V77" s="36">
        <f t="shared" si="19"/>
        <v>0</v>
      </c>
      <c r="W77" s="36">
        <f t="shared" si="11"/>
        <v>79500</v>
      </c>
      <c r="X77" s="36">
        <f t="shared" si="12"/>
        <v>73550.454545454559</v>
      </c>
      <c r="Y77" s="30">
        <f t="shared" si="13"/>
        <v>431252.27272727282</v>
      </c>
      <c r="Z77" s="30">
        <f t="shared" si="14"/>
        <v>3246270.4545454546</v>
      </c>
    </row>
    <row r="78" spans="1:26" ht="15.75" customHeight="1" x14ac:dyDescent="0.25">
      <c r="A78" s="17" t="s">
        <v>129</v>
      </c>
      <c r="B78" s="17" t="s">
        <v>275</v>
      </c>
      <c r="C78" s="17">
        <v>2</v>
      </c>
      <c r="D78" s="17" t="s">
        <v>276</v>
      </c>
      <c r="E78" s="17" t="s">
        <v>277</v>
      </c>
      <c r="F78" s="17" t="s">
        <v>33</v>
      </c>
      <c r="G78" s="17" t="str">
        <f t="shared" si="15"/>
        <v>ASISTENTES</v>
      </c>
      <c r="H78" s="30">
        <f t="shared" si="16"/>
        <v>1626000</v>
      </c>
      <c r="I78" s="16">
        <v>30</v>
      </c>
      <c r="J78" s="30">
        <f t="shared" si="5"/>
        <v>1626000</v>
      </c>
      <c r="K78" s="36">
        <f>IF(H78&lt;='Valores Vigentes'!D$4*2,'Valores Vigentes'!$D$5/30*I78,0)</f>
        <v>200000</v>
      </c>
      <c r="L78" s="36">
        <f t="shared" si="6"/>
        <v>40650</v>
      </c>
      <c r="M78" s="36">
        <f t="shared" si="7"/>
        <v>0</v>
      </c>
      <c r="N78" s="36">
        <f t="shared" si="8"/>
        <v>24390</v>
      </c>
      <c r="O78" s="37">
        <f t="shared" si="17"/>
        <v>26</v>
      </c>
      <c r="P78" s="36">
        <f t="shared" si="18"/>
        <v>480409.09090909094</v>
      </c>
      <c r="Q78" s="36">
        <f t="shared" si="9"/>
        <v>0</v>
      </c>
      <c r="R78" s="30">
        <f t="shared" si="10"/>
        <v>2371449.0909090908</v>
      </c>
      <c r="S78" s="30">
        <f>(R78-K78+L78-N78-Q78)*'Valores Vigentes'!$D$6</f>
        <v>87508.363636363632</v>
      </c>
      <c r="T78" s="30">
        <f>(R78-K78+L78-N78-Q78)*'Valores Vigentes'!$D$7</f>
        <v>87508.363636363632</v>
      </c>
      <c r="U78" s="36">
        <f>IF(H78&gt;'Valores Vigentes'!$D$4*4,H78*1%,0)</f>
        <v>0</v>
      </c>
      <c r="V78" s="36">
        <f t="shared" si="19"/>
        <v>0</v>
      </c>
      <c r="W78" s="36">
        <f t="shared" si="11"/>
        <v>48780</v>
      </c>
      <c r="X78" s="36">
        <f t="shared" si="12"/>
        <v>0</v>
      </c>
      <c r="Y78" s="30">
        <f t="shared" si="13"/>
        <v>223796.72727272726</v>
      </c>
      <c r="Z78" s="30">
        <f t="shared" si="14"/>
        <v>2147652.3636363638</v>
      </c>
    </row>
    <row r="79" spans="1:26" ht="15.75" customHeight="1" x14ac:dyDescent="0.25">
      <c r="A79" s="17" t="s">
        <v>130</v>
      </c>
      <c r="B79" s="17" t="s">
        <v>278</v>
      </c>
      <c r="C79" s="17">
        <v>6</v>
      </c>
      <c r="D79" s="17" t="s">
        <v>276</v>
      </c>
      <c r="E79" s="17" t="s">
        <v>277</v>
      </c>
      <c r="F79" s="17" t="s">
        <v>43</v>
      </c>
      <c r="G79" s="17" t="str">
        <f t="shared" ref="G79:G110" si="20">VLOOKUP(C79,SALARIOSACTUALES,2,0)</f>
        <v>PROFESIONAL</v>
      </c>
      <c r="H79" s="30">
        <f t="shared" ref="H79:H110" si="21">VLOOKUP(C79,SALARIOSACTUALES,3,0)</f>
        <v>2950000</v>
      </c>
      <c r="I79" s="16">
        <v>25</v>
      </c>
      <c r="J79" s="30">
        <f t="shared" si="5"/>
        <v>2458333.333333333</v>
      </c>
      <c r="K79" s="36">
        <f>IF(H79&lt;='Valores Vigentes'!D$4*2,'Valores Vigentes'!$D$5/30*I79,0)</f>
        <v>0</v>
      </c>
      <c r="L79" s="36">
        <f t="shared" si="6"/>
        <v>36874.999999999993</v>
      </c>
      <c r="M79" s="36">
        <f t="shared" si="7"/>
        <v>0</v>
      </c>
      <c r="N79" s="36">
        <f t="shared" si="8"/>
        <v>36874.999999999993</v>
      </c>
      <c r="O79" s="37">
        <f t="shared" ref="O79:O110" si="22">VLOOKUP(A79,HORASEXTRAS,11,0)</f>
        <v>12</v>
      </c>
      <c r="P79" s="36">
        <f t="shared" ref="P79:P110" si="23">VLOOKUP(A79,HORASEXTRAS,10,0)</f>
        <v>402272.72727272729</v>
      </c>
      <c r="Q79" s="36">
        <f t="shared" si="9"/>
        <v>0</v>
      </c>
      <c r="R79" s="30">
        <f t="shared" si="10"/>
        <v>2934356.0606060605</v>
      </c>
      <c r="S79" s="30">
        <f>(R79-K79+L79-N79-Q79)*'Valores Vigentes'!$D$6</f>
        <v>117374.24242424243</v>
      </c>
      <c r="T79" s="30">
        <f>(R79-K79+L79-N79-Q79)*'Valores Vigentes'!$D$7</f>
        <v>117374.24242424243</v>
      </c>
      <c r="U79" s="36">
        <f>IF(H79&gt;'Valores Vigentes'!$D$4*4,H79*1%,0)</f>
        <v>0</v>
      </c>
      <c r="V79" s="36">
        <f t="shared" ref="V79:V110" si="24">HLOOKUP(R79,RETEFUENTE,2,1)</f>
        <v>0</v>
      </c>
      <c r="W79" s="36">
        <f t="shared" si="11"/>
        <v>88500</v>
      </c>
      <c r="X79" s="36">
        <f t="shared" si="12"/>
        <v>0</v>
      </c>
      <c r="Y79" s="30">
        <f t="shared" si="13"/>
        <v>323248.48484848486</v>
      </c>
      <c r="Z79" s="30">
        <f t="shared" si="14"/>
        <v>2611107.5757575757</v>
      </c>
    </row>
    <row r="80" spans="1:26" ht="15.75" customHeight="1" x14ac:dyDescent="0.25">
      <c r="A80" s="17" t="s">
        <v>131</v>
      </c>
      <c r="B80" s="17" t="s">
        <v>275</v>
      </c>
      <c r="C80" s="17">
        <v>7</v>
      </c>
      <c r="D80" s="17" t="s">
        <v>276</v>
      </c>
      <c r="E80" s="17" t="s">
        <v>277</v>
      </c>
      <c r="F80" s="17" t="s">
        <v>31</v>
      </c>
      <c r="G80" s="17" t="str">
        <f t="shared" si="20"/>
        <v>COORDINADOR</v>
      </c>
      <c r="H80" s="30">
        <f t="shared" si="21"/>
        <v>3250000</v>
      </c>
      <c r="I80" s="16">
        <v>30</v>
      </c>
      <c r="J80" s="30">
        <f t="shared" ref="J80:J143" si="25">H80/30*I80</f>
        <v>3250000</v>
      </c>
      <c r="K80" s="36">
        <f>IF(H80&lt;='Valores Vigentes'!D$4*2,'Valores Vigentes'!$D$5/30*I80,0)</f>
        <v>0</v>
      </c>
      <c r="L80" s="36">
        <f t="shared" ref="L80:L143" si="26">IF(I80=30,J80*2.5%,J80*1.5%)</f>
        <v>81250</v>
      </c>
      <c r="M80" s="36">
        <f t="shared" ref="M80:M143" si="27">IF(F80="VENTAS",J80*3.5%,0)</f>
        <v>113750.00000000001</v>
      </c>
      <c r="N80" s="36">
        <f t="shared" ref="N80:N143" si="28">IF(AND(D80="SI",E80="SI"),J80*2.5%,IF(OR(D80="SI",E80="SI"),J80*1.5%,J80*1%))</f>
        <v>48750</v>
      </c>
      <c r="O80" s="37">
        <f t="shared" si="22"/>
        <v>29</v>
      </c>
      <c r="P80" s="36">
        <f t="shared" si="23"/>
        <v>1071022.7272727271</v>
      </c>
      <c r="Q80" s="36">
        <f t="shared" ref="Q80:Q143" si="29">IF(OR(C80=9,C80=10),H80*15%,0)</f>
        <v>0</v>
      </c>
      <c r="R80" s="30">
        <f t="shared" ref="R80:R143" si="30">SUM(J80:Q80)-O80</f>
        <v>4564772.7272727266</v>
      </c>
      <c r="S80" s="30">
        <f>(R80-K80+L80-N80-Q80)*'Valores Vigentes'!$D$6</f>
        <v>183890.90909090906</v>
      </c>
      <c r="T80" s="30">
        <f>(R80-K80+L80-N80-Q80)*'Valores Vigentes'!$D$7</f>
        <v>183890.90909090906</v>
      </c>
      <c r="U80" s="36">
        <f>IF(H80&gt;'Valores Vigentes'!$D$4*4,H80*1%,0)</f>
        <v>0</v>
      </c>
      <c r="V80" s="36">
        <f t="shared" si="24"/>
        <v>65000</v>
      </c>
      <c r="W80" s="36">
        <f t="shared" ref="W80:W143" si="31">IF(D80="SI",H80*3%,0)</f>
        <v>97500</v>
      </c>
      <c r="X80" s="36">
        <f t="shared" ref="X80:X143" si="32">IF(E80="SI",R80*2%,0)</f>
        <v>0</v>
      </c>
      <c r="Y80" s="30">
        <f t="shared" ref="Y80:Y143" si="33">SUM(S80:X80)</f>
        <v>530281.81818181812</v>
      </c>
      <c r="Z80" s="30">
        <f t="shared" ref="Z80:Z143" si="34">R80-Y80</f>
        <v>4034490.9090909082</v>
      </c>
    </row>
    <row r="81" spans="1:26" ht="15.75" customHeight="1" x14ac:dyDescent="0.25">
      <c r="A81" s="17" t="s">
        <v>132</v>
      </c>
      <c r="B81" s="17" t="s">
        <v>278</v>
      </c>
      <c r="C81" s="17">
        <v>5</v>
      </c>
      <c r="D81" s="17" t="s">
        <v>276</v>
      </c>
      <c r="E81" s="17" t="s">
        <v>276</v>
      </c>
      <c r="F81" s="17" t="s">
        <v>37</v>
      </c>
      <c r="G81" s="17" t="str">
        <f t="shared" si="20"/>
        <v>ASESOR VENTAS</v>
      </c>
      <c r="H81" s="30">
        <f t="shared" si="21"/>
        <v>2650000</v>
      </c>
      <c r="I81" s="16">
        <v>30</v>
      </c>
      <c r="J81" s="30">
        <f t="shared" si="25"/>
        <v>2650000</v>
      </c>
      <c r="K81" s="36">
        <f>IF(H81&lt;='Valores Vigentes'!D$4*2,'Valores Vigentes'!$D$5/30*I81,0)</f>
        <v>200000</v>
      </c>
      <c r="L81" s="36">
        <f t="shared" si="26"/>
        <v>66250</v>
      </c>
      <c r="M81" s="36">
        <f t="shared" si="27"/>
        <v>0</v>
      </c>
      <c r="N81" s="36">
        <f t="shared" si="28"/>
        <v>66250</v>
      </c>
      <c r="O81" s="37">
        <f t="shared" si="22"/>
        <v>13</v>
      </c>
      <c r="P81" s="36">
        <f t="shared" si="23"/>
        <v>391477.27272727271</v>
      </c>
      <c r="Q81" s="36">
        <f t="shared" si="29"/>
        <v>0</v>
      </c>
      <c r="R81" s="30">
        <f t="shared" si="30"/>
        <v>3373977.2727272725</v>
      </c>
      <c r="S81" s="30">
        <f>(R81-K81+L81-N81-Q81)*'Valores Vigentes'!$D$6</f>
        <v>126959.0909090909</v>
      </c>
      <c r="T81" s="30">
        <f>(R81-K81+L81-N81-Q81)*'Valores Vigentes'!$D$7</f>
        <v>126959.0909090909</v>
      </c>
      <c r="U81" s="36">
        <f>IF(H81&gt;'Valores Vigentes'!$D$4*4,H81*1%,0)</f>
        <v>0</v>
      </c>
      <c r="V81" s="36">
        <f t="shared" si="24"/>
        <v>0</v>
      </c>
      <c r="W81" s="36">
        <f t="shared" si="31"/>
        <v>79500</v>
      </c>
      <c r="X81" s="36">
        <f t="shared" si="32"/>
        <v>67479.545454545456</v>
      </c>
      <c r="Y81" s="30">
        <f t="shared" si="33"/>
        <v>400897.72727272724</v>
      </c>
      <c r="Z81" s="30">
        <f t="shared" si="34"/>
        <v>2973079.5454545454</v>
      </c>
    </row>
    <row r="82" spans="1:26" ht="15.75" customHeight="1" x14ac:dyDescent="0.25">
      <c r="A82" s="17" t="s">
        <v>133</v>
      </c>
      <c r="B82" s="17" t="s">
        <v>278</v>
      </c>
      <c r="C82" s="17">
        <v>2</v>
      </c>
      <c r="D82" s="17" t="s">
        <v>276</v>
      </c>
      <c r="E82" s="17" t="s">
        <v>277</v>
      </c>
      <c r="F82" s="17" t="s">
        <v>31</v>
      </c>
      <c r="G82" s="17" t="str">
        <f t="shared" si="20"/>
        <v>ASISTENTES</v>
      </c>
      <c r="H82" s="30">
        <f t="shared" si="21"/>
        <v>1626000</v>
      </c>
      <c r="I82" s="16">
        <v>25</v>
      </c>
      <c r="J82" s="30">
        <f t="shared" si="25"/>
        <v>1355000</v>
      </c>
      <c r="K82" s="36">
        <f>IF(H82&lt;='Valores Vigentes'!D$4*2,'Valores Vigentes'!$D$5/30*I82,0)</f>
        <v>166666.66666666669</v>
      </c>
      <c r="L82" s="36">
        <f t="shared" si="26"/>
        <v>20325</v>
      </c>
      <c r="M82" s="36">
        <f t="shared" si="27"/>
        <v>47425.000000000007</v>
      </c>
      <c r="N82" s="36">
        <f t="shared" si="28"/>
        <v>20325</v>
      </c>
      <c r="O82" s="37">
        <f t="shared" si="22"/>
        <v>16</v>
      </c>
      <c r="P82" s="36">
        <f t="shared" si="23"/>
        <v>295636.36363636365</v>
      </c>
      <c r="Q82" s="36">
        <f t="shared" si="29"/>
        <v>0</v>
      </c>
      <c r="R82" s="30">
        <f t="shared" si="30"/>
        <v>1905378.0303030303</v>
      </c>
      <c r="S82" s="30">
        <f>(R82-K82+L82-N82-Q82)*'Valores Vigentes'!$D$6</f>
        <v>69548.454545454544</v>
      </c>
      <c r="T82" s="30">
        <f>(R82-K82+L82-N82-Q82)*'Valores Vigentes'!$D$7</f>
        <v>69548.454545454544</v>
      </c>
      <c r="U82" s="36">
        <f>IF(H82&gt;'Valores Vigentes'!$D$4*4,H82*1%,0)</f>
        <v>0</v>
      </c>
      <c r="V82" s="36">
        <f t="shared" si="24"/>
        <v>0</v>
      </c>
      <c r="W82" s="36">
        <f t="shared" si="31"/>
        <v>48780</v>
      </c>
      <c r="X82" s="36">
        <f t="shared" si="32"/>
        <v>0</v>
      </c>
      <c r="Y82" s="30">
        <f t="shared" si="33"/>
        <v>187876.90909090909</v>
      </c>
      <c r="Z82" s="30">
        <f t="shared" si="34"/>
        <v>1717501.1212121211</v>
      </c>
    </row>
    <row r="83" spans="1:26" ht="15.75" customHeight="1" x14ac:dyDescent="0.25">
      <c r="A83" s="17" t="s">
        <v>134</v>
      </c>
      <c r="B83" s="17" t="s">
        <v>278</v>
      </c>
      <c r="C83" s="17">
        <v>7</v>
      </c>
      <c r="D83" s="17" t="s">
        <v>276</v>
      </c>
      <c r="E83" s="17" t="s">
        <v>276</v>
      </c>
      <c r="F83" s="17" t="s">
        <v>43</v>
      </c>
      <c r="G83" s="17" t="str">
        <f t="shared" si="20"/>
        <v>COORDINADOR</v>
      </c>
      <c r="H83" s="30">
        <f t="shared" si="21"/>
        <v>3250000</v>
      </c>
      <c r="I83" s="16">
        <v>30</v>
      </c>
      <c r="J83" s="30">
        <f t="shared" si="25"/>
        <v>3250000</v>
      </c>
      <c r="K83" s="36">
        <f>IF(H83&lt;='Valores Vigentes'!D$4*2,'Valores Vigentes'!$D$5/30*I83,0)</f>
        <v>0</v>
      </c>
      <c r="L83" s="36">
        <f t="shared" si="26"/>
        <v>81250</v>
      </c>
      <c r="M83" s="36">
        <f t="shared" si="27"/>
        <v>0</v>
      </c>
      <c r="N83" s="36">
        <f t="shared" si="28"/>
        <v>81250</v>
      </c>
      <c r="O83" s="37">
        <f t="shared" si="22"/>
        <v>26</v>
      </c>
      <c r="P83" s="36">
        <f t="shared" si="23"/>
        <v>960227.27272727259</v>
      </c>
      <c r="Q83" s="36">
        <f t="shared" si="29"/>
        <v>0</v>
      </c>
      <c r="R83" s="30">
        <f t="shared" si="30"/>
        <v>4372727.2727272725</v>
      </c>
      <c r="S83" s="30">
        <f>(R83-K83+L83-N83-Q83)*'Valores Vigentes'!$D$6</f>
        <v>174909.09090909091</v>
      </c>
      <c r="T83" s="30">
        <f>(R83-K83+L83-N83-Q83)*'Valores Vigentes'!$D$7</f>
        <v>174909.09090909091</v>
      </c>
      <c r="U83" s="36">
        <f>IF(H83&gt;'Valores Vigentes'!$D$4*4,H83*1%,0)</f>
        <v>0</v>
      </c>
      <c r="V83" s="36">
        <f t="shared" si="24"/>
        <v>65000</v>
      </c>
      <c r="W83" s="36">
        <f t="shared" si="31"/>
        <v>97500</v>
      </c>
      <c r="X83" s="36">
        <f t="shared" si="32"/>
        <v>87454.545454545456</v>
      </c>
      <c r="Y83" s="30">
        <f t="shared" si="33"/>
        <v>599772.72727272729</v>
      </c>
      <c r="Z83" s="30">
        <f t="shared" si="34"/>
        <v>3772954.5454545449</v>
      </c>
    </row>
    <row r="84" spans="1:26" ht="15.75" customHeight="1" x14ac:dyDescent="0.25">
      <c r="A84" s="17" t="s">
        <v>135</v>
      </c>
      <c r="B84" s="17" t="s">
        <v>278</v>
      </c>
      <c r="C84" s="17">
        <v>8</v>
      </c>
      <c r="D84" s="17" t="s">
        <v>276</v>
      </c>
      <c r="E84" s="17" t="s">
        <v>277</v>
      </c>
      <c r="F84" s="17" t="s">
        <v>31</v>
      </c>
      <c r="G84" s="17" t="str">
        <f t="shared" si="20"/>
        <v>ASESOR</v>
      </c>
      <c r="H84" s="30">
        <f t="shared" si="21"/>
        <v>3900000</v>
      </c>
      <c r="I84" s="16">
        <v>28</v>
      </c>
      <c r="J84" s="30">
        <f t="shared" si="25"/>
        <v>3640000</v>
      </c>
      <c r="K84" s="36">
        <f>IF(H84&lt;='Valores Vigentes'!D$4*2,'Valores Vigentes'!$D$5/30*I84,0)</f>
        <v>0</v>
      </c>
      <c r="L84" s="36">
        <f t="shared" si="26"/>
        <v>54600</v>
      </c>
      <c r="M84" s="36">
        <f t="shared" si="27"/>
        <v>127400.00000000001</v>
      </c>
      <c r="N84" s="36">
        <f t="shared" si="28"/>
        <v>54600</v>
      </c>
      <c r="O84" s="37">
        <f t="shared" si="22"/>
        <v>22</v>
      </c>
      <c r="P84" s="36">
        <f t="shared" si="23"/>
        <v>975000.00000000012</v>
      </c>
      <c r="Q84" s="36">
        <f t="shared" si="29"/>
        <v>0</v>
      </c>
      <c r="R84" s="30">
        <f t="shared" si="30"/>
        <v>4851600</v>
      </c>
      <c r="S84" s="30">
        <f>(R84-K84+L84-N84-Q84)*'Valores Vigentes'!$D$6</f>
        <v>194064</v>
      </c>
      <c r="T84" s="30">
        <f>(R84-K84+L84-N84-Q84)*'Valores Vigentes'!$D$7</f>
        <v>194064</v>
      </c>
      <c r="U84" s="36">
        <f>IF(H84&gt;'Valores Vigentes'!$D$4*4,H84*1%,0)</f>
        <v>0</v>
      </c>
      <c r="V84" s="36">
        <f t="shared" si="24"/>
        <v>79000</v>
      </c>
      <c r="W84" s="36">
        <f t="shared" si="31"/>
        <v>117000</v>
      </c>
      <c r="X84" s="36">
        <f t="shared" si="32"/>
        <v>0</v>
      </c>
      <c r="Y84" s="30">
        <f t="shared" si="33"/>
        <v>584128</v>
      </c>
      <c r="Z84" s="30">
        <f t="shared" si="34"/>
        <v>4267472</v>
      </c>
    </row>
    <row r="85" spans="1:26" ht="15.75" customHeight="1" x14ac:dyDescent="0.25">
      <c r="A85" s="17" t="s">
        <v>136</v>
      </c>
      <c r="B85" s="17" t="s">
        <v>278</v>
      </c>
      <c r="C85" s="17">
        <v>3</v>
      </c>
      <c r="D85" s="17" t="s">
        <v>276</v>
      </c>
      <c r="E85" s="17" t="s">
        <v>277</v>
      </c>
      <c r="F85" s="17" t="s">
        <v>43</v>
      </c>
      <c r="G85" s="17" t="str">
        <f t="shared" si="20"/>
        <v>SECRETARIAS</v>
      </c>
      <c r="H85" s="30">
        <f t="shared" si="21"/>
        <v>1813000</v>
      </c>
      <c r="I85" s="16">
        <v>28</v>
      </c>
      <c r="J85" s="30">
        <f t="shared" si="25"/>
        <v>1692133.3333333335</v>
      </c>
      <c r="K85" s="36">
        <f>IF(H85&lt;='Valores Vigentes'!D$4*2,'Valores Vigentes'!$D$5/30*I85,0)</f>
        <v>186666.66666666669</v>
      </c>
      <c r="L85" s="36">
        <f t="shared" si="26"/>
        <v>25382</v>
      </c>
      <c r="M85" s="36">
        <f t="shared" si="27"/>
        <v>0</v>
      </c>
      <c r="N85" s="36">
        <f t="shared" si="28"/>
        <v>25382</v>
      </c>
      <c r="O85" s="37">
        <f t="shared" si="22"/>
        <v>19</v>
      </c>
      <c r="P85" s="36">
        <f t="shared" si="23"/>
        <v>391443.18181818177</v>
      </c>
      <c r="Q85" s="36">
        <f t="shared" si="29"/>
        <v>0</v>
      </c>
      <c r="R85" s="30">
        <f t="shared" si="30"/>
        <v>2321007.1818181821</v>
      </c>
      <c r="S85" s="30">
        <f>(R85-K85+L85-N85-Q85)*'Valores Vigentes'!$D$6</f>
        <v>85373.62060606062</v>
      </c>
      <c r="T85" s="30">
        <f>(R85-K85+L85-N85-Q85)*'Valores Vigentes'!$D$7</f>
        <v>85373.62060606062</v>
      </c>
      <c r="U85" s="36">
        <f>IF(H85&gt;'Valores Vigentes'!$D$4*4,H85*1%,0)</f>
        <v>0</v>
      </c>
      <c r="V85" s="36">
        <f t="shared" si="24"/>
        <v>0</v>
      </c>
      <c r="W85" s="36">
        <f t="shared" si="31"/>
        <v>54390</v>
      </c>
      <c r="X85" s="36">
        <f t="shared" si="32"/>
        <v>0</v>
      </c>
      <c r="Y85" s="30">
        <f t="shared" si="33"/>
        <v>225137.24121212124</v>
      </c>
      <c r="Z85" s="30">
        <f t="shared" si="34"/>
        <v>2095869.9406060609</v>
      </c>
    </row>
    <row r="86" spans="1:26" ht="15.75" customHeight="1" x14ac:dyDescent="0.25">
      <c r="A86" s="17" t="s">
        <v>137</v>
      </c>
      <c r="B86" s="17" t="s">
        <v>275</v>
      </c>
      <c r="C86" s="17">
        <v>4</v>
      </c>
      <c r="D86" s="17" t="s">
        <v>276</v>
      </c>
      <c r="E86" s="17" t="s">
        <v>277</v>
      </c>
      <c r="F86" s="17" t="s">
        <v>35</v>
      </c>
      <c r="G86" s="17" t="str">
        <f t="shared" si="20"/>
        <v>TÉCNICO PROFESIONAL</v>
      </c>
      <c r="H86" s="30">
        <f t="shared" si="21"/>
        <v>2450000</v>
      </c>
      <c r="I86" s="16">
        <v>27</v>
      </c>
      <c r="J86" s="30">
        <f t="shared" si="25"/>
        <v>2205000</v>
      </c>
      <c r="K86" s="36">
        <f>IF(H86&lt;='Valores Vigentes'!D$4*2,'Valores Vigentes'!$D$5/30*I86,0)</f>
        <v>180000</v>
      </c>
      <c r="L86" s="36">
        <f t="shared" si="26"/>
        <v>33075</v>
      </c>
      <c r="M86" s="36">
        <f t="shared" si="27"/>
        <v>0</v>
      </c>
      <c r="N86" s="36">
        <f t="shared" si="28"/>
        <v>33075</v>
      </c>
      <c r="O86" s="37">
        <f t="shared" si="22"/>
        <v>21</v>
      </c>
      <c r="P86" s="36">
        <f t="shared" si="23"/>
        <v>584659.09090909082</v>
      </c>
      <c r="Q86" s="36">
        <f t="shared" si="29"/>
        <v>0</v>
      </c>
      <c r="R86" s="30">
        <f t="shared" si="30"/>
        <v>3035809.0909090908</v>
      </c>
      <c r="S86" s="30">
        <f>(R86-K86+L86-N86-Q86)*'Valores Vigentes'!$D$6</f>
        <v>114232.36363636363</v>
      </c>
      <c r="T86" s="30">
        <f>(R86-K86+L86-N86-Q86)*'Valores Vigentes'!$D$7</f>
        <v>114232.36363636363</v>
      </c>
      <c r="U86" s="36">
        <f>IF(H86&gt;'Valores Vigentes'!$D$4*4,H86*1%,0)</f>
        <v>0</v>
      </c>
      <c r="V86" s="36">
        <f t="shared" si="24"/>
        <v>0</v>
      </c>
      <c r="W86" s="36">
        <f t="shared" si="31"/>
        <v>73500</v>
      </c>
      <c r="X86" s="36">
        <f t="shared" si="32"/>
        <v>0</v>
      </c>
      <c r="Y86" s="30">
        <f t="shared" si="33"/>
        <v>301964.72727272729</v>
      </c>
      <c r="Z86" s="30">
        <f t="shared" si="34"/>
        <v>2733844.3636363633</v>
      </c>
    </row>
    <row r="87" spans="1:26" ht="15.75" customHeight="1" x14ac:dyDescent="0.25">
      <c r="A87" s="17" t="s">
        <v>138</v>
      </c>
      <c r="B87" s="17" t="s">
        <v>278</v>
      </c>
      <c r="C87" s="17">
        <v>8</v>
      </c>
      <c r="D87" s="17" t="s">
        <v>276</v>
      </c>
      <c r="E87" s="17" t="s">
        <v>277</v>
      </c>
      <c r="F87" s="17" t="s">
        <v>31</v>
      </c>
      <c r="G87" s="17" t="str">
        <f t="shared" si="20"/>
        <v>ASESOR</v>
      </c>
      <c r="H87" s="30">
        <f t="shared" si="21"/>
        <v>3900000</v>
      </c>
      <c r="I87" s="16">
        <v>27</v>
      </c>
      <c r="J87" s="30">
        <f t="shared" si="25"/>
        <v>3510000</v>
      </c>
      <c r="K87" s="36">
        <f>IF(H87&lt;='Valores Vigentes'!D$4*2,'Valores Vigentes'!$D$5/30*I87,0)</f>
        <v>0</v>
      </c>
      <c r="L87" s="36">
        <f t="shared" si="26"/>
        <v>52650</v>
      </c>
      <c r="M87" s="36">
        <f t="shared" si="27"/>
        <v>122850.00000000001</v>
      </c>
      <c r="N87" s="36">
        <f t="shared" si="28"/>
        <v>52650</v>
      </c>
      <c r="O87" s="37">
        <f t="shared" si="22"/>
        <v>2</v>
      </c>
      <c r="P87" s="36">
        <f t="shared" si="23"/>
        <v>88636.363636363647</v>
      </c>
      <c r="Q87" s="36">
        <f t="shared" si="29"/>
        <v>0</v>
      </c>
      <c r="R87" s="30">
        <f t="shared" si="30"/>
        <v>3826786.3636363638</v>
      </c>
      <c r="S87" s="30">
        <f>(R87-K87+L87-N87-Q87)*'Valores Vigentes'!$D$6</f>
        <v>153071.45454545456</v>
      </c>
      <c r="T87" s="30">
        <f>(R87-K87+L87-N87-Q87)*'Valores Vigentes'!$D$7</f>
        <v>153071.45454545456</v>
      </c>
      <c r="U87" s="36">
        <f>IF(H87&gt;'Valores Vigentes'!$D$4*4,H87*1%,0)</f>
        <v>0</v>
      </c>
      <c r="V87" s="36">
        <f t="shared" si="24"/>
        <v>0</v>
      </c>
      <c r="W87" s="36">
        <f t="shared" si="31"/>
        <v>117000</v>
      </c>
      <c r="X87" s="36">
        <f t="shared" si="32"/>
        <v>0</v>
      </c>
      <c r="Y87" s="30">
        <f t="shared" si="33"/>
        <v>423142.90909090912</v>
      </c>
      <c r="Z87" s="30">
        <f t="shared" si="34"/>
        <v>3403643.4545454546</v>
      </c>
    </row>
    <row r="88" spans="1:26" ht="15.75" customHeight="1" x14ac:dyDescent="0.25">
      <c r="A88" s="17" t="s">
        <v>139</v>
      </c>
      <c r="B88" s="17" t="s">
        <v>275</v>
      </c>
      <c r="C88" s="17">
        <v>8</v>
      </c>
      <c r="D88" s="17" t="s">
        <v>276</v>
      </c>
      <c r="E88" s="17" t="s">
        <v>276</v>
      </c>
      <c r="F88" s="17" t="s">
        <v>31</v>
      </c>
      <c r="G88" s="17" t="str">
        <f t="shared" si="20"/>
        <v>ASESOR</v>
      </c>
      <c r="H88" s="30">
        <f t="shared" si="21"/>
        <v>3900000</v>
      </c>
      <c r="I88" s="16">
        <v>27</v>
      </c>
      <c r="J88" s="30">
        <f t="shared" si="25"/>
        <v>3510000</v>
      </c>
      <c r="K88" s="36">
        <f>IF(H88&lt;='Valores Vigentes'!D$4*2,'Valores Vigentes'!$D$5/30*I88,0)</f>
        <v>0</v>
      </c>
      <c r="L88" s="36">
        <f t="shared" si="26"/>
        <v>52650</v>
      </c>
      <c r="M88" s="36">
        <f t="shared" si="27"/>
        <v>122850.00000000001</v>
      </c>
      <c r="N88" s="36">
        <f t="shared" si="28"/>
        <v>87750</v>
      </c>
      <c r="O88" s="37">
        <f t="shared" si="22"/>
        <v>14</v>
      </c>
      <c r="P88" s="36">
        <f t="shared" si="23"/>
        <v>620454.54545454553</v>
      </c>
      <c r="Q88" s="36">
        <f t="shared" si="29"/>
        <v>0</v>
      </c>
      <c r="R88" s="30">
        <f t="shared" si="30"/>
        <v>4393704.5454545459</v>
      </c>
      <c r="S88" s="30">
        <f>(R88-K88+L88-N88-Q88)*'Valores Vigentes'!$D$6</f>
        <v>174344.18181818185</v>
      </c>
      <c r="T88" s="30">
        <f>(R88-K88+L88-N88-Q88)*'Valores Vigentes'!$D$7</f>
        <v>174344.18181818185</v>
      </c>
      <c r="U88" s="36">
        <f>IF(H88&gt;'Valores Vigentes'!$D$4*4,H88*1%,0)</f>
        <v>0</v>
      </c>
      <c r="V88" s="36">
        <f t="shared" si="24"/>
        <v>65000</v>
      </c>
      <c r="W88" s="36">
        <f t="shared" si="31"/>
        <v>117000</v>
      </c>
      <c r="X88" s="36">
        <f t="shared" si="32"/>
        <v>87874.090909090926</v>
      </c>
      <c r="Y88" s="30">
        <f t="shared" si="33"/>
        <v>618562.4545454547</v>
      </c>
      <c r="Z88" s="30">
        <f t="shared" si="34"/>
        <v>3775142.0909090913</v>
      </c>
    </row>
    <row r="89" spans="1:26" ht="15.75" customHeight="1" x14ac:dyDescent="0.25">
      <c r="A89" s="17" t="s">
        <v>140</v>
      </c>
      <c r="B89" s="17" t="s">
        <v>278</v>
      </c>
      <c r="C89" s="17">
        <v>3</v>
      </c>
      <c r="D89" s="17" t="s">
        <v>276</v>
      </c>
      <c r="E89" s="17" t="s">
        <v>276</v>
      </c>
      <c r="F89" s="17" t="s">
        <v>39</v>
      </c>
      <c r="G89" s="17" t="str">
        <f t="shared" si="20"/>
        <v>SECRETARIAS</v>
      </c>
      <c r="H89" s="30">
        <f t="shared" si="21"/>
        <v>1813000</v>
      </c>
      <c r="I89" s="16">
        <v>29</v>
      </c>
      <c r="J89" s="30">
        <f t="shared" si="25"/>
        <v>1752566.6666666667</v>
      </c>
      <c r="K89" s="36">
        <f>IF(H89&lt;='Valores Vigentes'!D$4*2,'Valores Vigentes'!$D$5/30*I89,0)</f>
        <v>193333.33333333334</v>
      </c>
      <c r="L89" s="36">
        <f t="shared" si="26"/>
        <v>26288.5</v>
      </c>
      <c r="M89" s="36">
        <f t="shared" si="27"/>
        <v>0</v>
      </c>
      <c r="N89" s="36">
        <f t="shared" si="28"/>
        <v>43814.166666666672</v>
      </c>
      <c r="O89" s="37">
        <f t="shared" si="22"/>
        <v>2</v>
      </c>
      <c r="P89" s="36">
        <f t="shared" si="23"/>
        <v>41204.545454545449</v>
      </c>
      <c r="Q89" s="36">
        <f t="shared" si="29"/>
        <v>0</v>
      </c>
      <c r="R89" s="30">
        <f t="shared" si="30"/>
        <v>2057207.2121212122</v>
      </c>
      <c r="S89" s="30">
        <f>(R89-K89+L89-N89-Q89)*'Valores Vigentes'!$D$6</f>
        <v>73853.928484848482</v>
      </c>
      <c r="T89" s="30">
        <f>(R89-K89+L89-N89-Q89)*'Valores Vigentes'!$D$7</f>
        <v>73853.928484848482</v>
      </c>
      <c r="U89" s="36">
        <f>IF(H89&gt;'Valores Vigentes'!$D$4*4,H89*1%,0)</f>
        <v>0</v>
      </c>
      <c r="V89" s="36">
        <f t="shared" si="24"/>
        <v>0</v>
      </c>
      <c r="W89" s="36">
        <f t="shared" si="31"/>
        <v>54390</v>
      </c>
      <c r="X89" s="36">
        <f t="shared" si="32"/>
        <v>41144.144242424241</v>
      </c>
      <c r="Y89" s="30">
        <f t="shared" si="33"/>
        <v>243242.00121212122</v>
      </c>
      <c r="Z89" s="30">
        <f t="shared" si="34"/>
        <v>1813965.2109090909</v>
      </c>
    </row>
    <row r="90" spans="1:26" ht="15.75" customHeight="1" x14ac:dyDescent="0.25">
      <c r="A90" s="17" t="s">
        <v>141</v>
      </c>
      <c r="B90" s="17" t="s">
        <v>278</v>
      </c>
      <c r="C90" s="17">
        <v>4</v>
      </c>
      <c r="D90" s="17" t="s">
        <v>276</v>
      </c>
      <c r="E90" s="17" t="s">
        <v>277</v>
      </c>
      <c r="F90" s="17" t="s">
        <v>31</v>
      </c>
      <c r="G90" s="17" t="str">
        <f t="shared" si="20"/>
        <v>TÉCNICO PROFESIONAL</v>
      </c>
      <c r="H90" s="30">
        <f t="shared" si="21"/>
        <v>2450000</v>
      </c>
      <c r="I90" s="16">
        <v>26</v>
      </c>
      <c r="J90" s="30">
        <f t="shared" si="25"/>
        <v>2123333.3333333335</v>
      </c>
      <c r="K90" s="36">
        <f>IF(H90&lt;='Valores Vigentes'!D$4*2,'Valores Vigentes'!$D$5/30*I90,0)</f>
        <v>173333.33333333334</v>
      </c>
      <c r="L90" s="36">
        <f t="shared" si="26"/>
        <v>31850</v>
      </c>
      <c r="M90" s="36">
        <f t="shared" si="27"/>
        <v>74316.666666666686</v>
      </c>
      <c r="N90" s="36">
        <f t="shared" si="28"/>
        <v>31850</v>
      </c>
      <c r="O90" s="37">
        <f t="shared" si="22"/>
        <v>27</v>
      </c>
      <c r="P90" s="36">
        <f t="shared" si="23"/>
        <v>751704.54545454541</v>
      </c>
      <c r="Q90" s="36">
        <f t="shared" si="29"/>
        <v>0</v>
      </c>
      <c r="R90" s="30">
        <f t="shared" si="30"/>
        <v>3186387.8787878789</v>
      </c>
      <c r="S90" s="30">
        <f>(R90-K90+L90-N90-Q90)*'Valores Vigentes'!$D$6</f>
        <v>120522.18181818182</v>
      </c>
      <c r="T90" s="30">
        <f>(R90-K90+L90-N90-Q90)*'Valores Vigentes'!$D$7</f>
        <v>120522.18181818182</v>
      </c>
      <c r="U90" s="36">
        <f>IF(H90&gt;'Valores Vigentes'!$D$4*4,H90*1%,0)</f>
        <v>0</v>
      </c>
      <c r="V90" s="36">
        <f t="shared" si="24"/>
        <v>0</v>
      </c>
      <c r="W90" s="36">
        <f t="shared" si="31"/>
        <v>73500</v>
      </c>
      <c r="X90" s="36">
        <f t="shared" si="32"/>
        <v>0</v>
      </c>
      <c r="Y90" s="30">
        <f t="shared" si="33"/>
        <v>314544.36363636365</v>
      </c>
      <c r="Z90" s="30">
        <f t="shared" si="34"/>
        <v>2871843.5151515151</v>
      </c>
    </row>
    <row r="91" spans="1:26" ht="15.75" customHeight="1" x14ac:dyDescent="0.25">
      <c r="A91" s="17" t="s">
        <v>142</v>
      </c>
      <c r="B91" s="17" t="s">
        <v>275</v>
      </c>
      <c r="C91" s="17">
        <v>2</v>
      </c>
      <c r="D91" s="17" t="s">
        <v>276</v>
      </c>
      <c r="E91" s="17" t="s">
        <v>276</v>
      </c>
      <c r="F91" s="17" t="s">
        <v>33</v>
      </c>
      <c r="G91" s="17" t="str">
        <f t="shared" si="20"/>
        <v>ASISTENTES</v>
      </c>
      <c r="H91" s="30">
        <f t="shared" si="21"/>
        <v>1626000</v>
      </c>
      <c r="I91" s="16">
        <v>30</v>
      </c>
      <c r="J91" s="30">
        <f t="shared" si="25"/>
        <v>1626000</v>
      </c>
      <c r="K91" s="36">
        <f>IF(H91&lt;='Valores Vigentes'!D$4*2,'Valores Vigentes'!$D$5/30*I91,0)</f>
        <v>200000</v>
      </c>
      <c r="L91" s="36">
        <f t="shared" si="26"/>
        <v>40650</v>
      </c>
      <c r="M91" s="36">
        <f t="shared" si="27"/>
        <v>0</v>
      </c>
      <c r="N91" s="36">
        <f t="shared" si="28"/>
        <v>40650</v>
      </c>
      <c r="O91" s="37">
        <f t="shared" si="22"/>
        <v>16</v>
      </c>
      <c r="P91" s="36">
        <f t="shared" si="23"/>
        <v>295636.36363636365</v>
      </c>
      <c r="Q91" s="36">
        <f t="shared" si="29"/>
        <v>0</v>
      </c>
      <c r="R91" s="30">
        <f t="shared" si="30"/>
        <v>2202936.3636363638</v>
      </c>
      <c r="S91" s="30">
        <f>(R91-K91+L91-N91-Q91)*'Valores Vigentes'!$D$6</f>
        <v>80117.454545454559</v>
      </c>
      <c r="T91" s="30">
        <f>(R91-K91+L91-N91-Q91)*'Valores Vigentes'!$D$7</f>
        <v>80117.454545454559</v>
      </c>
      <c r="U91" s="36">
        <f>IF(H91&gt;'Valores Vigentes'!$D$4*4,H91*1%,0)</f>
        <v>0</v>
      </c>
      <c r="V91" s="36">
        <f t="shared" si="24"/>
        <v>0</v>
      </c>
      <c r="W91" s="36">
        <f t="shared" si="31"/>
        <v>48780</v>
      </c>
      <c r="X91" s="36">
        <f t="shared" si="32"/>
        <v>44058.727272727279</v>
      </c>
      <c r="Y91" s="30">
        <f t="shared" si="33"/>
        <v>253073.63636363641</v>
      </c>
      <c r="Z91" s="30">
        <f t="shared" si="34"/>
        <v>1949862.7272727273</v>
      </c>
    </row>
    <row r="92" spans="1:26" ht="15.75" customHeight="1" x14ac:dyDescent="0.25">
      <c r="A92" s="17" t="s">
        <v>143</v>
      </c>
      <c r="B92" s="17" t="s">
        <v>278</v>
      </c>
      <c r="C92" s="17">
        <v>6</v>
      </c>
      <c r="D92" s="17" t="s">
        <v>276</v>
      </c>
      <c r="E92" s="17" t="s">
        <v>277</v>
      </c>
      <c r="F92" s="17" t="s">
        <v>33</v>
      </c>
      <c r="G92" s="17" t="str">
        <f t="shared" si="20"/>
        <v>PROFESIONAL</v>
      </c>
      <c r="H92" s="30">
        <f t="shared" si="21"/>
        <v>2950000</v>
      </c>
      <c r="I92" s="16">
        <v>27</v>
      </c>
      <c r="J92" s="30">
        <f t="shared" si="25"/>
        <v>2655000</v>
      </c>
      <c r="K92" s="36">
        <f>IF(H92&lt;='Valores Vigentes'!D$4*2,'Valores Vigentes'!$D$5/30*I92,0)</f>
        <v>0</v>
      </c>
      <c r="L92" s="36">
        <f t="shared" si="26"/>
        <v>39825</v>
      </c>
      <c r="M92" s="36">
        <f t="shared" si="27"/>
        <v>0</v>
      </c>
      <c r="N92" s="36">
        <f t="shared" si="28"/>
        <v>39825</v>
      </c>
      <c r="O92" s="37">
        <f t="shared" si="22"/>
        <v>0</v>
      </c>
      <c r="P92" s="36">
        <f t="shared" si="23"/>
        <v>0</v>
      </c>
      <c r="Q92" s="36">
        <f t="shared" si="29"/>
        <v>0</v>
      </c>
      <c r="R92" s="30">
        <f t="shared" si="30"/>
        <v>2734650</v>
      </c>
      <c r="S92" s="30">
        <f>(R92-K92+L92-N92-Q92)*'Valores Vigentes'!$D$6</f>
        <v>109386</v>
      </c>
      <c r="T92" s="30">
        <f>(R92-K92+L92-N92-Q92)*'Valores Vigentes'!$D$7</f>
        <v>109386</v>
      </c>
      <c r="U92" s="36">
        <f>IF(H92&gt;'Valores Vigentes'!$D$4*4,H92*1%,0)</f>
        <v>0</v>
      </c>
      <c r="V92" s="36">
        <f t="shared" si="24"/>
        <v>0</v>
      </c>
      <c r="W92" s="36">
        <f t="shared" si="31"/>
        <v>88500</v>
      </c>
      <c r="X92" s="36">
        <f t="shared" si="32"/>
        <v>0</v>
      </c>
      <c r="Y92" s="30">
        <f t="shared" si="33"/>
        <v>307272</v>
      </c>
      <c r="Z92" s="30">
        <f t="shared" si="34"/>
        <v>2427378</v>
      </c>
    </row>
    <row r="93" spans="1:26" ht="15.75" customHeight="1" x14ac:dyDescent="0.25">
      <c r="A93" s="17" t="s">
        <v>144</v>
      </c>
      <c r="B93" s="17" t="s">
        <v>275</v>
      </c>
      <c r="C93" s="17">
        <v>3</v>
      </c>
      <c r="D93" s="17" t="s">
        <v>277</v>
      </c>
      <c r="E93" s="17" t="s">
        <v>276</v>
      </c>
      <c r="F93" s="17" t="s">
        <v>37</v>
      </c>
      <c r="G93" s="17" t="str">
        <f t="shared" si="20"/>
        <v>SECRETARIAS</v>
      </c>
      <c r="H93" s="30">
        <f t="shared" si="21"/>
        <v>1813000</v>
      </c>
      <c r="I93" s="16">
        <v>28</v>
      </c>
      <c r="J93" s="30">
        <f t="shared" si="25"/>
        <v>1692133.3333333335</v>
      </c>
      <c r="K93" s="36">
        <f>IF(H93&lt;='Valores Vigentes'!D$4*2,'Valores Vigentes'!$D$5/30*I93,0)</f>
        <v>186666.66666666669</v>
      </c>
      <c r="L93" s="36">
        <f t="shared" si="26"/>
        <v>25382</v>
      </c>
      <c r="M93" s="36">
        <f t="shared" si="27"/>
        <v>0</v>
      </c>
      <c r="N93" s="36">
        <f t="shared" si="28"/>
        <v>25382</v>
      </c>
      <c r="O93" s="37">
        <f t="shared" si="22"/>
        <v>27</v>
      </c>
      <c r="P93" s="36">
        <f t="shared" si="23"/>
        <v>556261.36363636353</v>
      </c>
      <c r="Q93" s="36">
        <f t="shared" si="29"/>
        <v>0</v>
      </c>
      <c r="R93" s="30">
        <f t="shared" si="30"/>
        <v>2485825.3636363638</v>
      </c>
      <c r="S93" s="30">
        <f>(R93-K93+L93-N93-Q93)*'Valores Vigentes'!$D$6</f>
        <v>91966.347878787885</v>
      </c>
      <c r="T93" s="30">
        <f>(R93-K93+L93-N93-Q93)*'Valores Vigentes'!$D$7</f>
        <v>91966.347878787885</v>
      </c>
      <c r="U93" s="36">
        <f>IF(H93&gt;'Valores Vigentes'!$D$4*4,H93*1%,0)</f>
        <v>0</v>
      </c>
      <c r="V93" s="36">
        <f t="shared" si="24"/>
        <v>0</v>
      </c>
      <c r="W93" s="36">
        <f t="shared" si="31"/>
        <v>0</v>
      </c>
      <c r="X93" s="36">
        <f t="shared" si="32"/>
        <v>49716.507272727278</v>
      </c>
      <c r="Y93" s="30">
        <f t="shared" si="33"/>
        <v>233649.20303030306</v>
      </c>
      <c r="Z93" s="30">
        <f t="shared" si="34"/>
        <v>2252176.1606060606</v>
      </c>
    </row>
    <row r="94" spans="1:26" ht="15.75" customHeight="1" x14ac:dyDescent="0.25">
      <c r="A94" s="17" t="s">
        <v>145</v>
      </c>
      <c r="B94" s="17" t="s">
        <v>278</v>
      </c>
      <c r="C94" s="17">
        <v>1</v>
      </c>
      <c r="D94" s="17" t="s">
        <v>277</v>
      </c>
      <c r="E94" s="17" t="s">
        <v>276</v>
      </c>
      <c r="F94" s="17" t="s">
        <v>31</v>
      </c>
      <c r="G94" s="17" t="str">
        <f t="shared" si="20"/>
        <v>AUXILIAR ADMON</v>
      </c>
      <c r="H94" s="30">
        <f t="shared" si="21"/>
        <v>1423500</v>
      </c>
      <c r="I94" s="16">
        <v>29</v>
      </c>
      <c r="J94" s="30">
        <f t="shared" si="25"/>
        <v>1376050</v>
      </c>
      <c r="K94" s="36">
        <f>IF(H94&lt;='Valores Vigentes'!D$4*2,'Valores Vigentes'!$D$5/30*I94,0)</f>
        <v>193333.33333333334</v>
      </c>
      <c r="L94" s="36">
        <f t="shared" si="26"/>
        <v>20640.75</v>
      </c>
      <c r="M94" s="36">
        <f t="shared" si="27"/>
        <v>48161.750000000007</v>
      </c>
      <c r="N94" s="36">
        <f t="shared" si="28"/>
        <v>20640.75</v>
      </c>
      <c r="O94" s="37">
        <f t="shared" si="22"/>
        <v>20</v>
      </c>
      <c r="P94" s="36">
        <f t="shared" si="23"/>
        <v>323522.72727272724</v>
      </c>
      <c r="Q94" s="36">
        <f t="shared" si="29"/>
        <v>0</v>
      </c>
      <c r="R94" s="30">
        <f t="shared" si="30"/>
        <v>1982349.3106060605</v>
      </c>
      <c r="S94" s="30">
        <f>(R94-K94+L94-N94-Q94)*'Valores Vigentes'!$D$6</f>
        <v>71560.639090909099</v>
      </c>
      <c r="T94" s="30">
        <f>(R94-K94+L94-N94-Q94)*'Valores Vigentes'!$D$7</f>
        <v>71560.639090909099</v>
      </c>
      <c r="U94" s="36">
        <f>IF(H94&gt;'Valores Vigentes'!$D$4*4,H94*1%,0)</f>
        <v>0</v>
      </c>
      <c r="V94" s="36">
        <f t="shared" si="24"/>
        <v>0</v>
      </c>
      <c r="W94" s="36">
        <f t="shared" si="31"/>
        <v>0</v>
      </c>
      <c r="X94" s="36">
        <f t="shared" si="32"/>
        <v>39646.986212121214</v>
      </c>
      <c r="Y94" s="30">
        <f t="shared" si="33"/>
        <v>182768.2643939394</v>
      </c>
      <c r="Z94" s="30">
        <f t="shared" si="34"/>
        <v>1799581.0462121211</v>
      </c>
    </row>
    <row r="95" spans="1:26" ht="15.75" customHeight="1" x14ac:dyDescent="0.25">
      <c r="A95" s="17" t="s">
        <v>146</v>
      </c>
      <c r="B95" s="17" t="s">
        <v>278</v>
      </c>
      <c r="C95" s="17">
        <v>2</v>
      </c>
      <c r="D95" s="17" t="s">
        <v>276</v>
      </c>
      <c r="E95" s="17" t="s">
        <v>276</v>
      </c>
      <c r="F95" s="17" t="s">
        <v>45</v>
      </c>
      <c r="G95" s="17" t="str">
        <f t="shared" si="20"/>
        <v>ASISTENTES</v>
      </c>
      <c r="H95" s="30">
        <f t="shared" si="21"/>
        <v>1626000</v>
      </c>
      <c r="I95" s="16">
        <v>26</v>
      </c>
      <c r="J95" s="30">
        <f t="shared" si="25"/>
        <v>1409200</v>
      </c>
      <c r="K95" s="36">
        <f>IF(H95&lt;='Valores Vigentes'!D$4*2,'Valores Vigentes'!$D$5/30*I95,0)</f>
        <v>173333.33333333334</v>
      </c>
      <c r="L95" s="36">
        <f t="shared" si="26"/>
        <v>21138</v>
      </c>
      <c r="M95" s="36">
        <f t="shared" si="27"/>
        <v>0</v>
      </c>
      <c r="N95" s="36">
        <f t="shared" si="28"/>
        <v>35230</v>
      </c>
      <c r="O95" s="37">
        <f t="shared" si="22"/>
        <v>10</v>
      </c>
      <c r="P95" s="36">
        <f t="shared" si="23"/>
        <v>184772.72727272729</v>
      </c>
      <c r="Q95" s="36">
        <f t="shared" si="29"/>
        <v>0</v>
      </c>
      <c r="R95" s="30">
        <f t="shared" si="30"/>
        <v>1823674.0606060605</v>
      </c>
      <c r="S95" s="30">
        <f>(R95-K95+L95-N95-Q95)*'Valores Vigentes'!$D$6</f>
        <v>65449.949090909096</v>
      </c>
      <c r="T95" s="30">
        <f>(R95-K95+L95-N95-Q95)*'Valores Vigentes'!$D$7</f>
        <v>65449.949090909096</v>
      </c>
      <c r="U95" s="36">
        <f>IF(H95&gt;'Valores Vigentes'!$D$4*4,H95*1%,0)</f>
        <v>0</v>
      </c>
      <c r="V95" s="36">
        <f t="shared" si="24"/>
        <v>0</v>
      </c>
      <c r="W95" s="36">
        <f t="shared" si="31"/>
        <v>48780</v>
      </c>
      <c r="X95" s="36">
        <f t="shared" si="32"/>
        <v>36473.481212121209</v>
      </c>
      <c r="Y95" s="30">
        <f t="shared" si="33"/>
        <v>216153.37939393939</v>
      </c>
      <c r="Z95" s="30">
        <f t="shared" si="34"/>
        <v>1607520.6812121212</v>
      </c>
    </row>
    <row r="96" spans="1:26" ht="15.75" customHeight="1" x14ac:dyDescent="0.25">
      <c r="A96" s="17" t="s">
        <v>147</v>
      </c>
      <c r="B96" s="17" t="s">
        <v>278</v>
      </c>
      <c r="C96" s="17">
        <v>1</v>
      </c>
      <c r="D96" s="17" t="s">
        <v>276</v>
      </c>
      <c r="E96" s="17" t="s">
        <v>276</v>
      </c>
      <c r="F96" s="17" t="s">
        <v>31</v>
      </c>
      <c r="G96" s="17" t="str">
        <f t="shared" si="20"/>
        <v>AUXILIAR ADMON</v>
      </c>
      <c r="H96" s="30">
        <f t="shared" si="21"/>
        <v>1423500</v>
      </c>
      <c r="I96" s="16">
        <v>30</v>
      </c>
      <c r="J96" s="30">
        <f t="shared" si="25"/>
        <v>1423500</v>
      </c>
      <c r="K96" s="36">
        <f>IF(H96&lt;='Valores Vigentes'!D$4*2,'Valores Vigentes'!$D$5/30*I96,0)</f>
        <v>200000</v>
      </c>
      <c r="L96" s="36">
        <f t="shared" si="26"/>
        <v>35587.5</v>
      </c>
      <c r="M96" s="36">
        <f t="shared" si="27"/>
        <v>49822.500000000007</v>
      </c>
      <c r="N96" s="36">
        <f t="shared" si="28"/>
        <v>35587.5</v>
      </c>
      <c r="O96" s="37">
        <f t="shared" si="22"/>
        <v>22</v>
      </c>
      <c r="P96" s="36">
        <f t="shared" si="23"/>
        <v>355874.99999999994</v>
      </c>
      <c r="Q96" s="36">
        <f t="shared" si="29"/>
        <v>0</v>
      </c>
      <c r="R96" s="30">
        <f t="shared" si="30"/>
        <v>2100372.5</v>
      </c>
      <c r="S96" s="30">
        <f>(R96-K96+L96-N96-Q96)*'Valores Vigentes'!$D$6</f>
        <v>76014.900000000009</v>
      </c>
      <c r="T96" s="30">
        <f>(R96-K96+L96-N96-Q96)*'Valores Vigentes'!$D$7</f>
        <v>76014.900000000009</v>
      </c>
      <c r="U96" s="36">
        <f>IF(H96&gt;'Valores Vigentes'!$D$4*4,H96*1%,0)</f>
        <v>0</v>
      </c>
      <c r="V96" s="36">
        <f t="shared" si="24"/>
        <v>0</v>
      </c>
      <c r="W96" s="36">
        <f t="shared" si="31"/>
        <v>42705</v>
      </c>
      <c r="X96" s="36">
        <f t="shared" si="32"/>
        <v>42007.450000000004</v>
      </c>
      <c r="Y96" s="30">
        <f t="shared" si="33"/>
        <v>236742.25000000003</v>
      </c>
      <c r="Z96" s="30">
        <f t="shared" si="34"/>
        <v>1863630.25</v>
      </c>
    </row>
    <row r="97" spans="1:26" ht="15.75" customHeight="1" x14ac:dyDescent="0.25">
      <c r="A97" s="17" t="s">
        <v>148</v>
      </c>
      <c r="B97" s="17" t="s">
        <v>278</v>
      </c>
      <c r="C97" s="17">
        <v>4</v>
      </c>
      <c r="D97" s="17" t="s">
        <v>276</v>
      </c>
      <c r="E97" s="17" t="s">
        <v>277</v>
      </c>
      <c r="F97" s="17" t="s">
        <v>35</v>
      </c>
      <c r="G97" s="17" t="str">
        <f t="shared" si="20"/>
        <v>TÉCNICO PROFESIONAL</v>
      </c>
      <c r="H97" s="30">
        <f t="shared" si="21"/>
        <v>2450000</v>
      </c>
      <c r="I97" s="16">
        <v>28</v>
      </c>
      <c r="J97" s="30">
        <f t="shared" si="25"/>
        <v>2286666.666666667</v>
      </c>
      <c r="K97" s="36">
        <f>IF(H97&lt;='Valores Vigentes'!D$4*2,'Valores Vigentes'!$D$5/30*I97,0)</f>
        <v>186666.66666666669</v>
      </c>
      <c r="L97" s="36">
        <f t="shared" si="26"/>
        <v>34300</v>
      </c>
      <c r="M97" s="36">
        <f t="shared" si="27"/>
        <v>0</v>
      </c>
      <c r="N97" s="36">
        <f t="shared" si="28"/>
        <v>34300</v>
      </c>
      <c r="O97" s="37">
        <f t="shared" si="22"/>
        <v>8</v>
      </c>
      <c r="P97" s="36">
        <f t="shared" si="23"/>
        <v>222727.27272727271</v>
      </c>
      <c r="Q97" s="36">
        <f t="shared" si="29"/>
        <v>0</v>
      </c>
      <c r="R97" s="30">
        <f t="shared" si="30"/>
        <v>2764660.6060606064</v>
      </c>
      <c r="S97" s="30">
        <f>(R97-K97+L97-N97-Q97)*'Valores Vigentes'!$D$6</f>
        <v>103119.7575757576</v>
      </c>
      <c r="T97" s="30">
        <f>(R97-K97+L97-N97-Q97)*'Valores Vigentes'!$D$7</f>
        <v>103119.7575757576</v>
      </c>
      <c r="U97" s="36">
        <f>IF(H97&gt;'Valores Vigentes'!$D$4*4,H97*1%,0)</f>
        <v>0</v>
      </c>
      <c r="V97" s="36">
        <f t="shared" si="24"/>
        <v>0</v>
      </c>
      <c r="W97" s="36">
        <f t="shared" si="31"/>
        <v>73500</v>
      </c>
      <c r="X97" s="36">
        <f t="shared" si="32"/>
        <v>0</v>
      </c>
      <c r="Y97" s="30">
        <f t="shared" si="33"/>
        <v>279739.5151515152</v>
      </c>
      <c r="Z97" s="30">
        <f t="shared" si="34"/>
        <v>2484921.0909090913</v>
      </c>
    </row>
    <row r="98" spans="1:26" ht="15.75" customHeight="1" x14ac:dyDescent="0.25">
      <c r="A98" s="17" t="s">
        <v>149</v>
      </c>
      <c r="B98" s="17" t="s">
        <v>278</v>
      </c>
      <c r="C98" s="17">
        <v>4</v>
      </c>
      <c r="D98" s="17" t="s">
        <v>276</v>
      </c>
      <c r="E98" s="17" t="s">
        <v>277</v>
      </c>
      <c r="F98" s="17" t="s">
        <v>31</v>
      </c>
      <c r="G98" s="17" t="str">
        <f t="shared" si="20"/>
        <v>TÉCNICO PROFESIONAL</v>
      </c>
      <c r="H98" s="30">
        <f t="shared" si="21"/>
        <v>2450000</v>
      </c>
      <c r="I98" s="16">
        <v>30</v>
      </c>
      <c r="J98" s="30">
        <f t="shared" si="25"/>
        <v>2450000</v>
      </c>
      <c r="K98" s="36">
        <f>IF(H98&lt;='Valores Vigentes'!D$4*2,'Valores Vigentes'!$D$5/30*I98,0)</f>
        <v>200000</v>
      </c>
      <c r="L98" s="36">
        <f t="shared" si="26"/>
        <v>61250</v>
      </c>
      <c r="M98" s="36">
        <f t="shared" si="27"/>
        <v>85750.000000000015</v>
      </c>
      <c r="N98" s="36">
        <f t="shared" si="28"/>
        <v>36750</v>
      </c>
      <c r="O98" s="37">
        <f t="shared" si="22"/>
        <v>15</v>
      </c>
      <c r="P98" s="36">
        <f t="shared" si="23"/>
        <v>417613.63636363635</v>
      </c>
      <c r="Q98" s="36">
        <f t="shared" si="29"/>
        <v>0</v>
      </c>
      <c r="R98" s="30">
        <f t="shared" si="30"/>
        <v>3251363.6363636362</v>
      </c>
      <c r="S98" s="30">
        <f>(R98-K98+L98-N98-Q98)*'Valores Vigentes'!$D$6</f>
        <v>123034.54545454546</v>
      </c>
      <c r="T98" s="30">
        <f>(R98-K98+L98-N98-Q98)*'Valores Vigentes'!$D$7</f>
        <v>123034.54545454546</v>
      </c>
      <c r="U98" s="36">
        <f>IF(H98&gt;'Valores Vigentes'!$D$4*4,H98*1%,0)</f>
        <v>0</v>
      </c>
      <c r="V98" s="36">
        <f t="shared" si="24"/>
        <v>0</v>
      </c>
      <c r="W98" s="36">
        <f t="shared" si="31"/>
        <v>73500</v>
      </c>
      <c r="X98" s="36">
        <f t="shared" si="32"/>
        <v>0</v>
      </c>
      <c r="Y98" s="30">
        <f t="shared" si="33"/>
        <v>319569.09090909094</v>
      </c>
      <c r="Z98" s="30">
        <f t="shared" si="34"/>
        <v>2931794.5454545454</v>
      </c>
    </row>
    <row r="99" spans="1:26" ht="15.75" customHeight="1" x14ac:dyDescent="0.25">
      <c r="A99" s="17" t="s">
        <v>150</v>
      </c>
      <c r="B99" s="17" t="s">
        <v>278</v>
      </c>
      <c r="C99" s="17">
        <v>8</v>
      </c>
      <c r="D99" s="17" t="s">
        <v>277</v>
      </c>
      <c r="E99" s="17" t="s">
        <v>276</v>
      </c>
      <c r="F99" s="17" t="s">
        <v>31</v>
      </c>
      <c r="G99" s="17" t="str">
        <f t="shared" si="20"/>
        <v>ASESOR</v>
      </c>
      <c r="H99" s="30">
        <f t="shared" si="21"/>
        <v>3900000</v>
      </c>
      <c r="I99" s="16">
        <v>27</v>
      </c>
      <c r="J99" s="30">
        <f t="shared" si="25"/>
        <v>3510000</v>
      </c>
      <c r="K99" s="36">
        <f>IF(H99&lt;='Valores Vigentes'!D$4*2,'Valores Vigentes'!$D$5/30*I99,0)</f>
        <v>0</v>
      </c>
      <c r="L99" s="36">
        <f t="shared" si="26"/>
        <v>52650</v>
      </c>
      <c r="M99" s="36">
        <f t="shared" si="27"/>
        <v>122850.00000000001</v>
      </c>
      <c r="N99" s="36">
        <f t="shared" si="28"/>
        <v>52650</v>
      </c>
      <c r="O99" s="37">
        <f t="shared" si="22"/>
        <v>9</v>
      </c>
      <c r="P99" s="36">
        <f t="shared" si="23"/>
        <v>398863.63636363641</v>
      </c>
      <c r="Q99" s="36">
        <f t="shared" si="29"/>
        <v>0</v>
      </c>
      <c r="R99" s="30">
        <f t="shared" si="30"/>
        <v>4137013.6363636362</v>
      </c>
      <c r="S99" s="30">
        <f>(R99-K99+L99-N99-Q99)*'Valores Vigentes'!$D$6</f>
        <v>165480.54545454544</v>
      </c>
      <c r="T99" s="30">
        <f>(R99-K99+L99-N99-Q99)*'Valores Vigentes'!$D$7</f>
        <v>165480.54545454544</v>
      </c>
      <c r="U99" s="36">
        <f>IF(H99&gt;'Valores Vigentes'!$D$4*4,H99*1%,0)</f>
        <v>0</v>
      </c>
      <c r="V99" s="36">
        <f t="shared" si="24"/>
        <v>65000</v>
      </c>
      <c r="W99" s="36">
        <f t="shared" si="31"/>
        <v>0</v>
      </c>
      <c r="X99" s="36">
        <f t="shared" si="32"/>
        <v>82740.272727272721</v>
      </c>
      <c r="Y99" s="30">
        <f t="shared" si="33"/>
        <v>478701.36363636359</v>
      </c>
      <c r="Z99" s="30">
        <f t="shared" si="34"/>
        <v>3658312.2727272725</v>
      </c>
    </row>
    <row r="100" spans="1:26" ht="15.75" customHeight="1" x14ac:dyDescent="0.25">
      <c r="A100" s="17" t="s">
        <v>151</v>
      </c>
      <c r="B100" s="17" t="s">
        <v>278</v>
      </c>
      <c r="C100" s="17">
        <v>6</v>
      </c>
      <c r="D100" s="17" t="s">
        <v>276</v>
      </c>
      <c r="E100" s="17" t="s">
        <v>276</v>
      </c>
      <c r="F100" s="17" t="s">
        <v>33</v>
      </c>
      <c r="G100" s="17" t="str">
        <f t="shared" si="20"/>
        <v>PROFESIONAL</v>
      </c>
      <c r="H100" s="30">
        <f t="shared" si="21"/>
        <v>2950000</v>
      </c>
      <c r="I100" s="16">
        <v>25</v>
      </c>
      <c r="J100" s="30">
        <f t="shared" si="25"/>
        <v>2458333.333333333</v>
      </c>
      <c r="K100" s="36">
        <f>IF(H100&lt;='Valores Vigentes'!D$4*2,'Valores Vigentes'!$D$5/30*I100,0)</f>
        <v>0</v>
      </c>
      <c r="L100" s="36">
        <f t="shared" si="26"/>
        <v>36874.999999999993</v>
      </c>
      <c r="M100" s="36">
        <f t="shared" si="27"/>
        <v>0</v>
      </c>
      <c r="N100" s="36">
        <f t="shared" si="28"/>
        <v>61458.333333333328</v>
      </c>
      <c r="O100" s="37">
        <f t="shared" si="22"/>
        <v>19</v>
      </c>
      <c r="P100" s="36">
        <f t="shared" si="23"/>
        <v>636931.81818181812</v>
      </c>
      <c r="Q100" s="36">
        <f t="shared" si="29"/>
        <v>0</v>
      </c>
      <c r="R100" s="30">
        <f t="shared" si="30"/>
        <v>3193598.4848484844</v>
      </c>
      <c r="S100" s="30">
        <f>(R100-K100+L100-N100-Q100)*'Valores Vigentes'!$D$6</f>
        <v>126760.60606060603</v>
      </c>
      <c r="T100" s="30">
        <f>(R100-K100+L100-N100-Q100)*'Valores Vigentes'!$D$7</f>
        <v>126760.60606060603</v>
      </c>
      <c r="U100" s="36">
        <f>IF(H100&gt;'Valores Vigentes'!$D$4*4,H100*1%,0)</f>
        <v>0</v>
      </c>
      <c r="V100" s="36">
        <f t="shared" si="24"/>
        <v>0</v>
      </c>
      <c r="W100" s="36">
        <f t="shared" si="31"/>
        <v>88500</v>
      </c>
      <c r="X100" s="36">
        <f t="shared" si="32"/>
        <v>63871.969696969689</v>
      </c>
      <c r="Y100" s="30">
        <f t="shared" si="33"/>
        <v>405893.18181818171</v>
      </c>
      <c r="Z100" s="30">
        <f t="shared" si="34"/>
        <v>2787705.3030303027</v>
      </c>
    </row>
    <row r="101" spans="1:26" ht="15.75" customHeight="1" x14ac:dyDescent="0.25">
      <c r="A101" s="17" t="s">
        <v>152</v>
      </c>
      <c r="B101" s="17" t="s">
        <v>278</v>
      </c>
      <c r="C101" s="17">
        <v>1</v>
      </c>
      <c r="D101" s="17" t="s">
        <v>277</v>
      </c>
      <c r="E101" s="17" t="s">
        <v>276</v>
      </c>
      <c r="F101" s="17" t="s">
        <v>43</v>
      </c>
      <c r="G101" s="17" t="str">
        <f t="shared" si="20"/>
        <v>AUXILIAR ADMON</v>
      </c>
      <c r="H101" s="30">
        <f t="shared" si="21"/>
        <v>1423500</v>
      </c>
      <c r="I101" s="16">
        <v>26</v>
      </c>
      <c r="J101" s="30">
        <f t="shared" si="25"/>
        <v>1233700</v>
      </c>
      <c r="K101" s="36">
        <f>IF(H101&lt;='Valores Vigentes'!D$4*2,'Valores Vigentes'!$D$5/30*I101,0)</f>
        <v>173333.33333333334</v>
      </c>
      <c r="L101" s="36">
        <f t="shared" si="26"/>
        <v>18505.5</v>
      </c>
      <c r="M101" s="36">
        <f t="shared" si="27"/>
        <v>0</v>
      </c>
      <c r="N101" s="36">
        <f t="shared" si="28"/>
        <v>18505.5</v>
      </c>
      <c r="O101" s="37">
        <f t="shared" si="22"/>
        <v>3</v>
      </c>
      <c r="P101" s="36">
        <f t="shared" si="23"/>
        <v>48528.409090909088</v>
      </c>
      <c r="Q101" s="36">
        <f t="shared" si="29"/>
        <v>0</v>
      </c>
      <c r="R101" s="30">
        <f t="shared" si="30"/>
        <v>1492572.7424242424</v>
      </c>
      <c r="S101" s="30">
        <f>(R101-K101+L101-N101-Q101)*'Valores Vigentes'!$D$6</f>
        <v>52769.57636363637</v>
      </c>
      <c r="T101" s="30">
        <f>(R101-K101+L101-N101-Q101)*'Valores Vigentes'!$D$7</f>
        <v>52769.57636363637</v>
      </c>
      <c r="U101" s="36">
        <f>IF(H101&gt;'Valores Vigentes'!$D$4*4,H101*1%,0)</f>
        <v>0</v>
      </c>
      <c r="V101" s="36">
        <f t="shared" si="24"/>
        <v>0</v>
      </c>
      <c r="W101" s="36">
        <f t="shared" si="31"/>
        <v>0</v>
      </c>
      <c r="X101" s="36">
        <f t="shared" si="32"/>
        <v>29851.454848484849</v>
      </c>
      <c r="Y101" s="30">
        <f t="shared" si="33"/>
        <v>135390.6075757576</v>
      </c>
      <c r="Z101" s="30">
        <f t="shared" si="34"/>
        <v>1357182.1348484848</v>
      </c>
    </row>
    <row r="102" spans="1:26" ht="15.75" customHeight="1" x14ac:dyDescent="0.25">
      <c r="A102" s="17" t="s">
        <v>153</v>
      </c>
      <c r="B102" s="17" t="s">
        <v>278</v>
      </c>
      <c r="C102" s="17">
        <v>5</v>
      </c>
      <c r="D102" s="17" t="s">
        <v>276</v>
      </c>
      <c r="E102" s="17" t="s">
        <v>276</v>
      </c>
      <c r="F102" s="17" t="s">
        <v>31</v>
      </c>
      <c r="G102" s="17" t="str">
        <f t="shared" si="20"/>
        <v>ASESOR VENTAS</v>
      </c>
      <c r="H102" s="30">
        <f t="shared" si="21"/>
        <v>2650000</v>
      </c>
      <c r="I102" s="16">
        <v>26</v>
      </c>
      <c r="J102" s="30">
        <f t="shared" si="25"/>
        <v>2296666.6666666665</v>
      </c>
      <c r="K102" s="36">
        <f>IF(H102&lt;='Valores Vigentes'!D$4*2,'Valores Vigentes'!$D$5/30*I102,0)</f>
        <v>173333.33333333334</v>
      </c>
      <c r="L102" s="36">
        <f t="shared" si="26"/>
        <v>34450</v>
      </c>
      <c r="M102" s="36">
        <f t="shared" si="27"/>
        <v>80383.333333333328</v>
      </c>
      <c r="N102" s="36">
        <f t="shared" si="28"/>
        <v>57416.666666666664</v>
      </c>
      <c r="O102" s="37">
        <f t="shared" si="22"/>
        <v>16</v>
      </c>
      <c r="P102" s="36">
        <f t="shared" si="23"/>
        <v>481818.18181818182</v>
      </c>
      <c r="Q102" s="36">
        <f t="shared" si="29"/>
        <v>0</v>
      </c>
      <c r="R102" s="30">
        <f t="shared" si="30"/>
        <v>3124068.1818181816</v>
      </c>
      <c r="S102" s="30">
        <f>(R102-K102+L102-N102-Q102)*'Valores Vigentes'!$D$6</f>
        <v>117110.72727272726</v>
      </c>
      <c r="T102" s="30">
        <f>(R102-K102+L102-N102-Q102)*'Valores Vigentes'!$D$7</f>
        <v>117110.72727272726</v>
      </c>
      <c r="U102" s="36">
        <f>IF(H102&gt;'Valores Vigentes'!$D$4*4,H102*1%,0)</f>
        <v>0</v>
      </c>
      <c r="V102" s="36">
        <f t="shared" si="24"/>
        <v>0</v>
      </c>
      <c r="W102" s="36">
        <f t="shared" si="31"/>
        <v>79500</v>
      </c>
      <c r="X102" s="36">
        <f t="shared" si="32"/>
        <v>62481.363636363632</v>
      </c>
      <c r="Y102" s="30">
        <f t="shared" si="33"/>
        <v>376202.81818181818</v>
      </c>
      <c r="Z102" s="30">
        <f t="shared" si="34"/>
        <v>2747865.3636363633</v>
      </c>
    </row>
    <row r="103" spans="1:26" ht="15.75" customHeight="1" x14ac:dyDescent="0.25">
      <c r="A103" s="17" t="s">
        <v>154</v>
      </c>
      <c r="B103" s="17" t="s">
        <v>275</v>
      </c>
      <c r="C103" s="17">
        <v>5</v>
      </c>
      <c r="D103" s="17" t="s">
        <v>277</v>
      </c>
      <c r="E103" s="17" t="s">
        <v>276</v>
      </c>
      <c r="F103" s="17" t="s">
        <v>47</v>
      </c>
      <c r="G103" s="17" t="str">
        <f t="shared" si="20"/>
        <v>ASESOR VENTAS</v>
      </c>
      <c r="H103" s="30">
        <f t="shared" si="21"/>
        <v>2650000</v>
      </c>
      <c r="I103" s="16">
        <v>28</v>
      </c>
      <c r="J103" s="30">
        <f t="shared" si="25"/>
        <v>2473333.333333333</v>
      </c>
      <c r="K103" s="36">
        <f>IF(H103&lt;='Valores Vigentes'!D$4*2,'Valores Vigentes'!$D$5/30*I103,0)</f>
        <v>186666.66666666669</v>
      </c>
      <c r="L103" s="36">
        <f t="shared" si="26"/>
        <v>37099.999999999993</v>
      </c>
      <c r="M103" s="36">
        <f t="shared" si="27"/>
        <v>0</v>
      </c>
      <c r="N103" s="36">
        <f t="shared" si="28"/>
        <v>37099.999999999993</v>
      </c>
      <c r="O103" s="37">
        <f t="shared" si="22"/>
        <v>24</v>
      </c>
      <c r="P103" s="36">
        <f t="shared" si="23"/>
        <v>722727.27272727271</v>
      </c>
      <c r="Q103" s="36">
        <f t="shared" si="29"/>
        <v>0</v>
      </c>
      <c r="R103" s="30">
        <f t="shared" si="30"/>
        <v>3456927.2727272725</v>
      </c>
      <c r="S103" s="30">
        <f>(R103-K103+L103-N103-Q103)*'Valores Vigentes'!$D$6</f>
        <v>130810.42424242424</v>
      </c>
      <c r="T103" s="30">
        <f>(R103-K103+L103-N103-Q103)*'Valores Vigentes'!$D$7</f>
        <v>130810.42424242424</v>
      </c>
      <c r="U103" s="36">
        <f>IF(H103&gt;'Valores Vigentes'!$D$4*4,H103*1%,0)</f>
        <v>0</v>
      </c>
      <c r="V103" s="36">
        <f t="shared" si="24"/>
        <v>0</v>
      </c>
      <c r="W103" s="36">
        <f t="shared" si="31"/>
        <v>0</v>
      </c>
      <c r="X103" s="36">
        <f t="shared" si="32"/>
        <v>69138.545454545456</v>
      </c>
      <c r="Y103" s="30">
        <f t="shared" si="33"/>
        <v>330759.39393939392</v>
      </c>
      <c r="Z103" s="30">
        <f t="shared" si="34"/>
        <v>3126167.8787878784</v>
      </c>
    </row>
    <row r="104" spans="1:26" ht="15.75" customHeight="1" x14ac:dyDescent="0.25">
      <c r="A104" s="17" t="s">
        <v>155</v>
      </c>
      <c r="B104" s="17" t="s">
        <v>278</v>
      </c>
      <c r="C104" s="17">
        <v>7</v>
      </c>
      <c r="D104" s="17" t="s">
        <v>276</v>
      </c>
      <c r="E104" s="17" t="s">
        <v>276</v>
      </c>
      <c r="F104" s="17" t="s">
        <v>33</v>
      </c>
      <c r="G104" s="17" t="str">
        <f t="shared" si="20"/>
        <v>COORDINADOR</v>
      </c>
      <c r="H104" s="30">
        <f t="shared" si="21"/>
        <v>3250000</v>
      </c>
      <c r="I104" s="16">
        <v>25</v>
      </c>
      <c r="J104" s="30">
        <f t="shared" si="25"/>
        <v>2708333.333333333</v>
      </c>
      <c r="K104" s="36">
        <f>IF(H104&lt;='Valores Vigentes'!D$4*2,'Valores Vigentes'!$D$5/30*I104,0)</f>
        <v>0</v>
      </c>
      <c r="L104" s="36">
        <f t="shared" si="26"/>
        <v>40624.999999999993</v>
      </c>
      <c r="M104" s="36">
        <f t="shared" si="27"/>
        <v>0</v>
      </c>
      <c r="N104" s="36">
        <f t="shared" si="28"/>
        <v>67708.333333333328</v>
      </c>
      <c r="O104" s="37">
        <f t="shared" si="22"/>
        <v>16</v>
      </c>
      <c r="P104" s="36">
        <f t="shared" si="23"/>
        <v>590909.09090909082</v>
      </c>
      <c r="Q104" s="36">
        <f t="shared" si="29"/>
        <v>0</v>
      </c>
      <c r="R104" s="30">
        <f t="shared" si="30"/>
        <v>3407575.7575757573</v>
      </c>
      <c r="S104" s="30">
        <f>(R104-K104+L104-N104-Q104)*'Valores Vigentes'!$D$6</f>
        <v>135219.69696969696</v>
      </c>
      <c r="T104" s="30">
        <f>(R104-K104+L104-N104-Q104)*'Valores Vigentes'!$D$7</f>
        <v>135219.69696969696</v>
      </c>
      <c r="U104" s="36">
        <f>IF(H104&gt;'Valores Vigentes'!$D$4*4,H104*1%,0)</f>
        <v>0</v>
      </c>
      <c r="V104" s="36">
        <f t="shared" si="24"/>
        <v>0</v>
      </c>
      <c r="W104" s="36">
        <f t="shared" si="31"/>
        <v>97500</v>
      </c>
      <c r="X104" s="36">
        <f t="shared" si="32"/>
        <v>68151.515151515152</v>
      </c>
      <c r="Y104" s="30">
        <f t="shared" si="33"/>
        <v>436090.90909090906</v>
      </c>
      <c r="Z104" s="30">
        <f t="shared" si="34"/>
        <v>2971484.8484848482</v>
      </c>
    </row>
    <row r="105" spans="1:26" ht="15.75" customHeight="1" x14ac:dyDescent="0.25">
      <c r="A105" s="17" t="s">
        <v>156</v>
      </c>
      <c r="B105" s="17" t="s">
        <v>275</v>
      </c>
      <c r="C105" s="17">
        <v>7</v>
      </c>
      <c r="D105" s="17" t="s">
        <v>276</v>
      </c>
      <c r="E105" s="17" t="s">
        <v>276</v>
      </c>
      <c r="F105" s="17" t="s">
        <v>35</v>
      </c>
      <c r="G105" s="17" t="str">
        <f t="shared" si="20"/>
        <v>COORDINADOR</v>
      </c>
      <c r="H105" s="30">
        <f t="shared" si="21"/>
        <v>3250000</v>
      </c>
      <c r="I105" s="16">
        <v>30</v>
      </c>
      <c r="J105" s="30">
        <f t="shared" si="25"/>
        <v>3250000</v>
      </c>
      <c r="K105" s="36">
        <f>IF(H105&lt;='Valores Vigentes'!D$4*2,'Valores Vigentes'!$D$5/30*I105,0)</f>
        <v>0</v>
      </c>
      <c r="L105" s="36">
        <f t="shared" si="26"/>
        <v>81250</v>
      </c>
      <c r="M105" s="36">
        <f t="shared" si="27"/>
        <v>0</v>
      </c>
      <c r="N105" s="36">
        <f t="shared" si="28"/>
        <v>81250</v>
      </c>
      <c r="O105" s="37">
        <f t="shared" si="22"/>
        <v>9</v>
      </c>
      <c r="P105" s="36">
        <f t="shared" si="23"/>
        <v>332386.36363636359</v>
      </c>
      <c r="Q105" s="36">
        <f t="shared" si="29"/>
        <v>0</v>
      </c>
      <c r="R105" s="30">
        <f t="shared" si="30"/>
        <v>3744886.3636363638</v>
      </c>
      <c r="S105" s="30">
        <f>(R105-K105+L105-N105-Q105)*'Valores Vigentes'!$D$6</f>
        <v>149795.45454545456</v>
      </c>
      <c r="T105" s="30">
        <f>(R105-K105+L105-N105-Q105)*'Valores Vigentes'!$D$7</f>
        <v>149795.45454545456</v>
      </c>
      <c r="U105" s="36">
        <f>IF(H105&gt;'Valores Vigentes'!$D$4*4,H105*1%,0)</f>
        <v>0</v>
      </c>
      <c r="V105" s="36">
        <f t="shared" si="24"/>
        <v>0</v>
      </c>
      <c r="W105" s="36">
        <f t="shared" si="31"/>
        <v>97500</v>
      </c>
      <c r="X105" s="36">
        <f t="shared" si="32"/>
        <v>74897.727272727279</v>
      </c>
      <c r="Y105" s="30">
        <f t="shared" si="33"/>
        <v>471988.63636363641</v>
      </c>
      <c r="Z105" s="30">
        <f t="shared" si="34"/>
        <v>3272897.7272727275</v>
      </c>
    </row>
    <row r="106" spans="1:26" ht="15.75" customHeight="1" x14ac:dyDescent="0.25">
      <c r="A106" s="17" t="s">
        <v>157</v>
      </c>
      <c r="B106" s="17" t="s">
        <v>275</v>
      </c>
      <c r="C106" s="17">
        <v>6</v>
      </c>
      <c r="D106" s="17" t="s">
        <v>276</v>
      </c>
      <c r="E106" s="17" t="s">
        <v>277</v>
      </c>
      <c r="F106" s="17" t="s">
        <v>31</v>
      </c>
      <c r="G106" s="17" t="str">
        <f t="shared" si="20"/>
        <v>PROFESIONAL</v>
      </c>
      <c r="H106" s="30">
        <f t="shared" si="21"/>
        <v>2950000</v>
      </c>
      <c r="I106" s="16">
        <v>27</v>
      </c>
      <c r="J106" s="30">
        <f t="shared" si="25"/>
        <v>2655000</v>
      </c>
      <c r="K106" s="36">
        <f>IF(H106&lt;='Valores Vigentes'!D$4*2,'Valores Vigentes'!$D$5/30*I106,0)</f>
        <v>0</v>
      </c>
      <c r="L106" s="36">
        <f t="shared" si="26"/>
        <v>39825</v>
      </c>
      <c r="M106" s="36">
        <f t="shared" si="27"/>
        <v>92925.000000000015</v>
      </c>
      <c r="N106" s="36">
        <f t="shared" si="28"/>
        <v>39825</v>
      </c>
      <c r="O106" s="37">
        <f t="shared" si="22"/>
        <v>9</v>
      </c>
      <c r="P106" s="36">
        <f t="shared" si="23"/>
        <v>301704.54545454547</v>
      </c>
      <c r="Q106" s="36">
        <f t="shared" si="29"/>
        <v>0</v>
      </c>
      <c r="R106" s="30">
        <f t="shared" si="30"/>
        <v>3129279.5454545454</v>
      </c>
      <c r="S106" s="30">
        <f>(R106-K106+L106-N106-Q106)*'Valores Vigentes'!$D$6</f>
        <v>125171.18181818182</v>
      </c>
      <c r="T106" s="30">
        <f>(R106-K106+L106-N106-Q106)*'Valores Vigentes'!$D$7</f>
        <v>125171.18181818182</v>
      </c>
      <c r="U106" s="36">
        <f>IF(H106&gt;'Valores Vigentes'!$D$4*4,H106*1%,0)</f>
        <v>0</v>
      </c>
      <c r="V106" s="36">
        <f t="shared" si="24"/>
        <v>0</v>
      </c>
      <c r="W106" s="36">
        <f t="shared" si="31"/>
        <v>88500</v>
      </c>
      <c r="X106" s="36">
        <f t="shared" si="32"/>
        <v>0</v>
      </c>
      <c r="Y106" s="30">
        <f t="shared" si="33"/>
        <v>338842.36363636365</v>
      </c>
      <c r="Z106" s="30">
        <f t="shared" si="34"/>
        <v>2790437.1818181816</v>
      </c>
    </row>
    <row r="107" spans="1:26" ht="15.75" customHeight="1" x14ac:dyDescent="0.25">
      <c r="A107" s="17" t="s">
        <v>158</v>
      </c>
      <c r="B107" s="17" t="s">
        <v>278</v>
      </c>
      <c r="C107" s="17">
        <v>3</v>
      </c>
      <c r="D107" s="17" t="s">
        <v>277</v>
      </c>
      <c r="E107" s="17" t="s">
        <v>276</v>
      </c>
      <c r="F107" s="17" t="s">
        <v>31</v>
      </c>
      <c r="G107" s="17" t="str">
        <f t="shared" si="20"/>
        <v>SECRETARIAS</v>
      </c>
      <c r="H107" s="30">
        <f t="shared" si="21"/>
        <v>1813000</v>
      </c>
      <c r="I107" s="16">
        <v>25</v>
      </c>
      <c r="J107" s="30">
        <f t="shared" si="25"/>
        <v>1510833.3333333335</v>
      </c>
      <c r="K107" s="36">
        <f>IF(H107&lt;='Valores Vigentes'!D$4*2,'Valores Vigentes'!$D$5/30*I107,0)</f>
        <v>166666.66666666669</v>
      </c>
      <c r="L107" s="36">
        <f t="shared" si="26"/>
        <v>22662.5</v>
      </c>
      <c r="M107" s="36">
        <f t="shared" si="27"/>
        <v>52879.166666666679</v>
      </c>
      <c r="N107" s="36">
        <f t="shared" si="28"/>
        <v>22662.5</v>
      </c>
      <c r="O107" s="37">
        <f t="shared" si="22"/>
        <v>15</v>
      </c>
      <c r="P107" s="36">
        <f t="shared" si="23"/>
        <v>309034.09090909088</v>
      </c>
      <c r="Q107" s="36">
        <f t="shared" si="29"/>
        <v>0</v>
      </c>
      <c r="R107" s="30">
        <f t="shared" si="30"/>
        <v>2084738.2575757578</v>
      </c>
      <c r="S107" s="30">
        <f>(R107-K107+L107-N107-Q107)*'Valores Vigentes'!$D$6</f>
        <v>76722.863636363647</v>
      </c>
      <c r="T107" s="30">
        <f>(R107-K107+L107-N107-Q107)*'Valores Vigentes'!$D$7</f>
        <v>76722.863636363647</v>
      </c>
      <c r="U107" s="36">
        <f>IF(H107&gt;'Valores Vigentes'!$D$4*4,H107*1%,0)</f>
        <v>0</v>
      </c>
      <c r="V107" s="36">
        <f t="shared" si="24"/>
        <v>0</v>
      </c>
      <c r="W107" s="36">
        <f t="shared" si="31"/>
        <v>0</v>
      </c>
      <c r="X107" s="36">
        <f t="shared" si="32"/>
        <v>41694.765151515159</v>
      </c>
      <c r="Y107" s="30">
        <f t="shared" si="33"/>
        <v>195140.49242424246</v>
      </c>
      <c r="Z107" s="30">
        <f t="shared" si="34"/>
        <v>1889597.7651515154</v>
      </c>
    </row>
    <row r="108" spans="1:26" ht="15.75" customHeight="1" x14ac:dyDescent="0.25">
      <c r="A108" s="17" t="s">
        <v>159</v>
      </c>
      <c r="B108" s="17" t="s">
        <v>275</v>
      </c>
      <c r="C108" s="17">
        <v>1</v>
      </c>
      <c r="D108" s="17" t="s">
        <v>277</v>
      </c>
      <c r="E108" s="17" t="s">
        <v>276</v>
      </c>
      <c r="F108" s="17" t="s">
        <v>31</v>
      </c>
      <c r="G108" s="17" t="str">
        <f t="shared" si="20"/>
        <v>AUXILIAR ADMON</v>
      </c>
      <c r="H108" s="30">
        <f t="shared" si="21"/>
        <v>1423500</v>
      </c>
      <c r="I108" s="16">
        <v>27</v>
      </c>
      <c r="J108" s="30">
        <f t="shared" si="25"/>
        <v>1281150</v>
      </c>
      <c r="K108" s="36">
        <f>IF(H108&lt;='Valores Vigentes'!D$4*2,'Valores Vigentes'!$D$5/30*I108,0)</f>
        <v>180000</v>
      </c>
      <c r="L108" s="36">
        <f t="shared" si="26"/>
        <v>19217.25</v>
      </c>
      <c r="M108" s="36">
        <f t="shared" si="27"/>
        <v>44840.250000000007</v>
      </c>
      <c r="N108" s="36">
        <f t="shared" si="28"/>
        <v>19217.25</v>
      </c>
      <c r="O108" s="37">
        <f t="shared" si="22"/>
        <v>14</v>
      </c>
      <c r="P108" s="36">
        <f t="shared" si="23"/>
        <v>226465.90909090906</v>
      </c>
      <c r="Q108" s="36">
        <f t="shared" si="29"/>
        <v>0</v>
      </c>
      <c r="R108" s="30">
        <f t="shared" si="30"/>
        <v>1770890.6590909092</v>
      </c>
      <c r="S108" s="30">
        <f>(R108-K108+L108-N108-Q108)*'Valores Vigentes'!$D$6</f>
        <v>63635.626363636366</v>
      </c>
      <c r="T108" s="30">
        <f>(R108-K108+L108-N108-Q108)*'Valores Vigentes'!$D$7</f>
        <v>63635.626363636366</v>
      </c>
      <c r="U108" s="36">
        <f>IF(H108&gt;'Valores Vigentes'!$D$4*4,H108*1%,0)</f>
        <v>0</v>
      </c>
      <c r="V108" s="36">
        <f t="shared" si="24"/>
        <v>0</v>
      </c>
      <c r="W108" s="36">
        <f t="shared" si="31"/>
        <v>0</v>
      </c>
      <c r="X108" s="36">
        <f t="shared" si="32"/>
        <v>35417.813181818186</v>
      </c>
      <c r="Y108" s="30">
        <f t="shared" si="33"/>
        <v>162689.06590909092</v>
      </c>
      <c r="Z108" s="30">
        <f t="shared" si="34"/>
        <v>1608201.5931818183</v>
      </c>
    </row>
    <row r="109" spans="1:26" ht="15.75" customHeight="1" x14ac:dyDescent="0.25">
      <c r="A109" s="17" t="s">
        <v>160</v>
      </c>
      <c r="B109" s="17" t="s">
        <v>278</v>
      </c>
      <c r="C109" s="17">
        <v>1</v>
      </c>
      <c r="D109" s="17" t="s">
        <v>276</v>
      </c>
      <c r="E109" s="17" t="s">
        <v>276</v>
      </c>
      <c r="F109" s="17" t="s">
        <v>31</v>
      </c>
      <c r="G109" s="17" t="str">
        <f t="shared" si="20"/>
        <v>AUXILIAR ADMON</v>
      </c>
      <c r="H109" s="30">
        <f t="shared" si="21"/>
        <v>1423500</v>
      </c>
      <c r="I109" s="16">
        <v>26</v>
      </c>
      <c r="J109" s="30">
        <f t="shared" si="25"/>
        <v>1233700</v>
      </c>
      <c r="K109" s="36">
        <f>IF(H109&lt;='Valores Vigentes'!D$4*2,'Valores Vigentes'!$D$5/30*I109,0)</f>
        <v>173333.33333333334</v>
      </c>
      <c r="L109" s="36">
        <f t="shared" si="26"/>
        <v>18505.5</v>
      </c>
      <c r="M109" s="36">
        <f t="shared" si="27"/>
        <v>43179.500000000007</v>
      </c>
      <c r="N109" s="36">
        <f t="shared" si="28"/>
        <v>30842.5</v>
      </c>
      <c r="O109" s="37">
        <f t="shared" si="22"/>
        <v>30</v>
      </c>
      <c r="P109" s="36">
        <f t="shared" si="23"/>
        <v>485284.09090909088</v>
      </c>
      <c r="Q109" s="36">
        <f t="shared" si="29"/>
        <v>0</v>
      </c>
      <c r="R109" s="30">
        <f t="shared" si="30"/>
        <v>1984844.9242424241</v>
      </c>
      <c r="S109" s="30">
        <f>(R109-K109+L109-N109-Q109)*'Valores Vigentes'!$D$6</f>
        <v>71966.983636363628</v>
      </c>
      <c r="T109" s="30">
        <f>(R109-K109+L109-N109-Q109)*'Valores Vigentes'!$D$7</f>
        <v>71966.983636363628</v>
      </c>
      <c r="U109" s="36">
        <f>IF(H109&gt;'Valores Vigentes'!$D$4*4,H109*1%,0)</f>
        <v>0</v>
      </c>
      <c r="V109" s="36">
        <f t="shared" si="24"/>
        <v>0</v>
      </c>
      <c r="W109" s="36">
        <f t="shared" si="31"/>
        <v>42705</v>
      </c>
      <c r="X109" s="36">
        <f t="shared" si="32"/>
        <v>39696.898484848483</v>
      </c>
      <c r="Y109" s="30">
        <f t="shared" si="33"/>
        <v>226335.86575757572</v>
      </c>
      <c r="Z109" s="30">
        <f t="shared" si="34"/>
        <v>1758509.0584848484</v>
      </c>
    </row>
    <row r="110" spans="1:26" ht="15.75" customHeight="1" x14ac:dyDescent="0.25">
      <c r="A110" s="17" t="s">
        <v>161</v>
      </c>
      <c r="B110" s="17" t="s">
        <v>278</v>
      </c>
      <c r="C110" s="17">
        <v>8</v>
      </c>
      <c r="D110" s="17" t="s">
        <v>277</v>
      </c>
      <c r="E110" s="17" t="s">
        <v>276</v>
      </c>
      <c r="F110" s="17" t="s">
        <v>35</v>
      </c>
      <c r="G110" s="17" t="str">
        <f t="shared" si="20"/>
        <v>ASESOR</v>
      </c>
      <c r="H110" s="30">
        <f t="shared" si="21"/>
        <v>3900000</v>
      </c>
      <c r="I110" s="16">
        <v>29</v>
      </c>
      <c r="J110" s="30">
        <f t="shared" si="25"/>
        <v>3770000</v>
      </c>
      <c r="K110" s="36">
        <f>IF(H110&lt;='Valores Vigentes'!D$4*2,'Valores Vigentes'!$D$5/30*I110,0)</f>
        <v>0</v>
      </c>
      <c r="L110" s="36">
        <f t="shared" si="26"/>
        <v>56550</v>
      </c>
      <c r="M110" s="36">
        <f t="shared" si="27"/>
        <v>0</v>
      </c>
      <c r="N110" s="36">
        <f t="shared" si="28"/>
        <v>56550</v>
      </c>
      <c r="O110" s="37">
        <f t="shared" si="22"/>
        <v>8</v>
      </c>
      <c r="P110" s="36">
        <f t="shared" si="23"/>
        <v>354545.45454545459</v>
      </c>
      <c r="Q110" s="36">
        <f t="shared" si="29"/>
        <v>0</v>
      </c>
      <c r="R110" s="30">
        <f t="shared" si="30"/>
        <v>4237645.4545454551</v>
      </c>
      <c r="S110" s="30">
        <f>(R110-K110+L110-N110-Q110)*'Valores Vigentes'!$D$6</f>
        <v>169505.81818181821</v>
      </c>
      <c r="T110" s="30">
        <f>(R110-K110+L110-N110-Q110)*'Valores Vigentes'!$D$7</f>
        <v>169505.81818181821</v>
      </c>
      <c r="U110" s="36">
        <f>IF(H110&gt;'Valores Vigentes'!$D$4*4,H110*1%,0)</f>
        <v>0</v>
      </c>
      <c r="V110" s="36">
        <f t="shared" si="24"/>
        <v>65000</v>
      </c>
      <c r="W110" s="36">
        <f t="shared" si="31"/>
        <v>0</v>
      </c>
      <c r="X110" s="36">
        <f t="shared" si="32"/>
        <v>84752.909090909103</v>
      </c>
      <c r="Y110" s="30">
        <f t="shared" si="33"/>
        <v>488764.54545454553</v>
      </c>
      <c r="Z110" s="30">
        <f t="shared" si="34"/>
        <v>3748880.9090909096</v>
      </c>
    </row>
    <row r="111" spans="1:26" ht="15.75" customHeight="1" x14ac:dyDescent="0.25">
      <c r="A111" s="17" t="s">
        <v>162</v>
      </c>
      <c r="B111" s="17" t="s">
        <v>275</v>
      </c>
      <c r="C111" s="17">
        <v>7</v>
      </c>
      <c r="D111" s="17" t="s">
        <v>276</v>
      </c>
      <c r="E111" s="17" t="s">
        <v>276</v>
      </c>
      <c r="F111" s="17" t="s">
        <v>47</v>
      </c>
      <c r="G111" s="17" t="str">
        <f t="shared" ref="G111:G142" si="35">VLOOKUP(C111,SALARIOSACTUALES,2,0)</f>
        <v>COORDINADOR</v>
      </c>
      <c r="H111" s="30">
        <f t="shared" ref="H111:H142" si="36">VLOOKUP(C111,SALARIOSACTUALES,3,0)</f>
        <v>3250000</v>
      </c>
      <c r="I111" s="16">
        <v>26</v>
      </c>
      <c r="J111" s="30">
        <f t="shared" si="25"/>
        <v>2816666.6666666665</v>
      </c>
      <c r="K111" s="36">
        <f>IF(H111&lt;='Valores Vigentes'!D$4*2,'Valores Vigentes'!$D$5/30*I111,0)</f>
        <v>0</v>
      </c>
      <c r="L111" s="36">
        <f t="shared" si="26"/>
        <v>42249.999999999993</v>
      </c>
      <c r="M111" s="36">
        <f t="shared" si="27"/>
        <v>0</v>
      </c>
      <c r="N111" s="36">
        <f t="shared" si="28"/>
        <v>70416.666666666672</v>
      </c>
      <c r="O111" s="37">
        <f t="shared" ref="O111:O142" si="37">VLOOKUP(A111,HORASEXTRAS,11,0)</f>
        <v>12</v>
      </c>
      <c r="P111" s="36">
        <f t="shared" ref="P111:P142" si="38">VLOOKUP(A111,HORASEXTRAS,10,0)</f>
        <v>443181.81818181812</v>
      </c>
      <c r="Q111" s="36">
        <f t="shared" si="29"/>
        <v>0</v>
      </c>
      <c r="R111" s="30">
        <f t="shared" si="30"/>
        <v>3372515.1515151514</v>
      </c>
      <c r="S111" s="30">
        <f>(R111-K111+L111-N111-Q111)*'Valores Vigentes'!$D$6</f>
        <v>133773.93939393939</v>
      </c>
      <c r="T111" s="30">
        <f>(R111-K111+L111-N111-Q111)*'Valores Vigentes'!$D$7</f>
        <v>133773.93939393939</v>
      </c>
      <c r="U111" s="36">
        <f>IF(H111&gt;'Valores Vigentes'!$D$4*4,H111*1%,0)</f>
        <v>0</v>
      </c>
      <c r="V111" s="36">
        <f t="shared" ref="V111:V142" si="39">HLOOKUP(R111,RETEFUENTE,2,1)</f>
        <v>0</v>
      </c>
      <c r="W111" s="36">
        <f t="shared" si="31"/>
        <v>97500</v>
      </c>
      <c r="X111" s="36">
        <f t="shared" si="32"/>
        <v>67450.303030303025</v>
      </c>
      <c r="Y111" s="30">
        <f t="shared" si="33"/>
        <v>432498.18181818182</v>
      </c>
      <c r="Z111" s="30">
        <f t="shared" si="34"/>
        <v>2940016.9696969697</v>
      </c>
    </row>
    <row r="112" spans="1:26" ht="15.75" customHeight="1" x14ac:dyDescent="0.25">
      <c r="A112" s="17" t="s">
        <v>163</v>
      </c>
      <c r="B112" s="17" t="s">
        <v>275</v>
      </c>
      <c r="C112" s="17">
        <v>4</v>
      </c>
      <c r="D112" s="17" t="s">
        <v>276</v>
      </c>
      <c r="E112" s="17" t="s">
        <v>276</v>
      </c>
      <c r="F112" s="17" t="s">
        <v>31</v>
      </c>
      <c r="G112" s="17" t="str">
        <f t="shared" si="35"/>
        <v>TÉCNICO PROFESIONAL</v>
      </c>
      <c r="H112" s="30">
        <f t="shared" si="36"/>
        <v>2450000</v>
      </c>
      <c r="I112" s="16">
        <v>27</v>
      </c>
      <c r="J112" s="30">
        <f t="shared" si="25"/>
        <v>2205000</v>
      </c>
      <c r="K112" s="36">
        <f>IF(H112&lt;='Valores Vigentes'!D$4*2,'Valores Vigentes'!$D$5/30*I112,0)</f>
        <v>180000</v>
      </c>
      <c r="L112" s="36">
        <f t="shared" si="26"/>
        <v>33075</v>
      </c>
      <c r="M112" s="36">
        <f t="shared" si="27"/>
        <v>77175.000000000015</v>
      </c>
      <c r="N112" s="36">
        <f t="shared" si="28"/>
        <v>55125</v>
      </c>
      <c r="O112" s="37">
        <f t="shared" si="37"/>
        <v>3</v>
      </c>
      <c r="P112" s="36">
        <f t="shared" si="38"/>
        <v>83522.727272727265</v>
      </c>
      <c r="Q112" s="36">
        <f t="shared" si="29"/>
        <v>0</v>
      </c>
      <c r="R112" s="30">
        <f t="shared" si="30"/>
        <v>2633897.7272727271</v>
      </c>
      <c r="S112" s="30">
        <f>(R112-K112+L112-N112-Q112)*'Valores Vigentes'!$D$6</f>
        <v>97273.909090909088</v>
      </c>
      <c r="T112" s="30">
        <f>(R112-K112+L112-N112-Q112)*'Valores Vigentes'!$D$7</f>
        <v>97273.909090909088</v>
      </c>
      <c r="U112" s="36">
        <f>IF(H112&gt;'Valores Vigentes'!$D$4*4,H112*1%,0)</f>
        <v>0</v>
      </c>
      <c r="V112" s="36">
        <f t="shared" si="39"/>
        <v>0</v>
      </c>
      <c r="W112" s="36">
        <f t="shared" si="31"/>
        <v>73500</v>
      </c>
      <c r="X112" s="36">
        <f t="shared" si="32"/>
        <v>52677.954545454544</v>
      </c>
      <c r="Y112" s="30">
        <f t="shared" si="33"/>
        <v>320725.77272727271</v>
      </c>
      <c r="Z112" s="30">
        <f t="shared" si="34"/>
        <v>2313171.9545454541</v>
      </c>
    </row>
    <row r="113" spans="1:26" ht="15.75" customHeight="1" x14ac:dyDescent="0.25">
      <c r="A113" s="17" t="s">
        <v>164</v>
      </c>
      <c r="B113" s="17" t="s">
        <v>275</v>
      </c>
      <c r="C113" s="17">
        <v>7</v>
      </c>
      <c r="D113" s="17" t="s">
        <v>277</v>
      </c>
      <c r="E113" s="17" t="s">
        <v>276</v>
      </c>
      <c r="F113" s="17" t="s">
        <v>41</v>
      </c>
      <c r="G113" s="17" t="str">
        <f t="shared" si="35"/>
        <v>COORDINADOR</v>
      </c>
      <c r="H113" s="30">
        <f t="shared" si="36"/>
        <v>3250000</v>
      </c>
      <c r="I113" s="16">
        <v>25</v>
      </c>
      <c r="J113" s="30">
        <f t="shared" si="25"/>
        <v>2708333.333333333</v>
      </c>
      <c r="K113" s="36">
        <f>IF(H113&lt;='Valores Vigentes'!D$4*2,'Valores Vigentes'!$D$5/30*I113,0)</f>
        <v>0</v>
      </c>
      <c r="L113" s="36">
        <f t="shared" si="26"/>
        <v>40624.999999999993</v>
      </c>
      <c r="M113" s="36">
        <f t="shared" si="27"/>
        <v>0</v>
      </c>
      <c r="N113" s="36">
        <f t="shared" si="28"/>
        <v>40624.999999999993</v>
      </c>
      <c r="O113" s="37">
        <f t="shared" si="37"/>
        <v>13</v>
      </c>
      <c r="P113" s="36">
        <f t="shared" si="38"/>
        <v>480113.63636363629</v>
      </c>
      <c r="Q113" s="36">
        <f t="shared" si="29"/>
        <v>0</v>
      </c>
      <c r="R113" s="30">
        <f t="shared" si="30"/>
        <v>3269696.9696969693</v>
      </c>
      <c r="S113" s="30">
        <f>(R113-K113+L113-N113-Q113)*'Valores Vigentes'!$D$6</f>
        <v>130787.87878787877</v>
      </c>
      <c r="T113" s="30">
        <f>(R113-K113+L113-N113-Q113)*'Valores Vigentes'!$D$7</f>
        <v>130787.87878787877</v>
      </c>
      <c r="U113" s="36">
        <f>IF(H113&gt;'Valores Vigentes'!$D$4*4,H113*1%,0)</f>
        <v>0</v>
      </c>
      <c r="V113" s="36">
        <f t="shared" si="39"/>
        <v>0</v>
      </c>
      <c r="W113" s="36">
        <f t="shared" si="31"/>
        <v>0</v>
      </c>
      <c r="X113" s="36">
        <f t="shared" si="32"/>
        <v>65393.939393939385</v>
      </c>
      <c r="Y113" s="30">
        <f t="shared" si="33"/>
        <v>326969.6969696969</v>
      </c>
      <c r="Z113" s="30">
        <f t="shared" si="34"/>
        <v>2942727.2727272725</v>
      </c>
    </row>
    <row r="114" spans="1:26" ht="15.75" customHeight="1" x14ac:dyDescent="0.25">
      <c r="A114" s="17" t="s">
        <v>165</v>
      </c>
      <c r="B114" s="17" t="s">
        <v>278</v>
      </c>
      <c r="C114" s="17">
        <v>7</v>
      </c>
      <c r="D114" s="17" t="s">
        <v>276</v>
      </c>
      <c r="E114" s="17" t="s">
        <v>277</v>
      </c>
      <c r="F114" s="17" t="s">
        <v>39</v>
      </c>
      <c r="G114" s="17" t="str">
        <f t="shared" si="35"/>
        <v>COORDINADOR</v>
      </c>
      <c r="H114" s="30">
        <f t="shared" si="36"/>
        <v>3250000</v>
      </c>
      <c r="I114" s="16">
        <v>25</v>
      </c>
      <c r="J114" s="30">
        <f t="shared" si="25"/>
        <v>2708333.333333333</v>
      </c>
      <c r="K114" s="36">
        <f>IF(H114&lt;='Valores Vigentes'!D$4*2,'Valores Vigentes'!$D$5/30*I114,0)</f>
        <v>0</v>
      </c>
      <c r="L114" s="36">
        <f t="shared" si="26"/>
        <v>40624.999999999993</v>
      </c>
      <c r="M114" s="36">
        <f t="shared" si="27"/>
        <v>0</v>
      </c>
      <c r="N114" s="36">
        <f t="shared" si="28"/>
        <v>40624.999999999993</v>
      </c>
      <c r="O114" s="37">
        <f t="shared" si="37"/>
        <v>9</v>
      </c>
      <c r="P114" s="36">
        <f t="shared" si="38"/>
        <v>332386.36363636359</v>
      </c>
      <c r="Q114" s="36">
        <f t="shared" si="29"/>
        <v>0</v>
      </c>
      <c r="R114" s="30">
        <f t="shared" si="30"/>
        <v>3121969.6969696968</v>
      </c>
      <c r="S114" s="30">
        <f>(R114-K114+L114-N114-Q114)*'Valores Vigentes'!$D$6</f>
        <v>124878.78787878787</v>
      </c>
      <c r="T114" s="30">
        <f>(R114-K114+L114-N114-Q114)*'Valores Vigentes'!$D$7</f>
        <v>124878.78787878787</v>
      </c>
      <c r="U114" s="36">
        <f>IF(H114&gt;'Valores Vigentes'!$D$4*4,H114*1%,0)</f>
        <v>0</v>
      </c>
      <c r="V114" s="36">
        <f t="shared" si="39"/>
        <v>0</v>
      </c>
      <c r="W114" s="36">
        <f t="shared" si="31"/>
        <v>97500</v>
      </c>
      <c r="X114" s="36">
        <f t="shared" si="32"/>
        <v>0</v>
      </c>
      <c r="Y114" s="30">
        <f t="shared" si="33"/>
        <v>347257.57575757575</v>
      </c>
      <c r="Z114" s="30">
        <f t="shared" si="34"/>
        <v>2774712.1212121211</v>
      </c>
    </row>
    <row r="115" spans="1:26" ht="15.75" customHeight="1" x14ac:dyDescent="0.25">
      <c r="A115" s="17" t="s">
        <v>166</v>
      </c>
      <c r="B115" s="17" t="s">
        <v>278</v>
      </c>
      <c r="C115" s="17">
        <v>1</v>
      </c>
      <c r="D115" s="17" t="s">
        <v>276</v>
      </c>
      <c r="E115" s="17" t="s">
        <v>276</v>
      </c>
      <c r="F115" s="17" t="s">
        <v>31</v>
      </c>
      <c r="G115" s="17" t="str">
        <f t="shared" si="35"/>
        <v>AUXILIAR ADMON</v>
      </c>
      <c r="H115" s="30">
        <f t="shared" si="36"/>
        <v>1423500</v>
      </c>
      <c r="I115" s="16">
        <v>25</v>
      </c>
      <c r="J115" s="30">
        <f t="shared" si="25"/>
        <v>1186250</v>
      </c>
      <c r="K115" s="36">
        <f>IF(H115&lt;='Valores Vigentes'!D$4*2,'Valores Vigentes'!$D$5/30*I115,0)</f>
        <v>166666.66666666669</v>
      </c>
      <c r="L115" s="36">
        <f t="shared" si="26"/>
        <v>17793.75</v>
      </c>
      <c r="M115" s="36">
        <f t="shared" si="27"/>
        <v>41518.750000000007</v>
      </c>
      <c r="N115" s="36">
        <f t="shared" si="28"/>
        <v>29656.25</v>
      </c>
      <c r="O115" s="37">
        <f t="shared" si="37"/>
        <v>5</v>
      </c>
      <c r="P115" s="36">
        <f t="shared" si="38"/>
        <v>80880.681818181809</v>
      </c>
      <c r="Q115" s="36">
        <f t="shared" si="29"/>
        <v>0</v>
      </c>
      <c r="R115" s="30">
        <f t="shared" si="30"/>
        <v>1522766.0984848486</v>
      </c>
      <c r="S115" s="30">
        <f>(R115-K115+L115-N115-Q115)*'Valores Vigentes'!$D$6</f>
        <v>53769.477272727279</v>
      </c>
      <c r="T115" s="30">
        <f>(R115-K115+L115-N115-Q115)*'Valores Vigentes'!$D$7</f>
        <v>53769.477272727279</v>
      </c>
      <c r="U115" s="36">
        <f>IF(H115&gt;'Valores Vigentes'!$D$4*4,H115*1%,0)</f>
        <v>0</v>
      </c>
      <c r="V115" s="36">
        <f t="shared" si="39"/>
        <v>0</v>
      </c>
      <c r="W115" s="36">
        <f t="shared" si="31"/>
        <v>42705</v>
      </c>
      <c r="X115" s="36">
        <f t="shared" si="32"/>
        <v>30455.321969696972</v>
      </c>
      <c r="Y115" s="30">
        <f t="shared" si="33"/>
        <v>180699.27651515152</v>
      </c>
      <c r="Z115" s="30">
        <f t="shared" si="34"/>
        <v>1342066.821969697</v>
      </c>
    </row>
    <row r="116" spans="1:26" ht="15.75" customHeight="1" x14ac:dyDescent="0.25">
      <c r="A116" s="17" t="s">
        <v>167</v>
      </c>
      <c r="B116" s="17" t="s">
        <v>275</v>
      </c>
      <c r="C116" s="17">
        <v>1</v>
      </c>
      <c r="D116" s="17" t="s">
        <v>277</v>
      </c>
      <c r="E116" s="17" t="s">
        <v>276</v>
      </c>
      <c r="F116" s="17" t="s">
        <v>31</v>
      </c>
      <c r="G116" s="17" t="str">
        <f t="shared" si="35"/>
        <v>AUXILIAR ADMON</v>
      </c>
      <c r="H116" s="30">
        <f t="shared" si="36"/>
        <v>1423500</v>
      </c>
      <c r="I116" s="16">
        <v>30</v>
      </c>
      <c r="J116" s="30">
        <f t="shared" si="25"/>
        <v>1423500</v>
      </c>
      <c r="K116" s="36">
        <f>IF(H116&lt;='Valores Vigentes'!D$4*2,'Valores Vigentes'!$D$5/30*I116,0)</f>
        <v>200000</v>
      </c>
      <c r="L116" s="36">
        <f t="shared" si="26"/>
        <v>35587.5</v>
      </c>
      <c r="M116" s="36">
        <f t="shared" si="27"/>
        <v>49822.500000000007</v>
      </c>
      <c r="N116" s="36">
        <f t="shared" si="28"/>
        <v>21352.5</v>
      </c>
      <c r="O116" s="37">
        <f t="shared" si="37"/>
        <v>2</v>
      </c>
      <c r="P116" s="36">
        <f t="shared" si="38"/>
        <v>32352.272727272724</v>
      </c>
      <c r="Q116" s="36">
        <f t="shared" si="29"/>
        <v>0</v>
      </c>
      <c r="R116" s="30">
        <f t="shared" si="30"/>
        <v>1762614.7727272727</v>
      </c>
      <c r="S116" s="30">
        <f>(R116-K116+L116-N116-Q116)*'Valores Vigentes'!$D$6</f>
        <v>63073.990909090913</v>
      </c>
      <c r="T116" s="30">
        <f>(R116-K116+L116-N116-Q116)*'Valores Vigentes'!$D$7</f>
        <v>63073.990909090913</v>
      </c>
      <c r="U116" s="36">
        <f>IF(H116&gt;'Valores Vigentes'!$D$4*4,H116*1%,0)</f>
        <v>0</v>
      </c>
      <c r="V116" s="36">
        <f t="shared" si="39"/>
        <v>0</v>
      </c>
      <c r="W116" s="36">
        <f t="shared" si="31"/>
        <v>0</v>
      </c>
      <c r="X116" s="36">
        <f t="shared" si="32"/>
        <v>35252.295454545456</v>
      </c>
      <c r="Y116" s="30">
        <f t="shared" si="33"/>
        <v>161400.27727272728</v>
      </c>
      <c r="Z116" s="30">
        <f t="shared" si="34"/>
        <v>1601214.4954545454</v>
      </c>
    </row>
    <row r="117" spans="1:26" ht="15.75" customHeight="1" x14ac:dyDescent="0.25">
      <c r="A117" s="17" t="s">
        <v>168</v>
      </c>
      <c r="B117" s="17" t="s">
        <v>278</v>
      </c>
      <c r="C117" s="17">
        <v>6</v>
      </c>
      <c r="D117" s="17" t="s">
        <v>276</v>
      </c>
      <c r="E117" s="17" t="s">
        <v>276</v>
      </c>
      <c r="F117" s="17" t="s">
        <v>45</v>
      </c>
      <c r="G117" s="17" t="str">
        <f t="shared" si="35"/>
        <v>PROFESIONAL</v>
      </c>
      <c r="H117" s="30">
        <f t="shared" si="36"/>
        <v>2950000</v>
      </c>
      <c r="I117" s="16">
        <v>29</v>
      </c>
      <c r="J117" s="30">
        <f t="shared" si="25"/>
        <v>2851666.6666666665</v>
      </c>
      <c r="K117" s="36">
        <f>IF(H117&lt;='Valores Vigentes'!D$4*2,'Valores Vigentes'!$D$5/30*I117,0)</f>
        <v>0</v>
      </c>
      <c r="L117" s="36">
        <f t="shared" si="26"/>
        <v>42774.999999999993</v>
      </c>
      <c r="M117" s="36">
        <f t="shared" si="27"/>
        <v>0</v>
      </c>
      <c r="N117" s="36">
        <f t="shared" si="28"/>
        <v>71291.666666666672</v>
      </c>
      <c r="O117" s="37">
        <f t="shared" si="37"/>
        <v>18</v>
      </c>
      <c r="P117" s="36">
        <f t="shared" si="38"/>
        <v>603409.09090909094</v>
      </c>
      <c r="Q117" s="36">
        <f t="shared" si="29"/>
        <v>0</v>
      </c>
      <c r="R117" s="30">
        <f t="shared" si="30"/>
        <v>3569142.4242424238</v>
      </c>
      <c r="S117" s="30">
        <f>(R117-K117+L117-N117-Q117)*'Valores Vigentes'!$D$6</f>
        <v>141625.0303030303</v>
      </c>
      <c r="T117" s="30">
        <f>(R117-K117+L117-N117-Q117)*'Valores Vigentes'!$D$7</f>
        <v>141625.0303030303</v>
      </c>
      <c r="U117" s="36">
        <f>IF(H117&gt;'Valores Vigentes'!$D$4*4,H117*1%,0)</f>
        <v>0</v>
      </c>
      <c r="V117" s="36">
        <f t="shared" si="39"/>
        <v>0</v>
      </c>
      <c r="W117" s="36">
        <f t="shared" si="31"/>
        <v>88500</v>
      </c>
      <c r="X117" s="36">
        <f t="shared" si="32"/>
        <v>71382.84848484848</v>
      </c>
      <c r="Y117" s="30">
        <f t="shared" si="33"/>
        <v>443132.90909090906</v>
      </c>
      <c r="Z117" s="30">
        <f t="shared" si="34"/>
        <v>3126009.5151515147</v>
      </c>
    </row>
    <row r="118" spans="1:26" ht="15.75" customHeight="1" x14ac:dyDescent="0.25">
      <c r="A118" s="17" t="s">
        <v>169</v>
      </c>
      <c r="B118" s="17" t="s">
        <v>278</v>
      </c>
      <c r="C118" s="17">
        <v>5</v>
      </c>
      <c r="D118" s="17" t="s">
        <v>276</v>
      </c>
      <c r="E118" s="17" t="s">
        <v>277</v>
      </c>
      <c r="F118" s="17" t="s">
        <v>35</v>
      </c>
      <c r="G118" s="17" t="str">
        <f t="shared" si="35"/>
        <v>ASESOR VENTAS</v>
      </c>
      <c r="H118" s="30">
        <f t="shared" si="36"/>
        <v>2650000</v>
      </c>
      <c r="I118" s="16">
        <v>26</v>
      </c>
      <c r="J118" s="30">
        <f t="shared" si="25"/>
        <v>2296666.6666666665</v>
      </c>
      <c r="K118" s="36">
        <f>IF(H118&lt;='Valores Vigentes'!D$4*2,'Valores Vigentes'!$D$5/30*I118,0)</f>
        <v>173333.33333333334</v>
      </c>
      <c r="L118" s="36">
        <f t="shared" si="26"/>
        <v>34450</v>
      </c>
      <c r="M118" s="36">
        <f t="shared" si="27"/>
        <v>0</v>
      </c>
      <c r="N118" s="36">
        <f t="shared" si="28"/>
        <v>34450</v>
      </c>
      <c r="O118" s="37">
        <f t="shared" si="37"/>
        <v>25</v>
      </c>
      <c r="P118" s="36">
        <f t="shared" si="38"/>
        <v>752840.90909090906</v>
      </c>
      <c r="Q118" s="36">
        <f t="shared" si="29"/>
        <v>0</v>
      </c>
      <c r="R118" s="30">
        <f t="shared" si="30"/>
        <v>3291740.9090909092</v>
      </c>
      <c r="S118" s="30">
        <f>(R118-K118+L118-N118-Q118)*'Valores Vigentes'!$D$6</f>
        <v>124736.30303030302</v>
      </c>
      <c r="T118" s="30">
        <f>(R118-K118+L118-N118-Q118)*'Valores Vigentes'!$D$7</f>
        <v>124736.30303030302</v>
      </c>
      <c r="U118" s="36">
        <f>IF(H118&gt;'Valores Vigentes'!$D$4*4,H118*1%,0)</f>
        <v>0</v>
      </c>
      <c r="V118" s="36">
        <f t="shared" si="39"/>
        <v>0</v>
      </c>
      <c r="W118" s="36">
        <f t="shared" si="31"/>
        <v>79500</v>
      </c>
      <c r="X118" s="36">
        <f t="shared" si="32"/>
        <v>0</v>
      </c>
      <c r="Y118" s="30">
        <f t="shared" si="33"/>
        <v>328972.60606060608</v>
      </c>
      <c r="Z118" s="30">
        <f t="shared" si="34"/>
        <v>2962768.3030303032</v>
      </c>
    </row>
    <row r="119" spans="1:26" ht="15.75" customHeight="1" x14ac:dyDescent="0.25">
      <c r="A119" s="17" t="s">
        <v>170</v>
      </c>
      <c r="B119" s="17" t="s">
        <v>278</v>
      </c>
      <c r="C119" s="17">
        <v>1</v>
      </c>
      <c r="D119" s="17" t="s">
        <v>276</v>
      </c>
      <c r="E119" s="17" t="s">
        <v>277</v>
      </c>
      <c r="F119" s="17" t="s">
        <v>31</v>
      </c>
      <c r="G119" s="17" t="str">
        <f t="shared" si="35"/>
        <v>AUXILIAR ADMON</v>
      </c>
      <c r="H119" s="30">
        <f t="shared" si="36"/>
        <v>1423500</v>
      </c>
      <c r="I119" s="16">
        <v>25</v>
      </c>
      <c r="J119" s="30">
        <f t="shared" si="25"/>
        <v>1186250</v>
      </c>
      <c r="K119" s="36">
        <f>IF(H119&lt;='Valores Vigentes'!D$4*2,'Valores Vigentes'!$D$5/30*I119,0)</f>
        <v>166666.66666666669</v>
      </c>
      <c r="L119" s="36">
        <f t="shared" si="26"/>
        <v>17793.75</v>
      </c>
      <c r="M119" s="36">
        <f t="shared" si="27"/>
        <v>41518.750000000007</v>
      </c>
      <c r="N119" s="36">
        <f t="shared" si="28"/>
        <v>17793.75</v>
      </c>
      <c r="O119" s="37">
        <f t="shared" si="37"/>
        <v>30</v>
      </c>
      <c r="P119" s="36">
        <f t="shared" si="38"/>
        <v>485284.09090909088</v>
      </c>
      <c r="Q119" s="36">
        <f t="shared" si="29"/>
        <v>0</v>
      </c>
      <c r="R119" s="30">
        <f t="shared" si="30"/>
        <v>1915307.0075757576</v>
      </c>
      <c r="S119" s="30">
        <f>(R119-K119+L119-N119-Q119)*'Valores Vigentes'!$D$6</f>
        <v>69945.613636363632</v>
      </c>
      <c r="T119" s="30">
        <f>(R119-K119+L119-N119-Q119)*'Valores Vigentes'!$D$7</f>
        <v>69945.613636363632</v>
      </c>
      <c r="U119" s="36">
        <f>IF(H119&gt;'Valores Vigentes'!$D$4*4,H119*1%,0)</f>
        <v>0</v>
      </c>
      <c r="V119" s="36">
        <f t="shared" si="39"/>
        <v>0</v>
      </c>
      <c r="W119" s="36">
        <f t="shared" si="31"/>
        <v>42705</v>
      </c>
      <c r="X119" s="36">
        <f t="shared" si="32"/>
        <v>0</v>
      </c>
      <c r="Y119" s="30">
        <f t="shared" si="33"/>
        <v>182596.22727272726</v>
      </c>
      <c r="Z119" s="30">
        <f t="shared" si="34"/>
        <v>1732710.7803030303</v>
      </c>
    </row>
    <row r="120" spans="1:26" ht="15.75" customHeight="1" x14ac:dyDescent="0.25">
      <c r="A120" s="17" t="s">
        <v>171</v>
      </c>
      <c r="B120" s="17" t="s">
        <v>275</v>
      </c>
      <c r="C120" s="17">
        <v>7</v>
      </c>
      <c r="D120" s="17" t="s">
        <v>276</v>
      </c>
      <c r="E120" s="17" t="s">
        <v>277</v>
      </c>
      <c r="F120" s="17" t="s">
        <v>31</v>
      </c>
      <c r="G120" s="17" t="str">
        <f t="shared" si="35"/>
        <v>COORDINADOR</v>
      </c>
      <c r="H120" s="30">
        <f t="shared" si="36"/>
        <v>3250000</v>
      </c>
      <c r="I120" s="16">
        <v>27</v>
      </c>
      <c r="J120" s="30">
        <f t="shared" si="25"/>
        <v>2925000</v>
      </c>
      <c r="K120" s="36">
        <f>IF(H120&lt;='Valores Vigentes'!D$4*2,'Valores Vigentes'!$D$5/30*I120,0)</f>
        <v>0</v>
      </c>
      <c r="L120" s="36">
        <f t="shared" si="26"/>
        <v>43875</v>
      </c>
      <c r="M120" s="36">
        <f t="shared" si="27"/>
        <v>102375.00000000001</v>
      </c>
      <c r="N120" s="36">
        <f t="shared" si="28"/>
        <v>43875</v>
      </c>
      <c r="O120" s="37">
        <f t="shared" si="37"/>
        <v>25</v>
      </c>
      <c r="P120" s="36">
        <f t="shared" si="38"/>
        <v>923295.45454545435</v>
      </c>
      <c r="Q120" s="36">
        <f t="shared" si="29"/>
        <v>0</v>
      </c>
      <c r="R120" s="30">
        <f t="shared" si="30"/>
        <v>4038420.4545454541</v>
      </c>
      <c r="S120" s="30">
        <f>(R120-K120+L120-N120-Q120)*'Valores Vigentes'!$D$6</f>
        <v>161536.81818181818</v>
      </c>
      <c r="T120" s="30">
        <f>(R120-K120+L120-N120-Q120)*'Valores Vigentes'!$D$7</f>
        <v>161536.81818181818</v>
      </c>
      <c r="U120" s="36">
        <f>IF(H120&gt;'Valores Vigentes'!$D$4*4,H120*1%,0)</f>
        <v>0</v>
      </c>
      <c r="V120" s="36">
        <f t="shared" si="39"/>
        <v>65000</v>
      </c>
      <c r="W120" s="36">
        <f t="shared" si="31"/>
        <v>97500</v>
      </c>
      <c r="X120" s="36">
        <f t="shared" si="32"/>
        <v>0</v>
      </c>
      <c r="Y120" s="30">
        <f t="shared" si="33"/>
        <v>485573.63636363635</v>
      </c>
      <c r="Z120" s="30">
        <f t="shared" si="34"/>
        <v>3552846.8181818179</v>
      </c>
    </row>
    <row r="121" spans="1:26" ht="15.75" customHeight="1" x14ac:dyDescent="0.25">
      <c r="A121" s="17" t="s">
        <v>172</v>
      </c>
      <c r="B121" s="17" t="s">
        <v>278</v>
      </c>
      <c r="C121" s="17">
        <v>5</v>
      </c>
      <c r="D121" s="17" t="s">
        <v>277</v>
      </c>
      <c r="E121" s="17" t="s">
        <v>276</v>
      </c>
      <c r="F121" s="17" t="s">
        <v>33</v>
      </c>
      <c r="G121" s="17" t="str">
        <f t="shared" si="35"/>
        <v>ASESOR VENTAS</v>
      </c>
      <c r="H121" s="30">
        <f t="shared" si="36"/>
        <v>2650000</v>
      </c>
      <c r="I121" s="16">
        <v>28</v>
      </c>
      <c r="J121" s="30">
        <f t="shared" si="25"/>
        <v>2473333.333333333</v>
      </c>
      <c r="K121" s="36">
        <f>IF(H121&lt;='Valores Vigentes'!D$4*2,'Valores Vigentes'!$D$5/30*I121,0)</f>
        <v>186666.66666666669</v>
      </c>
      <c r="L121" s="36">
        <f t="shared" si="26"/>
        <v>37099.999999999993</v>
      </c>
      <c r="M121" s="36">
        <f t="shared" si="27"/>
        <v>0</v>
      </c>
      <c r="N121" s="36">
        <f t="shared" si="28"/>
        <v>37099.999999999993</v>
      </c>
      <c r="O121" s="37">
        <f t="shared" si="37"/>
        <v>13</v>
      </c>
      <c r="P121" s="36">
        <f t="shared" si="38"/>
        <v>391477.27272727271</v>
      </c>
      <c r="Q121" s="36">
        <f t="shared" si="29"/>
        <v>0</v>
      </c>
      <c r="R121" s="30">
        <f t="shared" si="30"/>
        <v>3125677.2727272725</v>
      </c>
      <c r="S121" s="30">
        <f>(R121-K121+L121-N121-Q121)*'Valores Vigentes'!$D$6</f>
        <v>117560.42424242424</v>
      </c>
      <c r="T121" s="30">
        <f>(R121-K121+L121-N121-Q121)*'Valores Vigentes'!$D$7</f>
        <v>117560.42424242424</v>
      </c>
      <c r="U121" s="36">
        <f>IF(H121&gt;'Valores Vigentes'!$D$4*4,H121*1%,0)</f>
        <v>0</v>
      </c>
      <c r="V121" s="36">
        <f t="shared" si="39"/>
        <v>0</v>
      </c>
      <c r="W121" s="36">
        <f t="shared" si="31"/>
        <v>0</v>
      </c>
      <c r="X121" s="36">
        <f t="shared" si="32"/>
        <v>62513.545454545449</v>
      </c>
      <c r="Y121" s="30">
        <f t="shared" si="33"/>
        <v>297634.39393939392</v>
      </c>
      <c r="Z121" s="30">
        <f t="shared" si="34"/>
        <v>2828042.8787878784</v>
      </c>
    </row>
    <row r="122" spans="1:26" ht="15.75" customHeight="1" x14ac:dyDescent="0.25">
      <c r="A122" s="17" t="s">
        <v>173</v>
      </c>
      <c r="B122" s="17" t="s">
        <v>275</v>
      </c>
      <c r="C122" s="17">
        <v>1</v>
      </c>
      <c r="D122" s="17" t="s">
        <v>276</v>
      </c>
      <c r="E122" s="17" t="s">
        <v>277</v>
      </c>
      <c r="F122" s="17" t="s">
        <v>41</v>
      </c>
      <c r="G122" s="17" t="str">
        <f t="shared" si="35"/>
        <v>AUXILIAR ADMON</v>
      </c>
      <c r="H122" s="30">
        <f t="shared" si="36"/>
        <v>1423500</v>
      </c>
      <c r="I122" s="16">
        <v>26</v>
      </c>
      <c r="J122" s="30">
        <f t="shared" si="25"/>
        <v>1233700</v>
      </c>
      <c r="K122" s="36">
        <f>IF(H122&lt;='Valores Vigentes'!D$4*2,'Valores Vigentes'!$D$5/30*I122,0)</f>
        <v>173333.33333333334</v>
      </c>
      <c r="L122" s="36">
        <f t="shared" si="26"/>
        <v>18505.5</v>
      </c>
      <c r="M122" s="36">
        <f t="shared" si="27"/>
        <v>0</v>
      </c>
      <c r="N122" s="36">
        <f t="shared" si="28"/>
        <v>18505.5</v>
      </c>
      <c r="O122" s="37">
        <f t="shared" si="37"/>
        <v>17</v>
      </c>
      <c r="P122" s="36">
        <f t="shared" si="38"/>
        <v>274994.31818181818</v>
      </c>
      <c r="Q122" s="36">
        <f t="shared" si="29"/>
        <v>0</v>
      </c>
      <c r="R122" s="30">
        <f t="shared" si="30"/>
        <v>1719038.6515151514</v>
      </c>
      <c r="S122" s="30">
        <f>(R122-K122+L122-N122-Q122)*'Valores Vigentes'!$D$6</f>
        <v>61828.212727272723</v>
      </c>
      <c r="T122" s="30">
        <f>(R122-K122+L122-N122-Q122)*'Valores Vigentes'!$D$7</f>
        <v>61828.212727272723</v>
      </c>
      <c r="U122" s="36">
        <f>IF(H122&gt;'Valores Vigentes'!$D$4*4,H122*1%,0)</f>
        <v>0</v>
      </c>
      <c r="V122" s="36">
        <f t="shared" si="39"/>
        <v>0</v>
      </c>
      <c r="W122" s="36">
        <f t="shared" si="31"/>
        <v>42705</v>
      </c>
      <c r="X122" s="36">
        <f t="shared" si="32"/>
        <v>0</v>
      </c>
      <c r="Y122" s="30">
        <f t="shared" si="33"/>
        <v>166361.42545454545</v>
      </c>
      <c r="Z122" s="30">
        <f t="shared" si="34"/>
        <v>1552677.2260606058</v>
      </c>
    </row>
    <row r="123" spans="1:26" ht="15.75" customHeight="1" x14ac:dyDescent="0.25">
      <c r="A123" s="17" t="s">
        <v>174</v>
      </c>
      <c r="B123" s="17" t="s">
        <v>275</v>
      </c>
      <c r="C123" s="17">
        <v>3</v>
      </c>
      <c r="D123" s="17" t="s">
        <v>276</v>
      </c>
      <c r="E123" s="17" t="s">
        <v>276</v>
      </c>
      <c r="F123" s="17" t="s">
        <v>47</v>
      </c>
      <c r="G123" s="17" t="str">
        <f t="shared" si="35"/>
        <v>SECRETARIAS</v>
      </c>
      <c r="H123" s="30">
        <f t="shared" si="36"/>
        <v>1813000</v>
      </c>
      <c r="I123" s="16">
        <v>29</v>
      </c>
      <c r="J123" s="30">
        <f t="shared" si="25"/>
        <v>1752566.6666666667</v>
      </c>
      <c r="K123" s="36">
        <f>IF(H123&lt;='Valores Vigentes'!D$4*2,'Valores Vigentes'!$D$5/30*I123,0)</f>
        <v>193333.33333333334</v>
      </c>
      <c r="L123" s="36">
        <f t="shared" si="26"/>
        <v>26288.5</v>
      </c>
      <c r="M123" s="36">
        <f t="shared" si="27"/>
        <v>0</v>
      </c>
      <c r="N123" s="36">
        <f t="shared" si="28"/>
        <v>43814.166666666672</v>
      </c>
      <c r="O123" s="37">
        <f t="shared" si="37"/>
        <v>23</v>
      </c>
      <c r="P123" s="36">
        <f t="shared" si="38"/>
        <v>473852.27272727265</v>
      </c>
      <c r="Q123" s="36">
        <f t="shared" si="29"/>
        <v>0</v>
      </c>
      <c r="R123" s="30">
        <f t="shared" si="30"/>
        <v>2489854.9393939395</v>
      </c>
      <c r="S123" s="30">
        <f>(R123-K123+L123-N123-Q123)*'Valores Vigentes'!$D$6</f>
        <v>91159.837575757585</v>
      </c>
      <c r="T123" s="30">
        <f>(R123-K123+L123-N123-Q123)*'Valores Vigentes'!$D$7</f>
        <v>91159.837575757585</v>
      </c>
      <c r="U123" s="36">
        <f>IF(H123&gt;'Valores Vigentes'!$D$4*4,H123*1%,0)</f>
        <v>0</v>
      </c>
      <c r="V123" s="36">
        <f t="shared" si="39"/>
        <v>0</v>
      </c>
      <c r="W123" s="36">
        <f t="shared" si="31"/>
        <v>54390</v>
      </c>
      <c r="X123" s="36">
        <f t="shared" si="32"/>
        <v>49797.098787878793</v>
      </c>
      <c r="Y123" s="30">
        <f t="shared" si="33"/>
        <v>286506.77393939398</v>
      </c>
      <c r="Z123" s="30">
        <f t="shared" si="34"/>
        <v>2203348.1654545455</v>
      </c>
    </row>
    <row r="124" spans="1:26" ht="15.75" customHeight="1" x14ac:dyDescent="0.25">
      <c r="A124" s="17" t="s">
        <v>175</v>
      </c>
      <c r="B124" s="17" t="s">
        <v>278</v>
      </c>
      <c r="C124" s="17">
        <v>7</v>
      </c>
      <c r="D124" s="17" t="s">
        <v>276</v>
      </c>
      <c r="E124" s="17" t="s">
        <v>276</v>
      </c>
      <c r="F124" s="17" t="s">
        <v>31</v>
      </c>
      <c r="G124" s="17" t="str">
        <f t="shared" si="35"/>
        <v>COORDINADOR</v>
      </c>
      <c r="H124" s="30">
        <f t="shared" si="36"/>
        <v>3250000</v>
      </c>
      <c r="I124" s="16">
        <v>26</v>
      </c>
      <c r="J124" s="30">
        <f t="shared" si="25"/>
        <v>2816666.6666666665</v>
      </c>
      <c r="K124" s="36">
        <f>IF(H124&lt;='Valores Vigentes'!D$4*2,'Valores Vigentes'!$D$5/30*I124,0)</f>
        <v>0</v>
      </c>
      <c r="L124" s="36">
        <f t="shared" si="26"/>
        <v>42249.999999999993</v>
      </c>
      <c r="M124" s="36">
        <f t="shared" si="27"/>
        <v>98583.333333333343</v>
      </c>
      <c r="N124" s="36">
        <f t="shared" si="28"/>
        <v>70416.666666666672</v>
      </c>
      <c r="O124" s="37">
        <f t="shared" si="37"/>
        <v>30</v>
      </c>
      <c r="P124" s="36">
        <f t="shared" si="38"/>
        <v>1107954.5454545454</v>
      </c>
      <c r="Q124" s="36">
        <f t="shared" si="29"/>
        <v>0</v>
      </c>
      <c r="R124" s="30">
        <f t="shared" si="30"/>
        <v>4135871.2121212119</v>
      </c>
      <c r="S124" s="30">
        <f>(R124-K124+L124-N124-Q124)*'Valores Vigentes'!$D$6</f>
        <v>164308.18181818182</v>
      </c>
      <c r="T124" s="30">
        <f>(R124-K124+L124-N124-Q124)*'Valores Vigentes'!$D$7</f>
        <v>164308.18181818182</v>
      </c>
      <c r="U124" s="36">
        <f>IF(H124&gt;'Valores Vigentes'!$D$4*4,H124*1%,0)</f>
        <v>0</v>
      </c>
      <c r="V124" s="36">
        <f t="shared" si="39"/>
        <v>65000</v>
      </c>
      <c r="W124" s="36">
        <f t="shared" si="31"/>
        <v>97500</v>
      </c>
      <c r="X124" s="36">
        <f t="shared" si="32"/>
        <v>82717.42424242424</v>
      </c>
      <c r="Y124" s="30">
        <f t="shared" si="33"/>
        <v>573833.78787878784</v>
      </c>
      <c r="Z124" s="30">
        <f t="shared" si="34"/>
        <v>3562037.4242424238</v>
      </c>
    </row>
    <row r="125" spans="1:26" ht="15.75" customHeight="1" x14ac:dyDescent="0.25">
      <c r="A125" s="17" t="s">
        <v>176</v>
      </c>
      <c r="B125" s="17" t="s">
        <v>278</v>
      </c>
      <c r="C125" s="17">
        <v>2</v>
      </c>
      <c r="D125" s="17" t="s">
        <v>276</v>
      </c>
      <c r="E125" s="17" t="s">
        <v>276</v>
      </c>
      <c r="F125" s="17" t="s">
        <v>49</v>
      </c>
      <c r="G125" s="17" t="str">
        <f t="shared" si="35"/>
        <v>ASISTENTES</v>
      </c>
      <c r="H125" s="30">
        <f t="shared" si="36"/>
        <v>1626000</v>
      </c>
      <c r="I125" s="16">
        <v>25</v>
      </c>
      <c r="J125" s="30">
        <f t="shared" si="25"/>
        <v>1355000</v>
      </c>
      <c r="K125" s="36">
        <f>IF(H125&lt;='Valores Vigentes'!D$4*2,'Valores Vigentes'!$D$5/30*I125,0)</f>
        <v>166666.66666666669</v>
      </c>
      <c r="L125" s="36">
        <f t="shared" si="26"/>
        <v>20325</v>
      </c>
      <c r="M125" s="36">
        <f t="shared" si="27"/>
        <v>0</v>
      </c>
      <c r="N125" s="36">
        <f t="shared" si="28"/>
        <v>33875</v>
      </c>
      <c r="O125" s="37">
        <f t="shared" si="37"/>
        <v>22</v>
      </c>
      <c r="P125" s="36">
        <f t="shared" si="38"/>
        <v>406500</v>
      </c>
      <c r="Q125" s="36">
        <f t="shared" si="29"/>
        <v>0</v>
      </c>
      <c r="R125" s="30">
        <f t="shared" si="30"/>
        <v>1982366.6666666667</v>
      </c>
      <c r="S125" s="30">
        <f>(R125-K125+L125-N125-Q125)*'Valores Vigentes'!$D$6</f>
        <v>72086</v>
      </c>
      <c r="T125" s="30">
        <f>(R125-K125+L125-N125-Q125)*'Valores Vigentes'!$D$7</f>
        <v>72086</v>
      </c>
      <c r="U125" s="36">
        <f>IF(H125&gt;'Valores Vigentes'!$D$4*4,H125*1%,0)</f>
        <v>0</v>
      </c>
      <c r="V125" s="36">
        <f t="shared" si="39"/>
        <v>0</v>
      </c>
      <c r="W125" s="36">
        <f t="shared" si="31"/>
        <v>48780</v>
      </c>
      <c r="X125" s="36">
        <f t="shared" si="32"/>
        <v>39647.333333333336</v>
      </c>
      <c r="Y125" s="30">
        <f t="shared" si="33"/>
        <v>232599.33333333334</v>
      </c>
      <c r="Z125" s="30">
        <f t="shared" si="34"/>
        <v>1749767.3333333335</v>
      </c>
    </row>
    <row r="126" spans="1:26" ht="15.75" customHeight="1" x14ac:dyDescent="0.25">
      <c r="A126" s="17" t="s">
        <v>177</v>
      </c>
      <c r="B126" s="17" t="s">
        <v>278</v>
      </c>
      <c r="C126" s="17">
        <v>6</v>
      </c>
      <c r="D126" s="17" t="s">
        <v>276</v>
      </c>
      <c r="E126" s="17" t="s">
        <v>277</v>
      </c>
      <c r="F126" s="17" t="s">
        <v>35</v>
      </c>
      <c r="G126" s="17" t="str">
        <f t="shared" si="35"/>
        <v>PROFESIONAL</v>
      </c>
      <c r="H126" s="30">
        <f t="shared" si="36"/>
        <v>2950000</v>
      </c>
      <c r="I126" s="16">
        <v>28</v>
      </c>
      <c r="J126" s="30">
        <f t="shared" si="25"/>
        <v>2753333.333333333</v>
      </c>
      <c r="K126" s="36">
        <f>IF(H126&lt;='Valores Vigentes'!D$4*2,'Valores Vigentes'!$D$5/30*I126,0)</f>
        <v>0</v>
      </c>
      <c r="L126" s="36">
        <f t="shared" si="26"/>
        <v>41299.999999999993</v>
      </c>
      <c r="M126" s="36">
        <f t="shared" si="27"/>
        <v>0</v>
      </c>
      <c r="N126" s="36">
        <f t="shared" si="28"/>
        <v>41299.999999999993</v>
      </c>
      <c r="O126" s="37">
        <f t="shared" si="37"/>
        <v>25</v>
      </c>
      <c r="P126" s="36">
        <f t="shared" si="38"/>
        <v>838068.18181818177</v>
      </c>
      <c r="Q126" s="36">
        <f t="shared" si="29"/>
        <v>0</v>
      </c>
      <c r="R126" s="30">
        <f t="shared" si="30"/>
        <v>3674001.5151515147</v>
      </c>
      <c r="S126" s="30">
        <f>(R126-K126+L126-N126-Q126)*'Valores Vigentes'!$D$6</f>
        <v>146960.06060606058</v>
      </c>
      <c r="T126" s="30">
        <f>(R126-K126+L126-N126-Q126)*'Valores Vigentes'!$D$7</f>
        <v>146960.06060606058</v>
      </c>
      <c r="U126" s="36">
        <f>IF(H126&gt;'Valores Vigentes'!$D$4*4,H126*1%,0)</f>
        <v>0</v>
      </c>
      <c r="V126" s="36">
        <f t="shared" si="39"/>
        <v>0</v>
      </c>
      <c r="W126" s="36">
        <f t="shared" si="31"/>
        <v>88500</v>
      </c>
      <c r="X126" s="36">
        <f t="shared" si="32"/>
        <v>0</v>
      </c>
      <c r="Y126" s="30">
        <f t="shared" si="33"/>
        <v>382420.12121212116</v>
      </c>
      <c r="Z126" s="30">
        <f t="shared" si="34"/>
        <v>3291581.3939393936</v>
      </c>
    </row>
    <row r="127" spans="1:26" ht="15.75" customHeight="1" x14ac:dyDescent="0.25">
      <c r="A127" s="17" t="s">
        <v>178</v>
      </c>
      <c r="B127" s="17" t="s">
        <v>275</v>
      </c>
      <c r="C127" s="17">
        <v>5</v>
      </c>
      <c r="D127" s="17" t="s">
        <v>276</v>
      </c>
      <c r="E127" s="17" t="s">
        <v>276</v>
      </c>
      <c r="F127" s="17" t="s">
        <v>37</v>
      </c>
      <c r="G127" s="17" t="str">
        <f t="shared" si="35"/>
        <v>ASESOR VENTAS</v>
      </c>
      <c r="H127" s="30">
        <f t="shared" si="36"/>
        <v>2650000</v>
      </c>
      <c r="I127" s="16">
        <v>27</v>
      </c>
      <c r="J127" s="30">
        <f t="shared" si="25"/>
        <v>2385000</v>
      </c>
      <c r="K127" s="36">
        <f>IF(H127&lt;='Valores Vigentes'!D$4*2,'Valores Vigentes'!$D$5/30*I127,0)</f>
        <v>180000</v>
      </c>
      <c r="L127" s="36">
        <f t="shared" si="26"/>
        <v>35775</v>
      </c>
      <c r="M127" s="36">
        <f t="shared" si="27"/>
        <v>0</v>
      </c>
      <c r="N127" s="36">
        <f t="shared" si="28"/>
        <v>59625</v>
      </c>
      <c r="O127" s="37">
        <f t="shared" si="37"/>
        <v>25</v>
      </c>
      <c r="P127" s="36">
        <f t="shared" si="38"/>
        <v>752840.90909090906</v>
      </c>
      <c r="Q127" s="36">
        <f t="shared" si="29"/>
        <v>0</v>
      </c>
      <c r="R127" s="30">
        <f t="shared" si="30"/>
        <v>3413240.9090909092</v>
      </c>
      <c r="S127" s="30">
        <f>(R127-K127+L127-N127-Q127)*'Valores Vigentes'!$D$6</f>
        <v>128375.63636363637</v>
      </c>
      <c r="T127" s="30">
        <f>(R127-K127+L127-N127-Q127)*'Valores Vigentes'!$D$7</f>
        <v>128375.63636363637</v>
      </c>
      <c r="U127" s="36">
        <f>IF(H127&gt;'Valores Vigentes'!$D$4*4,H127*1%,0)</f>
        <v>0</v>
      </c>
      <c r="V127" s="36">
        <f t="shared" si="39"/>
        <v>0</v>
      </c>
      <c r="W127" s="36">
        <f t="shared" si="31"/>
        <v>79500</v>
      </c>
      <c r="X127" s="36">
        <f t="shared" si="32"/>
        <v>68264.818181818191</v>
      </c>
      <c r="Y127" s="30">
        <f t="shared" si="33"/>
        <v>404516.09090909088</v>
      </c>
      <c r="Z127" s="30">
        <f t="shared" si="34"/>
        <v>3008724.8181818184</v>
      </c>
    </row>
    <row r="128" spans="1:26" ht="15.75" customHeight="1" x14ac:dyDescent="0.25">
      <c r="A128" s="17" t="s">
        <v>179</v>
      </c>
      <c r="B128" s="17" t="s">
        <v>275</v>
      </c>
      <c r="C128" s="17">
        <v>6</v>
      </c>
      <c r="D128" s="17" t="s">
        <v>276</v>
      </c>
      <c r="E128" s="17" t="s">
        <v>276</v>
      </c>
      <c r="F128" s="17" t="s">
        <v>35</v>
      </c>
      <c r="G128" s="17" t="str">
        <f t="shared" si="35"/>
        <v>PROFESIONAL</v>
      </c>
      <c r="H128" s="30">
        <f t="shared" si="36"/>
        <v>2950000</v>
      </c>
      <c r="I128" s="16">
        <v>28</v>
      </c>
      <c r="J128" s="30">
        <f t="shared" si="25"/>
        <v>2753333.333333333</v>
      </c>
      <c r="K128" s="36">
        <f>IF(H128&lt;='Valores Vigentes'!D$4*2,'Valores Vigentes'!$D$5/30*I128,0)</f>
        <v>0</v>
      </c>
      <c r="L128" s="36">
        <f t="shared" si="26"/>
        <v>41299.999999999993</v>
      </c>
      <c r="M128" s="36">
        <f t="shared" si="27"/>
        <v>0</v>
      </c>
      <c r="N128" s="36">
        <f t="shared" si="28"/>
        <v>68833.333333333328</v>
      </c>
      <c r="O128" s="37">
        <f t="shared" si="37"/>
        <v>13</v>
      </c>
      <c r="P128" s="36">
        <f t="shared" si="38"/>
        <v>435795.45454545453</v>
      </c>
      <c r="Q128" s="36">
        <f t="shared" si="29"/>
        <v>0</v>
      </c>
      <c r="R128" s="30">
        <f t="shared" si="30"/>
        <v>3299262.1212121211</v>
      </c>
      <c r="S128" s="30">
        <f>(R128-K128+L128-N128-Q128)*'Valores Vigentes'!$D$6</f>
        <v>130869.15151515151</v>
      </c>
      <c r="T128" s="30">
        <f>(R128-K128+L128-N128-Q128)*'Valores Vigentes'!$D$7</f>
        <v>130869.15151515151</v>
      </c>
      <c r="U128" s="36">
        <f>IF(H128&gt;'Valores Vigentes'!$D$4*4,H128*1%,0)</f>
        <v>0</v>
      </c>
      <c r="V128" s="36">
        <f t="shared" si="39"/>
        <v>0</v>
      </c>
      <c r="W128" s="36">
        <f t="shared" si="31"/>
        <v>88500</v>
      </c>
      <c r="X128" s="36">
        <f t="shared" si="32"/>
        <v>65985.242424242417</v>
      </c>
      <c r="Y128" s="30">
        <f t="shared" si="33"/>
        <v>416223.54545454541</v>
      </c>
      <c r="Z128" s="30">
        <f t="shared" si="34"/>
        <v>2883038.5757575757</v>
      </c>
    </row>
    <row r="129" spans="1:26" ht="15.75" customHeight="1" x14ac:dyDescent="0.25">
      <c r="A129" s="17" t="s">
        <v>180</v>
      </c>
      <c r="B129" s="17" t="s">
        <v>278</v>
      </c>
      <c r="C129" s="17">
        <v>8</v>
      </c>
      <c r="D129" s="17" t="s">
        <v>276</v>
      </c>
      <c r="E129" s="17" t="s">
        <v>276</v>
      </c>
      <c r="F129" s="17" t="s">
        <v>45</v>
      </c>
      <c r="G129" s="17" t="str">
        <f t="shared" si="35"/>
        <v>ASESOR</v>
      </c>
      <c r="H129" s="30">
        <f t="shared" si="36"/>
        <v>3900000</v>
      </c>
      <c r="I129" s="16">
        <v>26</v>
      </c>
      <c r="J129" s="30">
        <f t="shared" si="25"/>
        <v>3380000</v>
      </c>
      <c r="K129" s="36">
        <f>IF(H129&lt;='Valores Vigentes'!D$4*2,'Valores Vigentes'!$D$5/30*I129,0)</f>
        <v>0</v>
      </c>
      <c r="L129" s="36">
        <f t="shared" si="26"/>
        <v>50700</v>
      </c>
      <c r="M129" s="36">
        <f t="shared" si="27"/>
        <v>0</v>
      </c>
      <c r="N129" s="36">
        <f t="shared" si="28"/>
        <v>84500</v>
      </c>
      <c r="O129" s="37">
        <f t="shared" si="37"/>
        <v>19</v>
      </c>
      <c r="P129" s="36">
        <f t="shared" si="38"/>
        <v>842045.45454545459</v>
      </c>
      <c r="Q129" s="36">
        <f t="shared" si="29"/>
        <v>0</v>
      </c>
      <c r="R129" s="30">
        <f t="shared" si="30"/>
        <v>4357245.4545454551</v>
      </c>
      <c r="S129" s="30">
        <f>(R129-K129+L129-N129-Q129)*'Valores Vigentes'!$D$6</f>
        <v>172937.81818181821</v>
      </c>
      <c r="T129" s="30">
        <f>(R129-K129+L129-N129-Q129)*'Valores Vigentes'!$D$7</f>
        <v>172937.81818181821</v>
      </c>
      <c r="U129" s="36">
        <f>IF(H129&gt;'Valores Vigentes'!$D$4*4,H129*1%,0)</f>
        <v>0</v>
      </c>
      <c r="V129" s="36">
        <f t="shared" si="39"/>
        <v>65000</v>
      </c>
      <c r="W129" s="36">
        <f t="shared" si="31"/>
        <v>117000</v>
      </c>
      <c r="X129" s="36">
        <f t="shared" si="32"/>
        <v>87144.909090909103</v>
      </c>
      <c r="Y129" s="30">
        <f t="shared" si="33"/>
        <v>615020.54545454553</v>
      </c>
      <c r="Z129" s="30">
        <f t="shared" si="34"/>
        <v>3742224.9090909096</v>
      </c>
    </row>
    <row r="130" spans="1:26" ht="15.75" customHeight="1" x14ac:dyDescent="0.25">
      <c r="A130" s="17" t="s">
        <v>181</v>
      </c>
      <c r="B130" s="17" t="s">
        <v>278</v>
      </c>
      <c r="C130" s="17">
        <v>3</v>
      </c>
      <c r="D130" s="17" t="s">
        <v>276</v>
      </c>
      <c r="E130" s="17" t="s">
        <v>276</v>
      </c>
      <c r="F130" s="17" t="s">
        <v>49</v>
      </c>
      <c r="G130" s="17" t="str">
        <f t="shared" si="35"/>
        <v>SECRETARIAS</v>
      </c>
      <c r="H130" s="30">
        <f t="shared" si="36"/>
        <v>1813000</v>
      </c>
      <c r="I130" s="16">
        <v>28</v>
      </c>
      <c r="J130" s="30">
        <f t="shared" si="25"/>
        <v>1692133.3333333335</v>
      </c>
      <c r="K130" s="36">
        <f>IF(H130&lt;='Valores Vigentes'!D$4*2,'Valores Vigentes'!$D$5/30*I130,0)</f>
        <v>186666.66666666669</v>
      </c>
      <c r="L130" s="36">
        <f t="shared" si="26"/>
        <v>25382</v>
      </c>
      <c r="M130" s="36">
        <f t="shared" si="27"/>
        <v>0</v>
      </c>
      <c r="N130" s="36">
        <f t="shared" si="28"/>
        <v>42303.333333333343</v>
      </c>
      <c r="O130" s="37">
        <f t="shared" si="37"/>
        <v>11</v>
      </c>
      <c r="P130" s="36">
        <f t="shared" si="38"/>
        <v>226624.99999999997</v>
      </c>
      <c r="Q130" s="36">
        <f t="shared" si="29"/>
        <v>0</v>
      </c>
      <c r="R130" s="30">
        <f t="shared" si="30"/>
        <v>2173110.3333333335</v>
      </c>
      <c r="S130" s="30">
        <f>(R130-K130+L130-N130-Q130)*'Valores Vigentes'!$D$6</f>
        <v>78780.893333333341</v>
      </c>
      <c r="T130" s="30">
        <f>(R130-K130+L130-N130-Q130)*'Valores Vigentes'!$D$7</f>
        <v>78780.893333333341</v>
      </c>
      <c r="U130" s="36">
        <f>IF(H130&gt;'Valores Vigentes'!$D$4*4,H130*1%,0)</f>
        <v>0</v>
      </c>
      <c r="V130" s="36">
        <f t="shared" si="39"/>
        <v>0</v>
      </c>
      <c r="W130" s="36">
        <f t="shared" si="31"/>
        <v>54390</v>
      </c>
      <c r="X130" s="36">
        <f t="shared" si="32"/>
        <v>43462.206666666672</v>
      </c>
      <c r="Y130" s="30">
        <f t="shared" si="33"/>
        <v>255413.99333333335</v>
      </c>
      <c r="Z130" s="30">
        <f t="shared" si="34"/>
        <v>1917696.34</v>
      </c>
    </row>
    <row r="131" spans="1:26" ht="15.75" customHeight="1" x14ac:dyDescent="0.25">
      <c r="A131" s="17" t="s">
        <v>182</v>
      </c>
      <c r="B131" s="17" t="s">
        <v>278</v>
      </c>
      <c r="C131" s="17">
        <v>2</v>
      </c>
      <c r="D131" s="17" t="s">
        <v>276</v>
      </c>
      <c r="E131" s="17" t="s">
        <v>276</v>
      </c>
      <c r="F131" s="17" t="s">
        <v>31</v>
      </c>
      <c r="G131" s="17" t="str">
        <f t="shared" si="35"/>
        <v>ASISTENTES</v>
      </c>
      <c r="H131" s="30">
        <f t="shared" si="36"/>
        <v>1626000</v>
      </c>
      <c r="I131" s="16">
        <v>25</v>
      </c>
      <c r="J131" s="30">
        <f t="shared" si="25"/>
        <v>1355000</v>
      </c>
      <c r="K131" s="36">
        <f>IF(H131&lt;='Valores Vigentes'!D$4*2,'Valores Vigentes'!$D$5/30*I131,0)</f>
        <v>166666.66666666669</v>
      </c>
      <c r="L131" s="36">
        <f t="shared" si="26"/>
        <v>20325</v>
      </c>
      <c r="M131" s="36">
        <f t="shared" si="27"/>
        <v>47425.000000000007</v>
      </c>
      <c r="N131" s="36">
        <f t="shared" si="28"/>
        <v>33875</v>
      </c>
      <c r="O131" s="37">
        <f t="shared" si="37"/>
        <v>11</v>
      </c>
      <c r="P131" s="36">
        <f t="shared" si="38"/>
        <v>203250</v>
      </c>
      <c r="Q131" s="36">
        <f t="shared" si="29"/>
        <v>0</v>
      </c>
      <c r="R131" s="30">
        <f t="shared" si="30"/>
        <v>1826541.6666666667</v>
      </c>
      <c r="S131" s="30">
        <f>(R131-K131+L131-N131-Q131)*'Valores Vigentes'!$D$6</f>
        <v>65853</v>
      </c>
      <c r="T131" s="30">
        <f>(R131-K131+L131-N131-Q131)*'Valores Vigentes'!$D$7</f>
        <v>65853</v>
      </c>
      <c r="U131" s="36">
        <f>IF(H131&gt;'Valores Vigentes'!$D$4*4,H131*1%,0)</f>
        <v>0</v>
      </c>
      <c r="V131" s="36">
        <f t="shared" si="39"/>
        <v>0</v>
      </c>
      <c r="W131" s="36">
        <f t="shared" si="31"/>
        <v>48780</v>
      </c>
      <c r="X131" s="36">
        <f t="shared" si="32"/>
        <v>36530.833333333336</v>
      </c>
      <c r="Y131" s="30">
        <f t="shared" si="33"/>
        <v>217016.83333333334</v>
      </c>
      <c r="Z131" s="30">
        <f t="shared" si="34"/>
        <v>1609524.8333333335</v>
      </c>
    </row>
    <row r="132" spans="1:26" ht="15.75" customHeight="1" x14ac:dyDescent="0.25">
      <c r="A132" s="17" t="s">
        <v>183</v>
      </c>
      <c r="B132" s="17" t="s">
        <v>278</v>
      </c>
      <c r="C132" s="17">
        <v>1</v>
      </c>
      <c r="D132" s="17" t="s">
        <v>276</v>
      </c>
      <c r="E132" s="17" t="s">
        <v>277</v>
      </c>
      <c r="F132" s="17" t="s">
        <v>35</v>
      </c>
      <c r="G132" s="17" t="str">
        <f t="shared" si="35"/>
        <v>AUXILIAR ADMON</v>
      </c>
      <c r="H132" s="30">
        <f t="shared" si="36"/>
        <v>1423500</v>
      </c>
      <c r="I132" s="16">
        <v>30</v>
      </c>
      <c r="J132" s="30">
        <f t="shared" si="25"/>
        <v>1423500</v>
      </c>
      <c r="K132" s="36">
        <f>IF(H132&lt;='Valores Vigentes'!D$4*2,'Valores Vigentes'!$D$5/30*I132,0)</f>
        <v>200000</v>
      </c>
      <c r="L132" s="36">
        <f t="shared" si="26"/>
        <v>35587.5</v>
      </c>
      <c r="M132" s="36">
        <f t="shared" si="27"/>
        <v>0</v>
      </c>
      <c r="N132" s="36">
        <f t="shared" si="28"/>
        <v>21352.5</v>
      </c>
      <c r="O132" s="37">
        <f t="shared" si="37"/>
        <v>2</v>
      </c>
      <c r="P132" s="36">
        <f t="shared" si="38"/>
        <v>32352.272727272724</v>
      </c>
      <c r="Q132" s="36">
        <f t="shared" si="29"/>
        <v>0</v>
      </c>
      <c r="R132" s="30">
        <f t="shared" si="30"/>
        <v>1712792.2727272727</v>
      </c>
      <c r="S132" s="30">
        <f>(R132-K132+L132-N132-Q132)*'Valores Vigentes'!$D$6</f>
        <v>61081.090909090912</v>
      </c>
      <c r="T132" s="30">
        <f>(R132-K132+L132-N132-Q132)*'Valores Vigentes'!$D$7</f>
        <v>61081.090909090912</v>
      </c>
      <c r="U132" s="36">
        <f>IF(H132&gt;'Valores Vigentes'!$D$4*4,H132*1%,0)</f>
        <v>0</v>
      </c>
      <c r="V132" s="36">
        <f t="shared" si="39"/>
        <v>0</v>
      </c>
      <c r="W132" s="36">
        <f t="shared" si="31"/>
        <v>42705</v>
      </c>
      <c r="X132" s="36">
        <f t="shared" si="32"/>
        <v>0</v>
      </c>
      <c r="Y132" s="30">
        <f t="shared" si="33"/>
        <v>164867.18181818182</v>
      </c>
      <c r="Z132" s="30">
        <f t="shared" si="34"/>
        <v>1547925.0909090908</v>
      </c>
    </row>
    <row r="133" spans="1:26" ht="15.75" customHeight="1" x14ac:dyDescent="0.25">
      <c r="A133" s="17" t="s">
        <v>184</v>
      </c>
      <c r="B133" s="17" t="s">
        <v>275</v>
      </c>
      <c r="C133" s="17">
        <v>5</v>
      </c>
      <c r="D133" s="17" t="s">
        <v>276</v>
      </c>
      <c r="E133" s="17" t="s">
        <v>276</v>
      </c>
      <c r="F133" s="17" t="s">
        <v>31</v>
      </c>
      <c r="G133" s="17" t="str">
        <f t="shared" si="35"/>
        <v>ASESOR VENTAS</v>
      </c>
      <c r="H133" s="30">
        <f t="shared" si="36"/>
        <v>2650000</v>
      </c>
      <c r="I133" s="16">
        <v>30</v>
      </c>
      <c r="J133" s="30">
        <f t="shared" si="25"/>
        <v>2650000</v>
      </c>
      <c r="K133" s="36">
        <f>IF(H133&lt;='Valores Vigentes'!D$4*2,'Valores Vigentes'!$D$5/30*I133,0)</f>
        <v>200000</v>
      </c>
      <c r="L133" s="36">
        <f t="shared" si="26"/>
        <v>66250</v>
      </c>
      <c r="M133" s="36">
        <f t="shared" si="27"/>
        <v>92750.000000000015</v>
      </c>
      <c r="N133" s="36">
        <f t="shared" si="28"/>
        <v>66250</v>
      </c>
      <c r="O133" s="37">
        <f t="shared" si="37"/>
        <v>30</v>
      </c>
      <c r="P133" s="36">
        <f t="shared" si="38"/>
        <v>903409.09090909094</v>
      </c>
      <c r="Q133" s="36">
        <f t="shared" si="29"/>
        <v>0</v>
      </c>
      <c r="R133" s="30">
        <f t="shared" si="30"/>
        <v>3978659.0909090908</v>
      </c>
      <c r="S133" s="30">
        <f>(R133-K133+L133-N133-Q133)*'Valores Vigentes'!$D$6</f>
        <v>151146.36363636365</v>
      </c>
      <c r="T133" s="30">
        <f>(R133-K133+L133-N133-Q133)*'Valores Vigentes'!$D$7</f>
        <v>151146.36363636365</v>
      </c>
      <c r="U133" s="36">
        <f>IF(H133&gt;'Valores Vigentes'!$D$4*4,H133*1%,0)</f>
        <v>0</v>
      </c>
      <c r="V133" s="36">
        <f t="shared" si="39"/>
        <v>65000</v>
      </c>
      <c r="W133" s="36">
        <f t="shared" si="31"/>
        <v>79500</v>
      </c>
      <c r="X133" s="36">
        <f t="shared" si="32"/>
        <v>79573.181818181823</v>
      </c>
      <c r="Y133" s="30">
        <f t="shared" si="33"/>
        <v>526365.90909090918</v>
      </c>
      <c r="Z133" s="30">
        <f t="shared" si="34"/>
        <v>3452293.1818181816</v>
      </c>
    </row>
    <row r="134" spans="1:26" ht="15.75" customHeight="1" x14ac:dyDescent="0.25">
      <c r="A134" s="17" t="s">
        <v>185</v>
      </c>
      <c r="B134" s="17" t="s">
        <v>275</v>
      </c>
      <c r="C134" s="17">
        <v>7</v>
      </c>
      <c r="D134" s="17" t="s">
        <v>277</v>
      </c>
      <c r="E134" s="17" t="s">
        <v>276</v>
      </c>
      <c r="F134" s="17" t="s">
        <v>45</v>
      </c>
      <c r="G134" s="17" t="str">
        <f t="shared" si="35"/>
        <v>COORDINADOR</v>
      </c>
      <c r="H134" s="30">
        <f t="shared" si="36"/>
        <v>3250000</v>
      </c>
      <c r="I134" s="16">
        <v>26</v>
      </c>
      <c r="J134" s="30">
        <f t="shared" si="25"/>
        <v>2816666.6666666665</v>
      </c>
      <c r="K134" s="36">
        <f>IF(H134&lt;='Valores Vigentes'!D$4*2,'Valores Vigentes'!$D$5/30*I134,0)</f>
        <v>0</v>
      </c>
      <c r="L134" s="36">
        <f t="shared" si="26"/>
        <v>42249.999999999993</v>
      </c>
      <c r="M134" s="36">
        <f t="shared" si="27"/>
        <v>0</v>
      </c>
      <c r="N134" s="36">
        <f t="shared" si="28"/>
        <v>42249.999999999993</v>
      </c>
      <c r="O134" s="37">
        <f t="shared" si="37"/>
        <v>24</v>
      </c>
      <c r="P134" s="36">
        <f t="shared" si="38"/>
        <v>886363.63636363624</v>
      </c>
      <c r="Q134" s="36">
        <f t="shared" si="29"/>
        <v>0</v>
      </c>
      <c r="R134" s="30">
        <f t="shared" si="30"/>
        <v>3787530.3030303027</v>
      </c>
      <c r="S134" s="30">
        <f>(R134-K134+L134-N134-Q134)*'Valores Vigentes'!$D$6</f>
        <v>151501.21212121213</v>
      </c>
      <c r="T134" s="30">
        <f>(R134-K134+L134-N134-Q134)*'Valores Vigentes'!$D$7</f>
        <v>151501.21212121213</v>
      </c>
      <c r="U134" s="36">
        <f>IF(H134&gt;'Valores Vigentes'!$D$4*4,H134*1%,0)</f>
        <v>0</v>
      </c>
      <c r="V134" s="36">
        <f t="shared" si="39"/>
        <v>0</v>
      </c>
      <c r="W134" s="36">
        <f t="shared" si="31"/>
        <v>0</v>
      </c>
      <c r="X134" s="36">
        <f t="shared" si="32"/>
        <v>75750.606060606064</v>
      </c>
      <c r="Y134" s="30">
        <f t="shared" si="33"/>
        <v>378753.03030303033</v>
      </c>
      <c r="Z134" s="30">
        <f t="shared" si="34"/>
        <v>3408777.2727272725</v>
      </c>
    </row>
    <row r="135" spans="1:26" ht="15.75" customHeight="1" x14ac:dyDescent="0.25">
      <c r="A135" s="17" t="s">
        <v>186</v>
      </c>
      <c r="B135" s="17" t="s">
        <v>275</v>
      </c>
      <c r="C135" s="17">
        <v>4</v>
      </c>
      <c r="D135" s="17" t="s">
        <v>277</v>
      </c>
      <c r="E135" s="17" t="s">
        <v>276</v>
      </c>
      <c r="F135" s="17" t="s">
        <v>31</v>
      </c>
      <c r="G135" s="17" t="str">
        <f t="shared" si="35"/>
        <v>TÉCNICO PROFESIONAL</v>
      </c>
      <c r="H135" s="30">
        <f t="shared" si="36"/>
        <v>2450000</v>
      </c>
      <c r="I135" s="16">
        <v>28</v>
      </c>
      <c r="J135" s="30">
        <f t="shared" si="25"/>
        <v>2286666.666666667</v>
      </c>
      <c r="K135" s="36">
        <f>IF(H135&lt;='Valores Vigentes'!D$4*2,'Valores Vigentes'!$D$5/30*I135,0)</f>
        <v>186666.66666666669</v>
      </c>
      <c r="L135" s="36">
        <f t="shared" si="26"/>
        <v>34300</v>
      </c>
      <c r="M135" s="36">
        <f t="shared" si="27"/>
        <v>80033.333333333358</v>
      </c>
      <c r="N135" s="36">
        <f t="shared" si="28"/>
        <v>34300</v>
      </c>
      <c r="O135" s="37">
        <f t="shared" si="37"/>
        <v>24</v>
      </c>
      <c r="P135" s="36">
        <f t="shared" si="38"/>
        <v>668181.81818181812</v>
      </c>
      <c r="Q135" s="36">
        <f t="shared" si="29"/>
        <v>0</v>
      </c>
      <c r="R135" s="30">
        <f t="shared" si="30"/>
        <v>3290148.4848484853</v>
      </c>
      <c r="S135" s="30">
        <f>(R135-K135+L135-N135-Q135)*'Valores Vigentes'!$D$6</f>
        <v>124139.27272727275</v>
      </c>
      <c r="T135" s="30">
        <f>(R135-K135+L135-N135-Q135)*'Valores Vigentes'!$D$7</f>
        <v>124139.27272727275</v>
      </c>
      <c r="U135" s="36">
        <f>IF(H135&gt;'Valores Vigentes'!$D$4*4,H135*1%,0)</f>
        <v>0</v>
      </c>
      <c r="V135" s="36">
        <f t="shared" si="39"/>
        <v>0</v>
      </c>
      <c r="W135" s="36">
        <f t="shared" si="31"/>
        <v>0</v>
      </c>
      <c r="X135" s="36">
        <f t="shared" si="32"/>
        <v>65802.969696969711</v>
      </c>
      <c r="Y135" s="30">
        <f t="shared" si="33"/>
        <v>314081.5151515152</v>
      </c>
      <c r="Z135" s="30">
        <f t="shared" si="34"/>
        <v>2976066.9696969702</v>
      </c>
    </row>
    <row r="136" spans="1:26" ht="15.75" customHeight="1" x14ac:dyDescent="0.25">
      <c r="A136" s="17" t="s">
        <v>187</v>
      </c>
      <c r="B136" s="17" t="s">
        <v>275</v>
      </c>
      <c r="C136" s="17">
        <v>3</v>
      </c>
      <c r="D136" s="17" t="s">
        <v>276</v>
      </c>
      <c r="E136" s="17" t="s">
        <v>277</v>
      </c>
      <c r="F136" s="17" t="s">
        <v>47</v>
      </c>
      <c r="G136" s="17" t="str">
        <f t="shared" si="35"/>
        <v>SECRETARIAS</v>
      </c>
      <c r="H136" s="30">
        <f t="shared" si="36"/>
        <v>1813000</v>
      </c>
      <c r="I136" s="16">
        <v>27</v>
      </c>
      <c r="J136" s="30">
        <f t="shared" si="25"/>
        <v>1631700</v>
      </c>
      <c r="K136" s="36">
        <f>IF(H136&lt;='Valores Vigentes'!D$4*2,'Valores Vigentes'!$D$5/30*I136,0)</f>
        <v>180000</v>
      </c>
      <c r="L136" s="36">
        <f t="shared" si="26"/>
        <v>24475.5</v>
      </c>
      <c r="M136" s="36">
        <f t="shared" si="27"/>
        <v>0</v>
      </c>
      <c r="N136" s="36">
        <f t="shared" si="28"/>
        <v>24475.5</v>
      </c>
      <c r="O136" s="37">
        <f t="shared" si="37"/>
        <v>20</v>
      </c>
      <c r="P136" s="36">
        <f t="shared" si="38"/>
        <v>412045.45454545447</v>
      </c>
      <c r="Q136" s="36">
        <f t="shared" si="29"/>
        <v>0</v>
      </c>
      <c r="R136" s="30">
        <f t="shared" si="30"/>
        <v>2272696.4545454546</v>
      </c>
      <c r="S136" s="30">
        <f>(R136-K136+L136-N136-Q136)*'Valores Vigentes'!$D$6</f>
        <v>83707.858181818185</v>
      </c>
      <c r="T136" s="30">
        <f>(R136-K136+L136-N136-Q136)*'Valores Vigentes'!$D$7</f>
        <v>83707.858181818185</v>
      </c>
      <c r="U136" s="36">
        <f>IF(H136&gt;'Valores Vigentes'!$D$4*4,H136*1%,0)</f>
        <v>0</v>
      </c>
      <c r="V136" s="36">
        <f t="shared" si="39"/>
        <v>0</v>
      </c>
      <c r="W136" s="36">
        <f t="shared" si="31"/>
        <v>54390</v>
      </c>
      <c r="X136" s="36">
        <f t="shared" si="32"/>
        <v>0</v>
      </c>
      <c r="Y136" s="30">
        <f t="shared" si="33"/>
        <v>221805.71636363637</v>
      </c>
      <c r="Z136" s="30">
        <f t="shared" si="34"/>
        <v>2050890.7381818183</v>
      </c>
    </row>
    <row r="137" spans="1:26" ht="15.75" customHeight="1" x14ac:dyDescent="0.25">
      <c r="A137" s="17" t="s">
        <v>188</v>
      </c>
      <c r="B137" s="17" t="s">
        <v>278</v>
      </c>
      <c r="C137" s="17">
        <v>7</v>
      </c>
      <c r="D137" s="17" t="s">
        <v>277</v>
      </c>
      <c r="E137" s="17" t="s">
        <v>276</v>
      </c>
      <c r="F137" s="17" t="s">
        <v>49</v>
      </c>
      <c r="G137" s="17" t="str">
        <f t="shared" si="35"/>
        <v>COORDINADOR</v>
      </c>
      <c r="H137" s="30">
        <f t="shared" si="36"/>
        <v>3250000</v>
      </c>
      <c r="I137" s="16">
        <v>28</v>
      </c>
      <c r="J137" s="30">
        <f t="shared" si="25"/>
        <v>3033333.333333333</v>
      </c>
      <c r="K137" s="36">
        <f>IF(H137&lt;='Valores Vigentes'!D$4*2,'Valores Vigentes'!$D$5/30*I137,0)</f>
        <v>0</v>
      </c>
      <c r="L137" s="36">
        <f t="shared" si="26"/>
        <v>45499.999999999993</v>
      </c>
      <c r="M137" s="36">
        <f t="shared" si="27"/>
        <v>0</v>
      </c>
      <c r="N137" s="36">
        <f t="shared" si="28"/>
        <v>45499.999999999993</v>
      </c>
      <c r="O137" s="37">
        <f t="shared" si="37"/>
        <v>6</v>
      </c>
      <c r="P137" s="36">
        <f t="shared" si="38"/>
        <v>221590.90909090906</v>
      </c>
      <c r="Q137" s="36">
        <f t="shared" si="29"/>
        <v>0</v>
      </c>
      <c r="R137" s="30">
        <f t="shared" si="30"/>
        <v>3345924.2424242422</v>
      </c>
      <c r="S137" s="30">
        <f>(R137-K137+L137-N137-Q137)*'Valores Vigentes'!$D$6</f>
        <v>133836.9696969697</v>
      </c>
      <c r="T137" s="30">
        <f>(R137-K137+L137-N137-Q137)*'Valores Vigentes'!$D$7</f>
        <v>133836.9696969697</v>
      </c>
      <c r="U137" s="36">
        <f>IF(H137&gt;'Valores Vigentes'!$D$4*4,H137*1%,0)</f>
        <v>0</v>
      </c>
      <c r="V137" s="36">
        <f t="shared" si="39"/>
        <v>0</v>
      </c>
      <c r="W137" s="36">
        <f t="shared" si="31"/>
        <v>0</v>
      </c>
      <c r="X137" s="36">
        <f t="shared" si="32"/>
        <v>66918.484848484848</v>
      </c>
      <c r="Y137" s="30">
        <f t="shared" si="33"/>
        <v>334592.42424242425</v>
      </c>
      <c r="Z137" s="30">
        <f t="shared" si="34"/>
        <v>3011331.8181818179</v>
      </c>
    </row>
    <row r="138" spans="1:26" ht="15.75" customHeight="1" x14ac:dyDescent="0.25">
      <c r="A138" s="17" t="s">
        <v>189</v>
      </c>
      <c r="B138" s="17" t="s">
        <v>278</v>
      </c>
      <c r="C138" s="17">
        <v>3</v>
      </c>
      <c r="D138" s="17" t="s">
        <v>276</v>
      </c>
      <c r="E138" s="17" t="s">
        <v>276</v>
      </c>
      <c r="F138" s="17" t="s">
        <v>35</v>
      </c>
      <c r="G138" s="17" t="str">
        <f t="shared" si="35"/>
        <v>SECRETARIAS</v>
      </c>
      <c r="H138" s="30">
        <f t="shared" si="36"/>
        <v>1813000</v>
      </c>
      <c r="I138" s="16">
        <v>29</v>
      </c>
      <c r="J138" s="30">
        <f t="shared" si="25"/>
        <v>1752566.6666666667</v>
      </c>
      <c r="K138" s="36">
        <f>IF(H138&lt;='Valores Vigentes'!D$4*2,'Valores Vigentes'!$D$5/30*I138,0)</f>
        <v>193333.33333333334</v>
      </c>
      <c r="L138" s="36">
        <f t="shared" si="26"/>
        <v>26288.5</v>
      </c>
      <c r="M138" s="36">
        <f t="shared" si="27"/>
        <v>0</v>
      </c>
      <c r="N138" s="36">
        <f t="shared" si="28"/>
        <v>43814.166666666672</v>
      </c>
      <c r="O138" s="37">
        <f t="shared" si="37"/>
        <v>4</v>
      </c>
      <c r="P138" s="36">
        <f t="shared" si="38"/>
        <v>82409.090909090897</v>
      </c>
      <c r="Q138" s="36">
        <f t="shared" si="29"/>
        <v>0</v>
      </c>
      <c r="R138" s="30">
        <f t="shared" si="30"/>
        <v>2098411.7575757578</v>
      </c>
      <c r="S138" s="30">
        <f>(R138-K138+L138-N138-Q138)*'Valores Vigentes'!$D$6</f>
        <v>75502.11030303032</v>
      </c>
      <c r="T138" s="30">
        <f>(R138-K138+L138-N138-Q138)*'Valores Vigentes'!$D$7</f>
        <v>75502.11030303032</v>
      </c>
      <c r="U138" s="36">
        <f>IF(H138&gt;'Valores Vigentes'!$D$4*4,H138*1%,0)</f>
        <v>0</v>
      </c>
      <c r="V138" s="36">
        <f t="shared" si="39"/>
        <v>0</v>
      </c>
      <c r="W138" s="36">
        <f t="shared" si="31"/>
        <v>54390</v>
      </c>
      <c r="X138" s="36">
        <f t="shared" si="32"/>
        <v>41968.23515151516</v>
      </c>
      <c r="Y138" s="30">
        <f t="shared" si="33"/>
        <v>247362.45575757581</v>
      </c>
      <c r="Z138" s="30">
        <f t="shared" si="34"/>
        <v>1851049.301818182</v>
      </c>
    </row>
    <row r="139" spans="1:26" ht="15.75" customHeight="1" x14ac:dyDescent="0.25">
      <c r="A139" s="17" t="s">
        <v>190</v>
      </c>
      <c r="B139" s="17" t="s">
        <v>278</v>
      </c>
      <c r="C139" s="17">
        <v>3</v>
      </c>
      <c r="D139" s="17" t="s">
        <v>276</v>
      </c>
      <c r="E139" s="17" t="s">
        <v>277</v>
      </c>
      <c r="F139" s="17" t="s">
        <v>31</v>
      </c>
      <c r="G139" s="17" t="str">
        <f t="shared" si="35"/>
        <v>SECRETARIAS</v>
      </c>
      <c r="H139" s="30">
        <f t="shared" si="36"/>
        <v>1813000</v>
      </c>
      <c r="I139" s="16">
        <v>25</v>
      </c>
      <c r="J139" s="30">
        <f t="shared" si="25"/>
        <v>1510833.3333333335</v>
      </c>
      <c r="K139" s="36">
        <f>IF(H139&lt;='Valores Vigentes'!D$4*2,'Valores Vigentes'!$D$5/30*I139,0)</f>
        <v>166666.66666666669</v>
      </c>
      <c r="L139" s="36">
        <f t="shared" si="26"/>
        <v>22662.5</v>
      </c>
      <c r="M139" s="36">
        <f t="shared" si="27"/>
        <v>52879.166666666679</v>
      </c>
      <c r="N139" s="36">
        <f t="shared" si="28"/>
        <v>22662.5</v>
      </c>
      <c r="O139" s="37">
        <f t="shared" si="37"/>
        <v>6</v>
      </c>
      <c r="P139" s="36">
        <f t="shared" si="38"/>
        <v>123613.63636363635</v>
      </c>
      <c r="Q139" s="36">
        <f t="shared" si="29"/>
        <v>0</v>
      </c>
      <c r="R139" s="30">
        <f t="shared" si="30"/>
        <v>1899317.8030303032</v>
      </c>
      <c r="S139" s="30">
        <f>(R139-K139+L139-N139-Q139)*'Valores Vigentes'!$D$6</f>
        <v>69306.045454545456</v>
      </c>
      <c r="T139" s="30">
        <f>(R139-K139+L139-N139-Q139)*'Valores Vigentes'!$D$7</f>
        <v>69306.045454545456</v>
      </c>
      <c r="U139" s="36">
        <f>IF(H139&gt;'Valores Vigentes'!$D$4*4,H139*1%,0)</f>
        <v>0</v>
      </c>
      <c r="V139" s="36">
        <f t="shared" si="39"/>
        <v>0</v>
      </c>
      <c r="W139" s="36">
        <f t="shared" si="31"/>
        <v>54390</v>
      </c>
      <c r="X139" s="36">
        <f t="shared" si="32"/>
        <v>0</v>
      </c>
      <c r="Y139" s="30">
        <f t="shared" si="33"/>
        <v>193002.09090909091</v>
      </c>
      <c r="Z139" s="30">
        <f t="shared" si="34"/>
        <v>1706315.7121212124</v>
      </c>
    </row>
    <row r="140" spans="1:26" ht="15.75" customHeight="1" x14ac:dyDescent="0.25">
      <c r="A140" s="17" t="s">
        <v>191</v>
      </c>
      <c r="B140" s="17" t="s">
        <v>278</v>
      </c>
      <c r="C140" s="17">
        <v>6</v>
      </c>
      <c r="D140" s="17" t="s">
        <v>276</v>
      </c>
      <c r="E140" s="17" t="s">
        <v>276</v>
      </c>
      <c r="F140" s="17" t="s">
        <v>35</v>
      </c>
      <c r="G140" s="17" t="str">
        <f t="shared" si="35"/>
        <v>PROFESIONAL</v>
      </c>
      <c r="H140" s="30">
        <f t="shared" si="36"/>
        <v>2950000</v>
      </c>
      <c r="I140" s="16">
        <v>29</v>
      </c>
      <c r="J140" s="30">
        <f t="shared" si="25"/>
        <v>2851666.6666666665</v>
      </c>
      <c r="K140" s="36">
        <f>IF(H140&lt;='Valores Vigentes'!D$4*2,'Valores Vigentes'!$D$5/30*I140,0)</f>
        <v>0</v>
      </c>
      <c r="L140" s="36">
        <f t="shared" si="26"/>
        <v>42774.999999999993</v>
      </c>
      <c r="M140" s="36">
        <f t="shared" si="27"/>
        <v>0</v>
      </c>
      <c r="N140" s="36">
        <f t="shared" si="28"/>
        <v>71291.666666666672</v>
      </c>
      <c r="O140" s="37">
        <f t="shared" si="37"/>
        <v>27</v>
      </c>
      <c r="P140" s="36">
        <f t="shared" si="38"/>
        <v>905113.63636363635</v>
      </c>
      <c r="Q140" s="36">
        <f t="shared" si="29"/>
        <v>0</v>
      </c>
      <c r="R140" s="30">
        <f t="shared" si="30"/>
        <v>3870846.9696969693</v>
      </c>
      <c r="S140" s="30">
        <f>(R140-K140+L140-N140-Q140)*'Valores Vigentes'!$D$6</f>
        <v>153693.21212121213</v>
      </c>
      <c r="T140" s="30">
        <f>(R140-K140+L140-N140-Q140)*'Valores Vigentes'!$D$7</f>
        <v>153693.21212121213</v>
      </c>
      <c r="U140" s="36">
        <f>IF(H140&gt;'Valores Vigentes'!$D$4*4,H140*1%,0)</f>
        <v>0</v>
      </c>
      <c r="V140" s="36">
        <f t="shared" si="39"/>
        <v>0</v>
      </c>
      <c r="W140" s="36">
        <f t="shared" si="31"/>
        <v>88500</v>
      </c>
      <c r="X140" s="36">
        <f t="shared" si="32"/>
        <v>77416.939393939392</v>
      </c>
      <c r="Y140" s="30">
        <f t="shared" si="33"/>
        <v>473303.36363636365</v>
      </c>
      <c r="Z140" s="30">
        <f t="shared" si="34"/>
        <v>3397543.6060606055</v>
      </c>
    </row>
    <row r="141" spans="1:26" ht="15.75" customHeight="1" x14ac:dyDescent="0.25">
      <c r="A141" s="17" t="s">
        <v>192</v>
      </c>
      <c r="B141" s="17" t="s">
        <v>278</v>
      </c>
      <c r="C141" s="17">
        <v>5</v>
      </c>
      <c r="D141" s="17" t="s">
        <v>277</v>
      </c>
      <c r="E141" s="17" t="s">
        <v>276</v>
      </c>
      <c r="F141" s="17" t="s">
        <v>51</v>
      </c>
      <c r="G141" s="17" t="str">
        <f t="shared" si="35"/>
        <v>ASESOR VENTAS</v>
      </c>
      <c r="H141" s="30">
        <f t="shared" si="36"/>
        <v>2650000</v>
      </c>
      <c r="I141" s="16">
        <v>30</v>
      </c>
      <c r="J141" s="30">
        <f t="shared" si="25"/>
        <v>2650000</v>
      </c>
      <c r="K141" s="36">
        <f>IF(H141&lt;='Valores Vigentes'!D$4*2,'Valores Vigentes'!$D$5/30*I141,0)</f>
        <v>200000</v>
      </c>
      <c r="L141" s="36">
        <f t="shared" si="26"/>
        <v>66250</v>
      </c>
      <c r="M141" s="36">
        <f t="shared" si="27"/>
        <v>0</v>
      </c>
      <c r="N141" s="36">
        <f t="shared" si="28"/>
        <v>39750</v>
      </c>
      <c r="O141" s="37">
        <f t="shared" si="37"/>
        <v>10</v>
      </c>
      <c r="P141" s="36">
        <f t="shared" si="38"/>
        <v>301136.36363636365</v>
      </c>
      <c r="Q141" s="36">
        <f t="shared" si="29"/>
        <v>0</v>
      </c>
      <c r="R141" s="30">
        <f t="shared" si="30"/>
        <v>3257136.3636363638</v>
      </c>
      <c r="S141" s="30">
        <f>(R141-K141+L141-N141-Q141)*'Valores Vigentes'!$D$6</f>
        <v>123345.45454545456</v>
      </c>
      <c r="T141" s="30">
        <f>(R141-K141+L141-N141-Q141)*'Valores Vigentes'!$D$7</f>
        <v>123345.45454545456</v>
      </c>
      <c r="U141" s="36">
        <f>IF(H141&gt;'Valores Vigentes'!$D$4*4,H141*1%,0)</f>
        <v>0</v>
      </c>
      <c r="V141" s="36">
        <f t="shared" si="39"/>
        <v>0</v>
      </c>
      <c r="W141" s="36">
        <f t="shared" si="31"/>
        <v>0</v>
      </c>
      <c r="X141" s="36">
        <f t="shared" si="32"/>
        <v>65142.727272727279</v>
      </c>
      <c r="Y141" s="30">
        <f t="shared" si="33"/>
        <v>311833.63636363641</v>
      </c>
      <c r="Z141" s="30">
        <f t="shared" si="34"/>
        <v>2945302.7272727275</v>
      </c>
    </row>
    <row r="142" spans="1:26" ht="15.75" customHeight="1" x14ac:dyDescent="0.25">
      <c r="A142" s="17" t="s">
        <v>193</v>
      </c>
      <c r="B142" s="17" t="s">
        <v>275</v>
      </c>
      <c r="C142" s="17">
        <v>1</v>
      </c>
      <c r="D142" s="17" t="s">
        <v>277</v>
      </c>
      <c r="E142" s="17" t="s">
        <v>276</v>
      </c>
      <c r="F142" s="17" t="s">
        <v>31</v>
      </c>
      <c r="G142" s="17" t="str">
        <f t="shared" si="35"/>
        <v>AUXILIAR ADMON</v>
      </c>
      <c r="H142" s="30">
        <f t="shared" si="36"/>
        <v>1423500</v>
      </c>
      <c r="I142" s="16">
        <v>28</v>
      </c>
      <c r="J142" s="30">
        <f t="shared" si="25"/>
        <v>1328600</v>
      </c>
      <c r="K142" s="36">
        <f>IF(H142&lt;='Valores Vigentes'!D$4*2,'Valores Vigentes'!$D$5/30*I142,0)</f>
        <v>186666.66666666669</v>
      </c>
      <c r="L142" s="36">
        <f t="shared" si="26"/>
        <v>19929</v>
      </c>
      <c r="M142" s="36">
        <f t="shared" si="27"/>
        <v>46501.000000000007</v>
      </c>
      <c r="N142" s="36">
        <f t="shared" si="28"/>
        <v>19929</v>
      </c>
      <c r="O142" s="37">
        <f t="shared" si="37"/>
        <v>5</v>
      </c>
      <c r="P142" s="36">
        <f t="shared" si="38"/>
        <v>80880.681818181809</v>
      </c>
      <c r="Q142" s="36">
        <f t="shared" si="29"/>
        <v>0</v>
      </c>
      <c r="R142" s="30">
        <f t="shared" si="30"/>
        <v>1682506.3484848486</v>
      </c>
      <c r="S142" s="30">
        <f>(R142-K142+L142-N142-Q142)*'Valores Vigentes'!$D$6</f>
        <v>59833.58727272728</v>
      </c>
      <c r="T142" s="30">
        <f>(R142-K142+L142-N142-Q142)*'Valores Vigentes'!$D$7</f>
        <v>59833.58727272728</v>
      </c>
      <c r="U142" s="36">
        <f>IF(H142&gt;'Valores Vigentes'!$D$4*4,H142*1%,0)</f>
        <v>0</v>
      </c>
      <c r="V142" s="36">
        <f t="shared" si="39"/>
        <v>0</v>
      </c>
      <c r="W142" s="36">
        <f t="shared" si="31"/>
        <v>0</v>
      </c>
      <c r="X142" s="36">
        <f t="shared" si="32"/>
        <v>33650.126969696976</v>
      </c>
      <c r="Y142" s="30">
        <f t="shared" si="33"/>
        <v>153317.30151515154</v>
      </c>
      <c r="Z142" s="30">
        <f t="shared" si="34"/>
        <v>1529189.0469696971</v>
      </c>
    </row>
    <row r="143" spans="1:26" ht="15.75" customHeight="1" x14ac:dyDescent="0.25">
      <c r="A143" s="17" t="s">
        <v>194</v>
      </c>
      <c r="B143" s="17" t="s">
        <v>278</v>
      </c>
      <c r="C143" s="17">
        <v>7</v>
      </c>
      <c r="D143" s="17" t="s">
        <v>276</v>
      </c>
      <c r="E143" s="17" t="s">
        <v>277</v>
      </c>
      <c r="F143" s="17" t="s">
        <v>31</v>
      </c>
      <c r="G143" s="17" t="str">
        <f t="shared" ref="G143:G174" si="40">VLOOKUP(C143,SALARIOSACTUALES,2,0)</f>
        <v>COORDINADOR</v>
      </c>
      <c r="H143" s="30">
        <f t="shared" ref="H143:H174" si="41">VLOOKUP(C143,SALARIOSACTUALES,3,0)</f>
        <v>3250000</v>
      </c>
      <c r="I143" s="16">
        <v>25</v>
      </c>
      <c r="J143" s="30">
        <f t="shared" si="25"/>
        <v>2708333.333333333</v>
      </c>
      <c r="K143" s="36">
        <f>IF(H143&lt;='Valores Vigentes'!D$4*2,'Valores Vigentes'!$D$5/30*I143,0)</f>
        <v>0</v>
      </c>
      <c r="L143" s="36">
        <f t="shared" si="26"/>
        <v>40624.999999999993</v>
      </c>
      <c r="M143" s="36">
        <f t="shared" si="27"/>
        <v>94791.666666666672</v>
      </c>
      <c r="N143" s="36">
        <f t="shared" si="28"/>
        <v>40624.999999999993</v>
      </c>
      <c r="O143" s="37">
        <f t="shared" ref="O143:O174" si="42">VLOOKUP(A143,HORASEXTRAS,11,0)</f>
        <v>26</v>
      </c>
      <c r="P143" s="36">
        <f t="shared" ref="P143:P174" si="43">VLOOKUP(A143,HORASEXTRAS,10,0)</f>
        <v>960227.27272727259</v>
      </c>
      <c r="Q143" s="36">
        <f t="shared" si="29"/>
        <v>0</v>
      </c>
      <c r="R143" s="30">
        <f t="shared" si="30"/>
        <v>3844602.272727272</v>
      </c>
      <c r="S143" s="30">
        <f>(R143-K143+L143-N143-Q143)*'Valores Vigentes'!$D$6</f>
        <v>153784.09090909088</v>
      </c>
      <c r="T143" s="30">
        <f>(R143-K143+L143-N143-Q143)*'Valores Vigentes'!$D$7</f>
        <v>153784.09090909088</v>
      </c>
      <c r="U143" s="36">
        <f>IF(H143&gt;'Valores Vigentes'!$D$4*4,H143*1%,0)</f>
        <v>0</v>
      </c>
      <c r="V143" s="36">
        <f t="shared" ref="V143:V174" si="44">HLOOKUP(R143,RETEFUENTE,2,1)</f>
        <v>0</v>
      </c>
      <c r="W143" s="36">
        <f t="shared" si="31"/>
        <v>97500</v>
      </c>
      <c r="X143" s="36">
        <f t="shared" si="32"/>
        <v>0</v>
      </c>
      <c r="Y143" s="30">
        <f t="shared" si="33"/>
        <v>405068.18181818177</v>
      </c>
      <c r="Z143" s="30">
        <f t="shared" si="34"/>
        <v>3439534.0909090904</v>
      </c>
    </row>
    <row r="144" spans="1:26" ht="15.75" customHeight="1" x14ac:dyDescent="0.25">
      <c r="A144" s="17" t="s">
        <v>195</v>
      </c>
      <c r="B144" s="17" t="s">
        <v>278</v>
      </c>
      <c r="C144" s="17">
        <v>4</v>
      </c>
      <c r="D144" s="17" t="s">
        <v>277</v>
      </c>
      <c r="E144" s="17" t="s">
        <v>276</v>
      </c>
      <c r="F144" s="17" t="s">
        <v>37</v>
      </c>
      <c r="G144" s="17" t="str">
        <f t="shared" si="40"/>
        <v>TÉCNICO PROFESIONAL</v>
      </c>
      <c r="H144" s="30">
        <f t="shared" si="41"/>
        <v>2450000</v>
      </c>
      <c r="I144" s="16">
        <v>28</v>
      </c>
      <c r="J144" s="30">
        <f t="shared" ref="J144:J185" si="45">H144/30*I144</f>
        <v>2286666.666666667</v>
      </c>
      <c r="K144" s="36">
        <f>IF(H144&lt;='Valores Vigentes'!D$4*2,'Valores Vigentes'!$D$5/30*I144,0)</f>
        <v>186666.66666666669</v>
      </c>
      <c r="L144" s="36">
        <f t="shared" ref="L144:L185" si="46">IF(I144=30,J144*2.5%,J144*1.5%)</f>
        <v>34300</v>
      </c>
      <c r="M144" s="36">
        <f t="shared" ref="M144:M185" si="47">IF(F144="VENTAS",J144*3.5%,0)</f>
        <v>0</v>
      </c>
      <c r="N144" s="36">
        <f t="shared" ref="N144:N185" si="48">IF(AND(D144="SI",E144="SI"),J144*2.5%,IF(OR(D144="SI",E144="SI"),J144*1.5%,J144*1%))</f>
        <v>34300</v>
      </c>
      <c r="O144" s="37">
        <f t="shared" si="42"/>
        <v>14</v>
      </c>
      <c r="P144" s="36">
        <f t="shared" si="43"/>
        <v>389772.72727272724</v>
      </c>
      <c r="Q144" s="36">
        <f t="shared" ref="Q144:Q185" si="49">IF(OR(C144=9,C144=10),H144*15%,0)</f>
        <v>0</v>
      </c>
      <c r="R144" s="30">
        <f t="shared" ref="R144:R185" si="50">SUM(J144:Q144)-O144</f>
        <v>2931706.0606060605</v>
      </c>
      <c r="S144" s="30">
        <f>(R144-K144+L144-N144-Q144)*'Valores Vigentes'!$D$6</f>
        <v>109801.57575757576</v>
      </c>
      <c r="T144" s="30">
        <f>(R144-K144+L144-N144-Q144)*'Valores Vigentes'!$D$7</f>
        <v>109801.57575757576</v>
      </c>
      <c r="U144" s="36">
        <f>IF(H144&gt;'Valores Vigentes'!$D$4*4,H144*1%,0)</f>
        <v>0</v>
      </c>
      <c r="V144" s="36">
        <f t="shared" si="44"/>
        <v>0</v>
      </c>
      <c r="W144" s="36">
        <f t="shared" ref="W144:W185" si="51">IF(D144="SI",H144*3%,0)</f>
        <v>0</v>
      </c>
      <c r="X144" s="36">
        <f t="shared" ref="X144:X185" si="52">IF(E144="SI",R144*2%,0)</f>
        <v>58634.121212121216</v>
      </c>
      <c r="Y144" s="30">
        <f t="shared" ref="Y144:Y185" si="53">SUM(S144:X144)</f>
        <v>278237.27272727271</v>
      </c>
      <c r="Z144" s="30">
        <f t="shared" ref="Z144:Z185" si="54">R144-Y144</f>
        <v>2653468.7878787881</v>
      </c>
    </row>
    <row r="145" spans="1:26" ht="15.75" customHeight="1" x14ac:dyDescent="0.25">
      <c r="A145" s="17" t="s">
        <v>196</v>
      </c>
      <c r="B145" s="17" t="s">
        <v>275</v>
      </c>
      <c r="C145" s="17">
        <v>3</v>
      </c>
      <c r="D145" s="17" t="s">
        <v>277</v>
      </c>
      <c r="E145" s="17" t="s">
        <v>276</v>
      </c>
      <c r="F145" s="17" t="s">
        <v>33</v>
      </c>
      <c r="G145" s="17" t="str">
        <f t="shared" si="40"/>
        <v>SECRETARIAS</v>
      </c>
      <c r="H145" s="30">
        <f t="shared" si="41"/>
        <v>1813000</v>
      </c>
      <c r="I145" s="16">
        <v>27</v>
      </c>
      <c r="J145" s="30">
        <f t="shared" si="45"/>
        <v>1631700</v>
      </c>
      <c r="K145" s="36">
        <f>IF(H145&lt;='Valores Vigentes'!D$4*2,'Valores Vigentes'!$D$5/30*I145,0)</f>
        <v>180000</v>
      </c>
      <c r="L145" s="36">
        <f t="shared" si="46"/>
        <v>24475.5</v>
      </c>
      <c r="M145" s="36">
        <f t="shared" si="47"/>
        <v>0</v>
      </c>
      <c r="N145" s="36">
        <f t="shared" si="48"/>
        <v>24475.5</v>
      </c>
      <c r="O145" s="37">
        <f t="shared" si="42"/>
        <v>11</v>
      </c>
      <c r="P145" s="36">
        <f t="shared" si="43"/>
        <v>226624.99999999997</v>
      </c>
      <c r="Q145" s="36">
        <f t="shared" si="49"/>
        <v>0</v>
      </c>
      <c r="R145" s="30">
        <f t="shared" si="50"/>
        <v>2087276</v>
      </c>
      <c r="S145" s="30">
        <f>(R145-K145+L145-N145-Q145)*'Valores Vigentes'!$D$6</f>
        <v>76291.040000000008</v>
      </c>
      <c r="T145" s="30">
        <f>(R145-K145+L145-N145-Q145)*'Valores Vigentes'!$D$7</f>
        <v>76291.040000000008</v>
      </c>
      <c r="U145" s="36">
        <f>IF(H145&gt;'Valores Vigentes'!$D$4*4,H145*1%,0)</f>
        <v>0</v>
      </c>
      <c r="V145" s="36">
        <f t="shared" si="44"/>
        <v>0</v>
      </c>
      <c r="W145" s="36">
        <f t="shared" si="51"/>
        <v>0</v>
      </c>
      <c r="X145" s="36">
        <f t="shared" si="52"/>
        <v>41745.520000000004</v>
      </c>
      <c r="Y145" s="30">
        <f t="shared" si="53"/>
        <v>194327.60000000003</v>
      </c>
      <c r="Z145" s="30">
        <f t="shared" si="54"/>
        <v>1892948.4</v>
      </c>
    </row>
    <row r="146" spans="1:26" ht="15.75" customHeight="1" x14ac:dyDescent="0.25">
      <c r="A146" s="17" t="s">
        <v>197</v>
      </c>
      <c r="B146" s="17" t="s">
        <v>278</v>
      </c>
      <c r="C146" s="17">
        <v>2</v>
      </c>
      <c r="D146" s="17" t="s">
        <v>276</v>
      </c>
      <c r="E146" s="17" t="s">
        <v>277</v>
      </c>
      <c r="F146" s="17" t="s">
        <v>35</v>
      </c>
      <c r="G146" s="17" t="str">
        <f t="shared" si="40"/>
        <v>ASISTENTES</v>
      </c>
      <c r="H146" s="30">
        <f t="shared" si="41"/>
        <v>1626000</v>
      </c>
      <c r="I146" s="16">
        <v>25</v>
      </c>
      <c r="J146" s="30">
        <f t="shared" si="45"/>
        <v>1355000</v>
      </c>
      <c r="K146" s="36">
        <f>IF(H146&lt;='Valores Vigentes'!D$4*2,'Valores Vigentes'!$D$5/30*I146,0)</f>
        <v>166666.66666666669</v>
      </c>
      <c r="L146" s="36">
        <f t="shared" si="46"/>
        <v>20325</v>
      </c>
      <c r="M146" s="36">
        <f t="shared" si="47"/>
        <v>0</v>
      </c>
      <c r="N146" s="36">
        <f t="shared" si="48"/>
        <v>20325</v>
      </c>
      <c r="O146" s="37">
        <f t="shared" si="42"/>
        <v>20</v>
      </c>
      <c r="P146" s="36">
        <f t="shared" si="43"/>
        <v>369545.45454545459</v>
      </c>
      <c r="Q146" s="36">
        <f t="shared" si="49"/>
        <v>0</v>
      </c>
      <c r="R146" s="30">
        <f t="shared" si="50"/>
        <v>1931862.1212121213</v>
      </c>
      <c r="S146" s="30">
        <f>(R146-K146+L146-N146-Q146)*'Valores Vigentes'!$D$6</f>
        <v>70607.818181818191</v>
      </c>
      <c r="T146" s="30">
        <f>(R146-K146+L146-N146-Q146)*'Valores Vigentes'!$D$7</f>
        <v>70607.818181818191</v>
      </c>
      <c r="U146" s="36">
        <f>IF(H146&gt;'Valores Vigentes'!$D$4*4,H146*1%,0)</f>
        <v>0</v>
      </c>
      <c r="V146" s="36">
        <f t="shared" si="44"/>
        <v>0</v>
      </c>
      <c r="W146" s="36">
        <f t="shared" si="51"/>
        <v>48780</v>
      </c>
      <c r="X146" s="36">
        <f t="shared" si="52"/>
        <v>0</v>
      </c>
      <c r="Y146" s="30">
        <f t="shared" si="53"/>
        <v>189995.63636363638</v>
      </c>
      <c r="Z146" s="30">
        <f t="shared" si="54"/>
        <v>1741866.4848484849</v>
      </c>
    </row>
    <row r="147" spans="1:26" ht="15.75" customHeight="1" x14ac:dyDescent="0.25">
      <c r="A147" s="17" t="s">
        <v>198</v>
      </c>
      <c r="B147" s="17" t="s">
        <v>278</v>
      </c>
      <c r="C147" s="17">
        <v>2</v>
      </c>
      <c r="D147" s="17" t="s">
        <v>276</v>
      </c>
      <c r="E147" s="17" t="s">
        <v>277</v>
      </c>
      <c r="F147" s="17" t="s">
        <v>31</v>
      </c>
      <c r="G147" s="17" t="str">
        <f t="shared" si="40"/>
        <v>ASISTENTES</v>
      </c>
      <c r="H147" s="30">
        <f t="shared" si="41"/>
        <v>1626000</v>
      </c>
      <c r="I147" s="16">
        <v>25</v>
      </c>
      <c r="J147" s="30">
        <f t="shared" si="45"/>
        <v>1355000</v>
      </c>
      <c r="K147" s="36">
        <f>IF(H147&lt;='Valores Vigentes'!D$4*2,'Valores Vigentes'!$D$5/30*I147,0)</f>
        <v>166666.66666666669</v>
      </c>
      <c r="L147" s="36">
        <f t="shared" si="46"/>
        <v>20325</v>
      </c>
      <c r="M147" s="36">
        <f t="shared" si="47"/>
        <v>47425.000000000007</v>
      </c>
      <c r="N147" s="36">
        <f t="shared" si="48"/>
        <v>20325</v>
      </c>
      <c r="O147" s="37">
        <f t="shared" si="42"/>
        <v>4</v>
      </c>
      <c r="P147" s="36">
        <f t="shared" si="43"/>
        <v>73909.090909090912</v>
      </c>
      <c r="Q147" s="36">
        <f t="shared" si="49"/>
        <v>0</v>
      </c>
      <c r="R147" s="30">
        <f t="shared" si="50"/>
        <v>1683650.7575757576</v>
      </c>
      <c r="S147" s="30">
        <f>(R147-K147+L147-N147-Q147)*'Valores Vigentes'!$D$6</f>
        <v>60679.363636363632</v>
      </c>
      <c r="T147" s="30">
        <f>(R147-K147+L147-N147-Q147)*'Valores Vigentes'!$D$7</f>
        <v>60679.363636363632</v>
      </c>
      <c r="U147" s="36">
        <f>IF(H147&gt;'Valores Vigentes'!$D$4*4,H147*1%,0)</f>
        <v>0</v>
      </c>
      <c r="V147" s="36">
        <f t="shared" si="44"/>
        <v>0</v>
      </c>
      <c r="W147" s="36">
        <f t="shared" si="51"/>
        <v>48780</v>
      </c>
      <c r="X147" s="36">
        <f t="shared" si="52"/>
        <v>0</v>
      </c>
      <c r="Y147" s="30">
        <f t="shared" si="53"/>
        <v>170138.72727272726</v>
      </c>
      <c r="Z147" s="30">
        <f t="shared" si="54"/>
        <v>1513512.0303030303</v>
      </c>
    </row>
    <row r="148" spans="1:26" ht="15.75" customHeight="1" x14ac:dyDescent="0.25">
      <c r="A148" s="17" t="s">
        <v>199</v>
      </c>
      <c r="B148" s="17" t="s">
        <v>278</v>
      </c>
      <c r="C148" s="17">
        <v>8</v>
      </c>
      <c r="D148" s="17" t="s">
        <v>276</v>
      </c>
      <c r="E148" s="17" t="s">
        <v>276</v>
      </c>
      <c r="F148" s="17" t="s">
        <v>31</v>
      </c>
      <c r="G148" s="17" t="str">
        <f t="shared" si="40"/>
        <v>ASESOR</v>
      </c>
      <c r="H148" s="30">
        <f t="shared" si="41"/>
        <v>3900000</v>
      </c>
      <c r="I148" s="16">
        <v>25</v>
      </c>
      <c r="J148" s="30">
        <f t="shared" si="45"/>
        <v>3250000</v>
      </c>
      <c r="K148" s="36">
        <f>IF(H148&lt;='Valores Vigentes'!D$4*2,'Valores Vigentes'!$D$5/30*I148,0)</f>
        <v>0</v>
      </c>
      <c r="L148" s="36">
        <f t="shared" si="46"/>
        <v>48750</v>
      </c>
      <c r="M148" s="36">
        <f t="shared" si="47"/>
        <v>113750.00000000001</v>
      </c>
      <c r="N148" s="36">
        <f t="shared" si="48"/>
        <v>81250</v>
      </c>
      <c r="O148" s="37">
        <f t="shared" si="42"/>
        <v>8</v>
      </c>
      <c r="P148" s="36">
        <f t="shared" si="43"/>
        <v>354545.45454545459</v>
      </c>
      <c r="Q148" s="36">
        <f t="shared" si="49"/>
        <v>0</v>
      </c>
      <c r="R148" s="30">
        <f t="shared" si="50"/>
        <v>3848295.4545454546</v>
      </c>
      <c r="S148" s="30">
        <f>(R148-K148+L148-N148-Q148)*'Valores Vigentes'!$D$6</f>
        <v>152631.81818181818</v>
      </c>
      <c r="T148" s="30">
        <f>(R148-K148+L148-N148-Q148)*'Valores Vigentes'!$D$7</f>
        <v>152631.81818181818</v>
      </c>
      <c r="U148" s="36">
        <f>IF(H148&gt;'Valores Vigentes'!$D$4*4,H148*1%,0)</f>
        <v>0</v>
      </c>
      <c r="V148" s="36">
        <f t="shared" si="44"/>
        <v>0</v>
      </c>
      <c r="W148" s="36">
        <f t="shared" si="51"/>
        <v>117000</v>
      </c>
      <c r="X148" s="36">
        <f t="shared" si="52"/>
        <v>76965.909090909088</v>
      </c>
      <c r="Y148" s="30">
        <f t="shared" si="53"/>
        <v>499229.54545454541</v>
      </c>
      <c r="Z148" s="30">
        <f t="shared" si="54"/>
        <v>3349065.9090909092</v>
      </c>
    </row>
    <row r="149" spans="1:26" ht="15.75" customHeight="1" x14ac:dyDescent="0.25">
      <c r="A149" s="17" t="s">
        <v>200</v>
      </c>
      <c r="B149" s="17" t="s">
        <v>275</v>
      </c>
      <c r="C149" s="17">
        <v>2</v>
      </c>
      <c r="D149" s="17" t="s">
        <v>276</v>
      </c>
      <c r="E149" s="17" t="s">
        <v>276</v>
      </c>
      <c r="F149" s="17" t="s">
        <v>49</v>
      </c>
      <c r="G149" s="17" t="str">
        <f t="shared" si="40"/>
        <v>ASISTENTES</v>
      </c>
      <c r="H149" s="30">
        <f t="shared" si="41"/>
        <v>1626000</v>
      </c>
      <c r="I149" s="16">
        <v>28</v>
      </c>
      <c r="J149" s="30">
        <f t="shared" si="45"/>
        <v>1517600</v>
      </c>
      <c r="K149" s="36">
        <f>IF(H149&lt;='Valores Vigentes'!D$4*2,'Valores Vigentes'!$D$5/30*I149,0)</f>
        <v>186666.66666666669</v>
      </c>
      <c r="L149" s="36">
        <f t="shared" si="46"/>
        <v>22764</v>
      </c>
      <c r="M149" s="36">
        <f t="shared" si="47"/>
        <v>0</v>
      </c>
      <c r="N149" s="36">
        <f t="shared" si="48"/>
        <v>37940</v>
      </c>
      <c r="O149" s="37">
        <f t="shared" si="42"/>
        <v>14</v>
      </c>
      <c r="P149" s="36">
        <f t="shared" si="43"/>
        <v>258681.81818181818</v>
      </c>
      <c r="Q149" s="36">
        <f t="shared" si="49"/>
        <v>0</v>
      </c>
      <c r="R149" s="30">
        <f t="shared" si="50"/>
        <v>2023652.4848484849</v>
      </c>
      <c r="S149" s="30">
        <f>(R149-K149+L149-N149-Q149)*'Valores Vigentes'!$D$6</f>
        <v>72872.392727272731</v>
      </c>
      <c r="T149" s="30">
        <f>(R149-K149+L149-N149-Q149)*'Valores Vigentes'!$D$7</f>
        <v>72872.392727272731</v>
      </c>
      <c r="U149" s="36">
        <f>IF(H149&gt;'Valores Vigentes'!$D$4*4,H149*1%,0)</f>
        <v>0</v>
      </c>
      <c r="V149" s="36">
        <f t="shared" si="44"/>
        <v>0</v>
      </c>
      <c r="W149" s="36">
        <f t="shared" si="51"/>
        <v>48780</v>
      </c>
      <c r="X149" s="36">
        <f t="shared" si="52"/>
        <v>40473.049696969698</v>
      </c>
      <c r="Y149" s="30">
        <f t="shared" si="53"/>
        <v>234997.83515151514</v>
      </c>
      <c r="Z149" s="30">
        <f t="shared" si="54"/>
        <v>1788654.6496969697</v>
      </c>
    </row>
    <row r="150" spans="1:26" ht="15.75" customHeight="1" x14ac:dyDescent="0.25">
      <c r="A150" s="17" t="s">
        <v>201</v>
      </c>
      <c r="B150" s="17" t="s">
        <v>278</v>
      </c>
      <c r="C150" s="17">
        <v>5</v>
      </c>
      <c r="D150" s="17" t="s">
        <v>276</v>
      </c>
      <c r="E150" s="17" t="s">
        <v>277</v>
      </c>
      <c r="F150" s="17" t="s">
        <v>35</v>
      </c>
      <c r="G150" s="17" t="str">
        <f t="shared" si="40"/>
        <v>ASESOR VENTAS</v>
      </c>
      <c r="H150" s="30">
        <f t="shared" si="41"/>
        <v>2650000</v>
      </c>
      <c r="I150" s="16">
        <v>28</v>
      </c>
      <c r="J150" s="30">
        <f t="shared" si="45"/>
        <v>2473333.333333333</v>
      </c>
      <c r="K150" s="36">
        <f>IF(H150&lt;='Valores Vigentes'!D$4*2,'Valores Vigentes'!$D$5/30*I150,0)</f>
        <v>186666.66666666669</v>
      </c>
      <c r="L150" s="36">
        <f t="shared" si="46"/>
        <v>37099.999999999993</v>
      </c>
      <c r="M150" s="36">
        <f t="shared" si="47"/>
        <v>0</v>
      </c>
      <c r="N150" s="36">
        <f t="shared" si="48"/>
        <v>37099.999999999993</v>
      </c>
      <c r="O150" s="37">
        <f t="shared" si="42"/>
        <v>9</v>
      </c>
      <c r="P150" s="36">
        <f t="shared" si="43"/>
        <v>271022.72727272729</v>
      </c>
      <c r="Q150" s="36">
        <f t="shared" si="49"/>
        <v>0</v>
      </c>
      <c r="R150" s="30">
        <f t="shared" si="50"/>
        <v>3005222.7272727266</v>
      </c>
      <c r="S150" s="30">
        <f>(R150-K150+L150-N150-Q150)*'Valores Vigentes'!$D$6</f>
        <v>112742.2424242424</v>
      </c>
      <c r="T150" s="30">
        <f>(R150-K150+L150-N150-Q150)*'Valores Vigentes'!$D$7</f>
        <v>112742.2424242424</v>
      </c>
      <c r="U150" s="36">
        <f>IF(H150&gt;'Valores Vigentes'!$D$4*4,H150*1%,0)</f>
        <v>0</v>
      </c>
      <c r="V150" s="36">
        <f t="shared" si="44"/>
        <v>0</v>
      </c>
      <c r="W150" s="36">
        <f t="shared" si="51"/>
        <v>79500</v>
      </c>
      <c r="X150" s="36">
        <f t="shared" si="52"/>
        <v>0</v>
      </c>
      <c r="Y150" s="30">
        <f t="shared" si="53"/>
        <v>304984.4848484848</v>
      </c>
      <c r="Z150" s="30">
        <f t="shared" si="54"/>
        <v>2700238.2424242417</v>
      </c>
    </row>
    <row r="151" spans="1:26" ht="15.75" customHeight="1" x14ac:dyDescent="0.25">
      <c r="A151" s="17" t="s">
        <v>202</v>
      </c>
      <c r="B151" s="17" t="s">
        <v>278</v>
      </c>
      <c r="C151" s="17">
        <v>8</v>
      </c>
      <c r="D151" s="17" t="s">
        <v>276</v>
      </c>
      <c r="E151" s="17" t="s">
        <v>277</v>
      </c>
      <c r="F151" s="17" t="s">
        <v>31</v>
      </c>
      <c r="G151" s="17" t="str">
        <f t="shared" si="40"/>
        <v>ASESOR</v>
      </c>
      <c r="H151" s="30">
        <f t="shared" si="41"/>
        <v>3900000</v>
      </c>
      <c r="I151" s="16">
        <v>29</v>
      </c>
      <c r="J151" s="30">
        <f t="shared" si="45"/>
        <v>3770000</v>
      </c>
      <c r="K151" s="36">
        <f>IF(H151&lt;='Valores Vigentes'!D$4*2,'Valores Vigentes'!$D$5/30*I151,0)</f>
        <v>0</v>
      </c>
      <c r="L151" s="36">
        <f t="shared" si="46"/>
        <v>56550</v>
      </c>
      <c r="M151" s="36">
        <f t="shared" si="47"/>
        <v>131950</v>
      </c>
      <c r="N151" s="36">
        <f t="shared" si="48"/>
        <v>56550</v>
      </c>
      <c r="O151" s="37">
        <f t="shared" si="42"/>
        <v>25</v>
      </c>
      <c r="P151" s="36">
        <f t="shared" si="43"/>
        <v>1107954.5454545456</v>
      </c>
      <c r="Q151" s="36">
        <f t="shared" si="49"/>
        <v>0</v>
      </c>
      <c r="R151" s="30">
        <f t="shared" si="50"/>
        <v>5123004.5454545459</v>
      </c>
      <c r="S151" s="30">
        <f>(R151-K151+L151-N151-Q151)*'Valores Vigentes'!$D$6</f>
        <v>204920.18181818185</v>
      </c>
      <c r="T151" s="30">
        <f>(R151-K151+L151-N151-Q151)*'Valores Vigentes'!$D$7</f>
        <v>204920.18181818185</v>
      </c>
      <c r="U151" s="36">
        <f>IF(H151&gt;'Valores Vigentes'!$D$4*4,H151*1%,0)</f>
        <v>0</v>
      </c>
      <c r="V151" s="36">
        <f t="shared" si="44"/>
        <v>79000</v>
      </c>
      <c r="W151" s="36">
        <f t="shared" si="51"/>
        <v>117000</v>
      </c>
      <c r="X151" s="36">
        <f t="shared" si="52"/>
        <v>0</v>
      </c>
      <c r="Y151" s="30">
        <f t="shared" si="53"/>
        <v>605840.36363636376</v>
      </c>
      <c r="Z151" s="30">
        <f t="shared" si="54"/>
        <v>4517164.1818181816</v>
      </c>
    </row>
    <row r="152" spans="1:26" ht="15.75" customHeight="1" x14ac:dyDescent="0.25">
      <c r="A152" s="17" t="s">
        <v>203</v>
      </c>
      <c r="B152" s="17" t="s">
        <v>278</v>
      </c>
      <c r="C152" s="17">
        <v>4</v>
      </c>
      <c r="D152" s="17" t="s">
        <v>277</v>
      </c>
      <c r="E152" s="17" t="s">
        <v>276</v>
      </c>
      <c r="F152" s="17" t="s">
        <v>31</v>
      </c>
      <c r="G152" s="17" t="str">
        <f t="shared" si="40"/>
        <v>TÉCNICO PROFESIONAL</v>
      </c>
      <c r="H152" s="30">
        <f t="shared" si="41"/>
        <v>2450000</v>
      </c>
      <c r="I152" s="16">
        <v>27</v>
      </c>
      <c r="J152" s="30">
        <f t="shared" si="45"/>
        <v>2205000</v>
      </c>
      <c r="K152" s="36">
        <f>IF(H152&lt;='Valores Vigentes'!D$4*2,'Valores Vigentes'!$D$5/30*I152,0)</f>
        <v>180000</v>
      </c>
      <c r="L152" s="36">
        <f t="shared" si="46"/>
        <v>33075</v>
      </c>
      <c r="M152" s="36">
        <f t="shared" si="47"/>
        <v>77175.000000000015</v>
      </c>
      <c r="N152" s="36">
        <f t="shared" si="48"/>
        <v>33075</v>
      </c>
      <c r="O152" s="37">
        <f t="shared" si="42"/>
        <v>21</v>
      </c>
      <c r="P152" s="36">
        <f t="shared" si="43"/>
        <v>584659.09090909082</v>
      </c>
      <c r="Q152" s="36">
        <f t="shared" si="49"/>
        <v>0</v>
      </c>
      <c r="R152" s="30">
        <f t="shared" si="50"/>
        <v>3112984.0909090908</v>
      </c>
      <c r="S152" s="30">
        <f>(R152-K152+L152-N152-Q152)*'Valores Vigentes'!$D$6</f>
        <v>117319.36363636363</v>
      </c>
      <c r="T152" s="30">
        <f>(R152-K152+L152-N152-Q152)*'Valores Vigentes'!$D$7</f>
        <v>117319.36363636363</v>
      </c>
      <c r="U152" s="36">
        <f>IF(H152&gt;'Valores Vigentes'!$D$4*4,H152*1%,0)</f>
        <v>0</v>
      </c>
      <c r="V152" s="36">
        <f t="shared" si="44"/>
        <v>0</v>
      </c>
      <c r="W152" s="36">
        <f t="shared" si="51"/>
        <v>0</v>
      </c>
      <c r="X152" s="36">
        <f t="shared" si="52"/>
        <v>62259.681818181816</v>
      </c>
      <c r="Y152" s="30">
        <f t="shared" si="53"/>
        <v>296898.40909090906</v>
      </c>
      <c r="Z152" s="30">
        <f t="shared" si="54"/>
        <v>2816085.6818181816</v>
      </c>
    </row>
    <row r="153" spans="1:26" ht="15.75" customHeight="1" x14ac:dyDescent="0.25">
      <c r="A153" s="17" t="s">
        <v>204</v>
      </c>
      <c r="B153" s="17" t="s">
        <v>275</v>
      </c>
      <c r="C153" s="17">
        <v>4</v>
      </c>
      <c r="D153" s="17" t="s">
        <v>277</v>
      </c>
      <c r="E153" s="17" t="s">
        <v>276</v>
      </c>
      <c r="F153" s="17" t="s">
        <v>31</v>
      </c>
      <c r="G153" s="17" t="str">
        <f t="shared" si="40"/>
        <v>TÉCNICO PROFESIONAL</v>
      </c>
      <c r="H153" s="30">
        <f t="shared" si="41"/>
        <v>2450000</v>
      </c>
      <c r="I153" s="16">
        <v>28</v>
      </c>
      <c r="J153" s="30">
        <f t="shared" si="45"/>
        <v>2286666.666666667</v>
      </c>
      <c r="K153" s="36">
        <f>IF(H153&lt;='Valores Vigentes'!D$4*2,'Valores Vigentes'!$D$5/30*I153,0)</f>
        <v>186666.66666666669</v>
      </c>
      <c r="L153" s="36">
        <f t="shared" si="46"/>
        <v>34300</v>
      </c>
      <c r="M153" s="36">
        <f t="shared" si="47"/>
        <v>80033.333333333358</v>
      </c>
      <c r="N153" s="36">
        <f t="shared" si="48"/>
        <v>34300</v>
      </c>
      <c r="O153" s="37">
        <f t="shared" si="42"/>
        <v>27</v>
      </c>
      <c r="P153" s="36">
        <f t="shared" si="43"/>
        <v>751704.54545454541</v>
      </c>
      <c r="Q153" s="36">
        <f t="shared" si="49"/>
        <v>0</v>
      </c>
      <c r="R153" s="30">
        <f t="shared" si="50"/>
        <v>3373671.2121212124</v>
      </c>
      <c r="S153" s="30">
        <f>(R153-K153+L153-N153-Q153)*'Valores Vigentes'!$D$6</f>
        <v>127480.18181818184</v>
      </c>
      <c r="T153" s="30">
        <f>(R153-K153+L153-N153-Q153)*'Valores Vigentes'!$D$7</f>
        <v>127480.18181818184</v>
      </c>
      <c r="U153" s="36">
        <f>IF(H153&gt;'Valores Vigentes'!$D$4*4,H153*1%,0)</f>
        <v>0</v>
      </c>
      <c r="V153" s="36">
        <f t="shared" si="44"/>
        <v>0</v>
      </c>
      <c r="W153" s="36">
        <f t="shared" si="51"/>
        <v>0</v>
      </c>
      <c r="X153" s="36">
        <f t="shared" si="52"/>
        <v>67473.424242424255</v>
      </c>
      <c r="Y153" s="30">
        <f t="shared" si="53"/>
        <v>322433.78787878796</v>
      </c>
      <c r="Z153" s="30">
        <f t="shared" si="54"/>
        <v>3051237.4242424243</v>
      </c>
    </row>
    <row r="154" spans="1:26" ht="15.75" customHeight="1" x14ac:dyDescent="0.25">
      <c r="A154" s="17" t="s">
        <v>205</v>
      </c>
      <c r="B154" s="17" t="s">
        <v>278</v>
      </c>
      <c r="C154" s="17">
        <v>2</v>
      </c>
      <c r="D154" s="17" t="s">
        <v>277</v>
      </c>
      <c r="E154" s="17" t="s">
        <v>276</v>
      </c>
      <c r="F154" s="17" t="s">
        <v>31</v>
      </c>
      <c r="G154" s="17" t="str">
        <f t="shared" si="40"/>
        <v>ASISTENTES</v>
      </c>
      <c r="H154" s="30">
        <f t="shared" si="41"/>
        <v>1626000</v>
      </c>
      <c r="I154" s="16">
        <v>30</v>
      </c>
      <c r="J154" s="30">
        <f t="shared" si="45"/>
        <v>1626000</v>
      </c>
      <c r="K154" s="36">
        <f>IF(H154&lt;='Valores Vigentes'!D$4*2,'Valores Vigentes'!$D$5/30*I154,0)</f>
        <v>200000</v>
      </c>
      <c r="L154" s="36">
        <f t="shared" si="46"/>
        <v>40650</v>
      </c>
      <c r="M154" s="36">
        <f t="shared" si="47"/>
        <v>56910.000000000007</v>
      </c>
      <c r="N154" s="36">
        <f t="shared" si="48"/>
        <v>24390</v>
      </c>
      <c r="O154" s="37">
        <f t="shared" si="42"/>
        <v>4</v>
      </c>
      <c r="P154" s="36">
        <f t="shared" si="43"/>
        <v>73909.090909090912</v>
      </c>
      <c r="Q154" s="36">
        <f t="shared" si="49"/>
        <v>0</v>
      </c>
      <c r="R154" s="30">
        <f t="shared" si="50"/>
        <v>2021859.0909090908</v>
      </c>
      <c r="S154" s="30">
        <f>(R154-K154+L154-N154-Q154)*'Valores Vigentes'!$D$6</f>
        <v>73524.763636363641</v>
      </c>
      <c r="T154" s="30">
        <f>(R154-K154+L154-N154-Q154)*'Valores Vigentes'!$D$7</f>
        <v>73524.763636363641</v>
      </c>
      <c r="U154" s="36">
        <f>IF(H154&gt;'Valores Vigentes'!$D$4*4,H154*1%,0)</f>
        <v>0</v>
      </c>
      <c r="V154" s="36">
        <f t="shared" si="44"/>
        <v>0</v>
      </c>
      <c r="W154" s="36">
        <f t="shared" si="51"/>
        <v>0</v>
      </c>
      <c r="X154" s="36">
        <f t="shared" si="52"/>
        <v>40437.181818181816</v>
      </c>
      <c r="Y154" s="30">
        <f t="shared" si="53"/>
        <v>187486.70909090911</v>
      </c>
      <c r="Z154" s="30">
        <f t="shared" si="54"/>
        <v>1834372.3818181818</v>
      </c>
    </row>
    <row r="155" spans="1:26" ht="15.75" customHeight="1" x14ac:dyDescent="0.25">
      <c r="A155" s="17" t="s">
        <v>206</v>
      </c>
      <c r="B155" s="17" t="s">
        <v>278</v>
      </c>
      <c r="C155" s="17">
        <v>2</v>
      </c>
      <c r="D155" s="17" t="s">
        <v>277</v>
      </c>
      <c r="E155" s="17" t="s">
        <v>276</v>
      </c>
      <c r="F155" s="17" t="s">
        <v>31</v>
      </c>
      <c r="G155" s="17" t="str">
        <f t="shared" si="40"/>
        <v>ASISTENTES</v>
      </c>
      <c r="H155" s="30">
        <f t="shared" si="41"/>
        <v>1626000</v>
      </c>
      <c r="I155" s="16">
        <v>27</v>
      </c>
      <c r="J155" s="30">
        <f t="shared" si="45"/>
        <v>1463400</v>
      </c>
      <c r="K155" s="36">
        <f>IF(H155&lt;='Valores Vigentes'!D$4*2,'Valores Vigentes'!$D$5/30*I155,0)</f>
        <v>180000</v>
      </c>
      <c r="L155" s="36">
        <f t="shared" si="46"/>
        <v>21951</v>
      </c>
      <c r="M155" s="36">
        <f t="shared" si="47"/>
        <v>51219.000000000007</v>
      </c>
      <c r="N155" s="36">
        <f t="shared" si="48"/>
        <v>21951</v>
      </c>
      <c r="O155" s="37">
        <f t="shared" si="42"/>
        <v>3</v>
      </c>
      <c r="P155" s="36">
        <f t="shared" si="43"/>
        <v>55431.818181818184</v>
      </c>
      <c r="Q155" s="36">
        <f t="shared" si="49"/>
        <v>0</v>
      </c>
      <c r="R155" s="30">
        <f t="shared" si="50"/>
        <v>1793952.8181818181</v>
      </c>
      <c r="S155" s="30">
        <f>(R155-K155+L155-N155-Q155)*'Valores Vigentes'!$D$6</f>
        <v>64558.112727272724</v>
      </c>
      <c r="T155" s="30">
        <f>(R155-K155+L155-N155-Q155)*'Valores Vigentes'!$D$7</f>
        <v>64558.112727272724</v>
      </c>
      <c r="U155" s="36">
        <f>IF(H155&gt;'Valores Vigentes'!$D$4*4,H155*1%,0)</f>
        <v>0</v>
      </c>
      <c r="V155" s="36">
        <f t="shared" si="44"/>
        <v>0</v>
      </c>
      <c r="W155" s="36">
        <f t="shared" si="51"/>
        <v>0</v>
      </c>
      <c r="X155" s="36">
        <f t="shared" si="52"/>
        <v>35879.056363636366</v>
      </c>
      <c r="Y155" s="30">
        <f t="shared" si="53"/>
        <v>164995.2818181818</v>
      </c>
      <c r="Z155" s="30">
        <f t="shared" si="54"/>
        <v>1628957.5363636364</v>
      </c>
    </row>
    <row r="156" spans="1:26" ht="15.75" customHeight="1" x14ac:dyDescent="0.25">
      <c r="A156" s="17" t="s">
        <v>207</v>
      </c>
      <c r="B156" s="17" t="s">
        <v>278</v>
      </c>
      <c r="C156" s="17">
        <v>2</v>
      </c>
      <c r="D156" s="17" t="s">
        <v>277</v>
      </c>
      <c r="E156" s="17" t="s">
        <v>276</v>
      </c>
      <c r="F156" s="17" t="s">
        <v>33</v>
      </c>
      <c r="G156" s="17" t="str">
        <f t="shared" si="40"/>
        <v>ASISTENTES</v>
      </c>
      <c r="H156" s="30">
        <f t="shared" si="41"/>
        <v>1626000</v>
      </c>
      <c r="I156" s="16">
        <v>26</v>
      </c>
      <c r="J156" s="30">
        <f t="shared" si="45"/>
        <v>1409200</v>
      </c>
      <c r="K156" s="36">
        <f>IF(H156&lt;='Valores Vigentes'!D$4*2,'Valores Vigentes'!$D$5/30*I156,0)</f>
        <v>173333.33333333334</v>
      </c>
      <c r="L156" s="36">
        <f t="shared" si="46"/>
        <v>21138</v>
      </c>
      <c r="M156" s="36">
        <f t="shared" si="47"/>
        <v>0</v>
      </c>
      <c r="N156" s="36">
        <f t="shared" si="48"/>
        <v>21138</v>
      </c>
      <c r="O156" s="37">
        <f t="shared" si="42"/>
        <v>15</v>
      </c>
      <c r="P156" s="36">
        <f t="shared" si="43"/>
        <v>277159.09090909094</v>
      </c>
      <c r="Q156" s="36">
        <f t="shared" si="49"/>
        <v>0</v>
      </c>
      <c r="R156" s="30">
        <f t="shared" si="50"/>
        <v>1901968.4242424243</v>
      </c>
      <c r="S156" s="30">
        <f>(R156-K156+L156-N156-Q156)*'Valores Vigentes'!$D$6</f>
        <v>69145.403636363641</v>
      </c>
      <c r="T156" s="30">
        <f>(R156-K156+L156-N156-Q156)*'Valores Vigentes'!$D$7</f>
        <v>69145.403636363641</v>
      </c>
      <c r="U156" s="36">
        <f>IF(H156&gt;'Valores Vigentes'!$D$4*4,H156*1%,0)</f>
        <v>0</v>
      </c>
      <c r="V156" s="36">
        <f t="shared" si="44"/>
        <v>0</v>
      </c>
      <c r="W156" s="36">
        <f t="shared" si="51"/>
        <v>0</v>
      </c>
      <c r="X156" s="36">
        <f t="shared" si="52"/>
        <v>38039.368484848485</v>
      </c>
      <c r="Y156" s="30">
        <f t="shared" si="53"/>
        <v>176330.17575757578</v>
      </c>
      <c r="Z156" s="30">
        <f t="shared" si="54"/>
        <v>1725638.2484848485</v>
      </c>
    </row>
    <row r="157" spans="1:26" ht="15.75" customHeight="1" x14ac:dyDescent="0.25">
      <c r="A157" s="17" t="s">
        <v>208</v>
      </c>
      <c r="B157" s="17" t="s">
        <v>278</v>
      </c>
      <c r="C157" s="17">
        <v>7</v>
      </c>
      <c r="D157" s="17" t="s">
        <v>276</v>
      </c>
      <c r="E157" s="17" t="s">
        <v>276</v>
      </c>
      <c r="F157" s="17" t="s">
        <v>45</v>
      </c>
      <c r="G157" s="17" t="str">
        <f t="shared" si="40"/>
        <v>COORDINADOR</v>
      </c>
      <c r="H157" s="30">
        <f t="shared" si="41"/>
        <v>3250000</v>
      </c>
      <c r="I157" s="16">
        <v>25</v>
      </c>
      <c r="J157" s="30">
        <f t="shared" si="45"/>
        <v>2708333.333333333</v>
      </c>
      <c r="K157" s="36">
        <f>IF(H157&lt;='Valores Vigentes'!D$4*2,'Valores Vigentes'!$D$5/30*I157,0)</f>
        <v>0</v>
      </c>
      <c r="L157" s="36">
        <f t="shared" si="46"/>
        <v>40624.999999999993</v>
      </c>
      <c r="M157" s="36">
        <f t="shared" si="47"/>
        <v>0</v>
      </c>
      <c r="N157" s="36">
        <f t="shared" si="48"/>
        <v>67708.333333333328</v>
      </c>
      <c r="O157" s="37">
        <f t="shared" si="42"/>
        <v>24</v>
      </c>
      <c r="P157" s="36">
        <f t="shared" si="43"/>
        <v>886363.63636363624</v>
      </c>
      <c r="Q157" s="36">
        <f t="shared" si="49"/>
        <v>0</v>
      </c>
      <c r="R157" s="30">
        <f t="shared" si="50"/>
        <v>3703030.3030303027</v>
      </c>
      <c r="S157" s="30">
        <f>(R157-K157+L157-N157-Q157)*'Valores Vigentes'!$D$6</f>
        <v>147037.87878787878</v>
      </c>
      <c r="T157" s="30">
        <f>(R157-K157+L157-N157-Q157)*'Valores Vigentes'!$D$7</f>
        <v>147037.87878787878</v>
      </c>
      <c r="U157" s="36">
        <f>IF(H157&gt;'Valores Vigentes'!$D$4*4,H157*1%,0)</f>
        <v>0</v>
      </c>
      <c r="V157" s="36">
        <f t="shared" si="44"/>
        <v>0</v>
      </c>
      <c r="W157" s="36">
        <f t="shared" si="51"/>
        <v>97500</v>
      </c>
      <c r="X157" s="36">
        <f t="shared" si="52"/>
        <v>74060.606060606064</v>
      </c>
      <c r="Y157" s="30">
        <f t="shared" si="53"/>
        <v>465636.36363636365</v>
      </c>
      <c r="Z157" s="30">
        <f t="shared" si="54"/>
        <v>3237393.939393939</v>
      </c>
    </row>
    <row r="158" spans="1:26" ht="15.75" customHeight="1" x14ac:dyDescent="0.25">
      <c r="A158" s="17" t="s">
        <v>209</v>
      </c>
      <c r="B158" s="17" t="s">
        <v>275</v>
      </c>
      <c r="C158" s="17">
        <v>1</v>
      </c>
      <c r="D158" s="17" t="s">
        <v>276</v>
      </c>
      <c r="E158" s="17" t="s">
        <v>276</v>
      </c>
      <c r="F158" s="17" t="s">
        <v>31</v>
      </c>
      <c r="G158" s="17" t="str">
        <f t="shared" si="40"/>
        <v>AUXILIAR ADMON</v>
      </c>
      <c r="H158" s="30">
        <f t="shared" si="41"/>
        <v>1423500</v>
      </c>
      <c r="I158" s="16">
        <v>27</v>
      </c>
      <c r="J158" s="30">
        <f t="shared" si="45"/>
        <v>1281150</v>
      </c>
      <c r="K158" s="36">
        <f>IF(H158&lt;='Valores Vigentes'!D$4*2,'Valores Vigentes'!$D$5/30*I158,0)</f>
        <v>180000</v>
      </c>
      <c r="L158" s="36">
        <f t="shared" si="46"/>
        <v>19217.25</v>
      </c>
      <c r="M158" s="36">
        <f t="shared" si="47"/>
        <v>44840.250000000007</v>
      </c>
      <c r="N158" s="36">
        <f t="shared" si="48"/>
        <v>32028.75</v>
      </c>
      <c r="O158" s="37">
        <f t="shared" si="42"/>
        <v>1</v>
      </c>
      <c r="P158" s="36">
        <f t="shared" si="43"/>
        <v>16176.136363636362</v>
      </c>
      <c r="Q158" s="36">
        <f t="shared" si="49"/>
        <v>0</v>
      </c>
      <c r="R158" s="30">
        <f t="shared" si="50"/>
        <v>1573412.3863636365</v>
      </c>
      <c r="S158" s="30">
        <f>(R158-K158+L158-N158-Q158)*'Valores Vigentes'!$D$6</f>
        <v>55224.035454545461</v>
      </c>
      <c r="T158" s="30">
        <f>(R158-K158+L158-N158-Q158)*'Valores Vigentes'!$D$7</f>
        <v>55224.035454545461</v>
      </c>
      <c r="U158" s="36">
        <f>IF(H158&gt;'Valores Vigentes'!$D$4*4,H158*1%,0)</f>
        <v>0</v>
      </c>
      <c r="V158" s="36">
        <f t="shared" si="44"/>
        <v>0</v>
      </c>
      <c r="W158" s="36">
        <f t="shared" si="51"/>
        <v>42705</v>
      </c>
      <c r="X158" s="36">
        <f t="shared" si="52"/>
        <v>31468.24772727273</v>
      </c>
      <c r="Y158" s="30">
        <f t="shared" si="53"/>
        <v>184621.31863636366</v>
      </c>
      <c r="Z158" s="30">
        <f t="shared" si="54"/>
        <v>1388791.0677272729</v>
      </c>
    </row>
    <row r="159" spans="1:26" ht="15.75" customHeight="1" x14ac:dyDescent="0.25">
      <c r="A159" s="17" t="s">
        <v>210</v>
      </c>
      <c r="B159" s="17" t="s">
        <v>275</v>
      </c>
      <c r="C159" s="17">
        <v>3</v>
      </c>
      <c r="D159" s="17" t="s">
        <v>276</v>
      </c>
      <c r="E159" s="17" t="s">
        <v>277</v>
      </c>
      <c r="F159" s="17" t="s">
        <v>31</v>
      </c>
      <c r="G159" s="17" t="str">
        <f t="shared" si="40"/>
        <v>SECRETARIAS</v>
      </c>
      <c r="H159" s="30">
        <f t="shared" si="41"/>
        <v>1813000</v>
      </c>
      <c r="I159" s="16">
        <v>28</v>
      </c>
      <c r="J159" s="30">
        <f t="shared" si="45"/>
        <v>1692133.3333333335</v>
      </c>
      <c r="K159" s="36">
        <f>IF(H159&lt;='Valores Vigentes'!D$4*2,'Valores Vigentes'!$D$5/30*I159,0)</f>
        <v>186666.66666666669</v>
      </c>
      <c r="L159" s="36">
        <f t="shared" si="46"/>
        <v>25382</v>
      </c>
      <c r="M159" s="36">
        <f t="shared" si="47"/>
        <v>59224.666666666679</v>
      </c>
      <c r="N159" s="36">
        <f t="shared" si="48"/>
        <v>25382</v>
      </c>
      <c r="O159" s="37">
        <f t="shared" si="42"/>
        <v>9</v>
      </c>
      <c r="P159" s="36">
        <f t="shared" si="43"/>
        <v>185420.45454545453</v>
      </c>
      <c r="Q159" s="36">
        <f t="shared" si="49"/>
        <v>0</v>
      </c>
      <c r="R159" s="30">
        <f t="shared" si="50"/>
        <v>2174209.1212121216</v>
      </c>
      <c r="S159" s="30">
        <f>(R159-K159+L159-N159-Q159)*'Valores Vigentes'!$D$6</f>
        <v>79501.698181818196</v>
      </c>
      <c r="T159" s="30">
        <f>(R159-K159+L159-N159-Q159)*'Valores Vigentes'!$D$7</f>
        <v>79501.698181818196</v>
      </c>
      <c r="U159" s="36">
        <f>IF(H159&gt;'Valores Vigentes'!$D$4*4,H159*1%,0)</f>
        <v>0</v>
      </c>
      <c r="V159" s="36">
        <f t="shared" si="44"/>
        <v>0</v>
      </c>
      <c r="W159" s="36">
        <f t="shared" si="51"/>
        <v>54390</v>
      </c>
      <c r="X159" s="36">
        <f t="shared" si="52"/>
        <v>0</v>
      </c>
      <c r="Y159" s="30">
        <f t="shared" si="53"/>
        <v>213393.39636363639</v>
      </c>
      <c r="Z159" s="30">
        <f t="shared" si="54"/>
        <v>1960815.7248484851</v>
      </c>
    </row>
    <row r="160" spans="1:26" ht="15.75" customHeight="1" x14ac:dyDescent="0.25">
      <c r="A160" s="17" t="s">
        <v>211</v>
      </c>
      <c r="B160" s="17" t="s">
        <v>278</v>
      </c>
      <c r="C160" s="17">
        <v>2</v>
      </c>
      <c r="D160" s="17" t="s">
        <v>276</v>
      </c>
      <c r="E160" s="17" t="s">
        <v>276</v>
      </c>
      <c r="F160" s="17" t="s">
        <v>47</v>
      </c>
      <c r="G160" s="17" t="str">
        <f t="shared" si="40"/>
        <v>ASISTENTES</v>
      </c>
      <c r="H160" s="30">
        <f t="shared" si="41"/>
        <v>1626000</v>
      </c>
      <c r="I160" s="16">
        <v>27</v>
      </c>
      <c r="J160" s="30">
        <f t="shared" si="45"/>
        <v>1463400</v>
      </c>
      <c r="K160" s="36">
        <f>IF(H160&lt;='Valores Vigentes'!D$4*2,'Valores Vigentes'!$D$5/30*I160,0)</f>
        <v>180000</v>
      </c>
      <c r="L160" s="36">
        <f t="shared" si="46"/>
        <v>21951</v>
      </c>
      <c r="M160" s="36">
        <f t="shared" si="47"/>
        <v>0</v>
      </c>
      <c r="N160" s="36">
        <f t="shared" si="48"/>
        <v>36585</v>
      </c>
      <c r="O160" s="37">
        <f t="shared" si="42"/>
        <v>9</v>
      </c>
      <c r="P160" s="36">
        <f t="shared" si="43"/>
        <v>166295.45454545456</v>
      </c>
      <c r="Q160" s="36">
        <f t="shared" si="49"/>
        <v>0</v>
      </c>
      <c r="R160" s="30">
        <f t="shared" si="50"/>
        <v>1868231.4545454546</v>
      </c>
      <c r="S160" s="30">
        <f>(R160-K160+L160-N160-Q160)*'Valores Vigentes'!$D$6</f>
        <v>66943.898181818178</v>
      </c>
      <c r="T160" s="30">
        <f>(R160-K160+L160-N160-Q160)*'Valores Vigentes'!$D$7</f>
        <v>66943.898181818178</v>
      </c>
      <c r="U160" s="36">
        <f>IF(H160&gt;'Valores Vigentes'!$D$4*4,H160*1%,0)</f>
        <v>0</v>
      </c>
      <c r="V160" s="36">
        <f t="shared" si="44"/>
        <v>0</v>
      </c>
      <c r="W160" s="36">
        <f t="shared" si="51"/>
        <v>48780</v>
      </c>
      <c r="X160" s="36">
        <f t="shared" si="52"/>
        <v>37364.629090909089</v>
      </c>
      <c r="Y160" s="30">
        <f t="shared" si="53"/>
        <v>220032.42545454545</v>
      </c>
      <c r="Z160" s="30">
        <f t="shared" si="54"/>
        <v>1648199.0290909091</v>
      </c>
    </row>
    <row r="161" spans="1:26" ht="15.75" customHeight="1" x14ac:dyDescent="0.25">
      <c r="A161" s="17" t="s">
        <v>212</v>
      </c>
      <c r="B161" s="17" t="s">
        <v>278</v>
      </c>
      <c r="C161" s="17">
        <v>4</v>
      </c>
      <c r="D161" s="17" t="s">
        <v>276</v>
      </c>
      <c r="E161" s="17" t="s">
        <v>276</v>
      </c>
      <c r="F161" s="17" t="s">
        <v>51</v>
      </c>
      <c r="G161" s="17" t="str">
        <f t="shared" si="40"/>
        <v>TÉCNICO PROFESIONAL</v>
      </c>
      <c r="H161" s="30">
        <f t="shared" si="41"/>
        <v>2450000</v>
      </c>
      <c r="I161" s="16">
        <v>28</v>
      </c>
      <c r="J161" s="30">
        <f t="shared" si="45"/>
        <v>2286666.666666667</v>
      </c>
      <c r="K161" s="36">
        <f>IF(H161&lt;='Valores Vigentes'!D$4*2,'Valores Vigentes'!$D$5/30*I161,0)</f>
        <v>186666.66666666669</v>
      </c>
      <c r="L161" s="36">
        <f t="shared" si="46"/>
        <v>34300</v>
      </c>
      <c r="M161" s="36">
        <f t="shared" si="47"/>
        <v>0</v>
      </c>
      <c r="N161" s="36">
        <f t="shared" si="48"/>
        <v>57166.666666666679</v>
      </c>
      <c r="O161" s="37">
        <f t="shared" si="42"/>
        <v>29</v>
      </c>
      <c r="P161" s="36">
        <f t="shared" si="43"/>
        <v>807386.36363636353</v>
      </c>
      <c r="Q161" s="36">
        <f t="shared" si="49"/>
        <v>0</v>
      </c>
      <c r="R161" s="30">
        <f t="shared" si="50"/>
        <v>3372186.3636363633</v>
      </c>
      <c r="S161" s="30">
        <f>(R161-K161+L161-N161-Q161)*'Valores Vigentes'!$D$6</f>
        <v>126506.12121212122</v>
      </c>
      <c r="T161" s="30">
        <f>(R161-K161+L161-N161-Q161)*'Valores Vigentes'!$D$7</f>
        <v>126506.12121212122</v>
      </c>
      <c r="U161" s="36">
        <f>IF(H161&gt;'Valores Vigentes'!$D$4*4,H161*1%,0)</f>
        <v>0</v>
      </c>
      <c r="V161" s="36">
        <f t="shared" si="44"/>
        <v>0</v>
      </c>
      <c r="W161" s="36">
        <f t="shared" si="51"/>
        <v>73500</v>
      </c>
      <c r="X161" s="36">
        <f t="shared" si="52"/>
        <v>67443.727272727265</v>
      </c>
      <c r="Y161" s="30">
        <f t="shared" si="53"/>
        <v>393955.96969696973</v>
      </c>
      <c r="Z161" s="30">
        <f t="shared" si="54"/>
        <v>2978230.3939393936</v>
      </c>
    </row>
    <row r="162" spans="1:26" ht="15.75" customHeight="1" x14ac:dyDescent="0.25">
      <c r="A162" s="17" t="s">
        <v>213</v>
      </c>
      <c r="B162" s="17" t="s">
        <v>278</v>
      </c>
      <c r="C162" s="17">
        <v>6</v>
      </c>
      <c r="D162" s="17" t="s">
        <v>277</v>
      </c>
      <c r="E162" s="17" t="s">
        <v>276</v>
      </c>
      <c r="F162" s="17" t="s">
        <v>31</v>
      </c>
      <c r="G162" s="17" t="str">
        <f t="shared" si="40"/>
        <v>PROFESIONAL</v>
      </c>
      <c r="H162" s="30">
        <f t="shared" si="41"/>
        <v>2950000</v>
      </c>
      <c r="I162" s="16">
        <v>25</v>
      </c>
      <c r="J162" s="30">
        <f t="shared" si="45"/>
        <v>2458333.333333333</v>
      </c>
      <c r="K162" s="36">
        <f>IF(H162&lt;='Valores Vigentes'!D$4*2,'Valores Vigentes'!$D$5/30*I162,0)</f>
        <v>0</v>
      </c>
      <c r="L162" s="36">
        <f t="shared" si="46"/>
        <v>36874.999999999993</v>
      </c>
      <c r="M162" s="36">
        <f t="shared" si="47"/>
        <v>86041.666666666657</v>
      </c>
      <c r="N162" s="36">
        <f t="shared" si="48"/>
        <v>36874.999999999993</v>
      </c>
      <c r="O162" s="37">
        <f t="shared" si="42"/>
        <v>30</v>
      </c>
      <c r="P162" s="36">
        <f t="shared" si="43"/>
        <v>1005681.8181818181</v>
      </c>
      <c r="Q162" s="36">
        <f t="shared" si="49"/>
        <v>0</v>
      </c>
      <c r="R162" s="30">
        <f t="shared" si="50"/>
        <v>3623806.8181818174</v>
      </c>
      <c r="S162" s="30">
        <f>(R162-K162+L162-N162-Q162)*'Valores Vigentes'!$D$6</f>
        <v>144952.27272727271</v>
      </c>
      <c r="T162" s="30">
        <f>(R162-K162+L162-N162-Q162)*'Valores Vigentes'!$D$7</f>
        <v>144952.27272727271</v>
      </c>
      <c r="U162" s="36">
        <f>IF(H162&gt;'Valores Vigentes'!$D$4*4,H162*1%,0)</f>
        <v>0</v>
      </c>
      <c r="V162" s="36">
        <f t="shared" si="44"/>
        <v>0</v>
      </c>
      <c r="W162" s="36">
        <f t="shared" si="51"/>
        <v>0</v>
      </c>
      <c r="X162" s="36">
        <f t="shared" si="52"/>
        <v>72476.136363636353</v>
      </c>
      <c r="Y162" s="30">
        <f t="shared" si="53"/>
        <v>362380.68181818177</v>
      </c>
      <c r="Z162" s="30">
        <f t="shared" si="54"/>
        <v>3261426.1363636358</v>
      </c>
    </row>
    <row r="163" spans="1:26" ht="15.75" customHeight="1" x14ac:dyDescent="0.25">
      <c r="A163" s="17" t="s">
        <v>214</v>
      </c>
      <c r="B163" s="17" t="s">
        <v>278</v>
      </c>
      <c r="C163" s="17">
        <v>1</v>
      </c>
      <c r="D163" s="17" t="s">
        <v>277</v>
      </c>
      <c r="E163" s="17" t="s">
        <v>276</v>
      </c>
      <c r="F163" s="17" t="s">
        <v>31</v>
      </c>
      <c r="G163" s="17" t="str">
        <f t="shared" si="40"/>
        <v>AUXILIAR ADMON</v>
      </c>
      <c r="H163" s="30">
        <f t="shared" si="41"/>
        <v>1423500</v>
      </c>
      <c r="I163" s="16">
        <v>26</v>
      </c>
      <c r="J163" s="30">
        <f t="shared" si="45"/>
        <v>1233700</v>
      </c>
      <c r="K163" s="36">
        <f>IF(H163&lt;='Valores Vigentes'!D$4*2,'Valores Vigentes'!$D$5/30*I163,0)</f>
        <v>173333.33333333334</v>
      </c>
      <c r="L163" s="36">
        <f t="shared" si="46"/>
        <v>18505.5</v>
      </c>
      <c r="M163" s="36">
        <f t="shared" si="47"/>
        <v>43179.500000000007</v>
      </c>
      <c r="N163" s="36">
        <f t="shared" si="48"/>
        <v>18505.5</v>
      </c>
      <c r="O163" s="37">
        <f t="shared" si="42"/>
        <v>28</v>
      </c>
      <c r="P163" s="36">
        <f t="shared" si="43"/>
        <v>452931.81818181812</v>
      </c>
      <c r="Q163" s="36">
        <f t="shared" si="49"/>
        <v>0</v>
      </c>
      <c r="R163" s="30">
        <f t="shared" si="50"/>
        <v>1940155.6515151514</v>
      </c>
      <c r="S163" s="30">
        <f>(R163-K163+L163-N163-Q163)*'Valores Vigentes'!$D$6</f>
        <v>70672.892727272731</v>
      </c>
      <c r="T163" s="30">
        <f>(R163-K163+L163-N163-Q163)*'Valores Vigentes'!$D$7</f>
        <v>70672.892727272731</v>
      </c>
      <c r="U163" s="36">
        <f>IF(H163&gt;'Valores Vigentes'!$D$4*4,H163*1%,0)</f>
        <v>0</v>
      </c>
      <c r="V163" s="36">
        <f t="shared" si="44"/>
        <v>0</v>
      </c>
      <c r="W163" s="36">
        <f t="shared" si="51"/>
        <v>0</v>
      </c>
      <c r="X163" s="36">
        <f t="shared" si="52"/>
        <v>38803.11303030303</v>
      </c>
      <c r="Y163" s="30">
        <f t="shared" si="53"/>
        <v>180148.8984848485</v>
      </c>
      <c r="Z163" s="30">
        <f t="shared" si="54"/>
        <v>1760006.7530303029</v>
      </c>
    </row>
    <row r="164" spans="1:26" ht="15.75" customHeight="1" x14ac:dyDescent="0.25">
      <c r="A164" s="17" t="s">
        <v>215</v>
      </c>
      <c r="B164" s="17" t="s">
        <v>278</v>
      </c>
      <c r="C164" s="17">
        <v>6</v>
      </c>
      <c r="D164" s="17" t="s">
        <v>276</v>
      </c>
      <c r="E164" s="17" t="s">
        <v>277</v>
      </c>
      <c r="F164" s="17" t="s">
        <v>31</v>
      </c>
      <c r="G164" s="17" t="str">
        <f t="shared" si="40"/>
        <v>PROFESIONAL</v>
      </c>
      <c r="H164" s="30">
        <f t="shared" si="41"/>
        <v>2950000</v>
      </c>
      <c r="I164" s="16">
        <v>28</v>
      </c>
      <c r="J164" s="30">
        <f t="shared" si="45"/>
        <v>2753333.333333333</v>
      </c>
      <c r="K164" s="36">
        <f>IF(H164&lt;='Valores Vigentes'!D$4*2,'Valores Vigentes'!$D$5/30*I164,0)</f>
        <v>0</v>
      </c>
      <c r="L164" s="36">
        <f t="shared" si="46"/>
        <v>41299.999999999993</v>
      </c>
      <c r="M164" s="36">
        <f t="shared" si="47"/>
        <v>96366.666666666672</v>
      </c>
      <c r="N164" s="36">
        <f t="shared" si="48"/>
        <v>41299.999999999993</v>
      </c>
      <c r="O164" s="37">
        <f t="shared" si="42"/>
        <v>0</v>
      </c>
      <c r="P164" s="36">
        <f t="shared" si="43"/>
        <v>0</v>
      </c>
      <c r="Q164" s="36">
        <f t="shared" si="49"/>
        <v>0</v>
      </c>
      <c r="R164" s="30">
        <f t="shared" si="50"/>
        <v>2932299.9999999995</v>
      </c>
      <c r="S164" s="30">
        <f>(R164-K164+L164-N164-Q164)*'Valores Vigentes'!$D$6</f>
        <v>117291.99999999999</v>
      </c>
      <c r="T164" s="30">
        <f>(R164-K164+L164-N164-Q164)*'Valores Vigentes'!$D$7</f>
        <v>117291.99999999999</v>
      </c>
      <c r="U164" s="36">
        <f>IF(H164&gt;'Valores Vigentes'!$D$4*4,H164*1%,0)</f>
        <v>0</v>
      </c>
      <c r="V164" s="36">
        <f t="shared" si="44"/>
        <v>0</v>
      </c>
      <c r="W164" s="36">
        <f t="shared" si="51"/>
        <v>88500</v>
      </c>
      <c r="X164" s="36">
        <f t="shared" si="52"/>
        <v>0</v>
      </c>
      <c r="Y164" s="30">
        <f t="shared" si="53"/>
        <v>323084</v>
      </c>
      <c r="Z164" s="30">
        <f t="shared" si="54"/>
        <v>2609215.9999999995</v>
      </c>
    </row>
    <row r="165" spans="1:26" ht="15.75" customHeight="1" x14ac:dyDescent="0.25">
      <c r="A165" s="17" t="s">
        <v>216</v>
      </c>
      <c r="B165" s="17" t="s">
        <v>278</v>
      </c>
      <c r="C165" s="17">
        <v>6</v>
      </c>
      <c r="D165" s="17" t="s">
        <v>276</v>
      </c>
      <c r="E165" s="17" t="s">
        <v>276</v>
      </c>
      <c r="F165" s="17" t="s">
        <v>31</v>
      </c>
      <c r="G165" s="17" t="str">
        <f t="shared" si="40"/>
        <v>PROFESIONAL</v>
      </c>
      <c r="H165" s="30">
        <f t="shared" si="41"/>
        <v>2950000</v>
      </c>
      <c r="I165" s="16">
        <v>30</v>
      </c>
      <c r="J165" s="30">
        <f t="shared" si="45"/>
        <v>2950000</v>
      </c>
      <c r="K165" s="36">
        <f>IF(H165&lt;='Valores Vigentes'!D$4*2,'Valores Vigentes'!$D$5/30*I165,0)</f>
        <v>0</v>
      </c>
      <c r="L165" s="36">
        <f t="shared" si="46"/>
        <v>73750</v>
      </c>
      <c r="M165" s="36">
        <f t="shared" si="47"/>
        <v>103250.00000000001</v>
      </c>
      <c r="N165" s="36">
        <f t="shared" si="48"/>
        <v>73750</v>
      </c>
      <c r="O165" s="37">
        <f t="shared" si="42"/>
        <v>15</v>
      </c>
      <c r="P165" s="36">
        <f t="shared" si="43"/>
        <v>502840.90909090906</v>
      </c>
      <c r="Q165" s="36">
        <f t="shared" si="49"/>
        <v>0</v>
      </c>
      <c r="R165" s="30">
        <f t="shared" si="50"/>
        <v>3703590.9090909092</v>
      </c>
      <c r="S165" s="30">
        <f>(R165-K165+L165-N165-Q165)*'Valores Vigentes'!$D$6</f>
        <v>148143.63636363638</v>
      </c>
      <c r="T165" s="30">
        <f>(R165-K165+L165-N165-Q165)*'Valores Vigentes'!$D$7</f>
        <v>148143.63636363638</v>
      </c>
      <c r="U165" s="36">
        <f>IF(H165&gt;'Valores Vigentes'!$D$4*4,H165*1%,0)</f>
        <v>0</v>
      </c>
      <c r="V165" s="36">
        <f t="shared" si="44"/>
        <v>0</v>
      </c>
      <c r="W165" s="36">
        <f t="shared" si="51"/>
        <v>88500</v>
      </c>
      <c r="X165" s="36">
        <f t="shared" si="52"/>
        <v>74071.818181818191</v>
      </c>
      <c r="Y165" s="30">
        <f t="shared" si="53"/>
        <v>458859.09090909094</v>
      </c>
      <c r="Z165" s="30">
        <f t="shared" si="54"/>
        <v>3244731.8181818184</v>
      </c>
    </row>
    <row r="166" spans="1:26" ht="15.75" customHeight="1" x14ac:dyDescent="0.25">
      <c r="A166" s="17" t="s">
        <v>217</v>
      </c>
      <c r="B166" s="17" t="s">
        <v>275</v>
      </c>
      <c r="C166" s="17">
        <v>7</v>
      </c>
      <c r="D166" s="17" t="s">
        <v>276</v>
      </c>
      <c r="E166" s="17" t="s">
        <v>277</v>
      </c>
      <c r="F166" s="17" t="s">
        <v>45</v>
      </c>
      <c r="G166" s="17" t="str">
        <f t="shared" si="40"/>
        <v>COORDINADOR</v>
      </c>
      <c r="H166" s="30">
        <f t="shared" si="41"/>
        <v>3250000</v>
      </c>
      <c r="I166" s="16">
        <v>27</v>
      </c>
      <c r="J166" s="30">
        <f t="shared" si="45"/>
        <v>2925000</v>
      </c>
      <c r="K166" s="36">
        <f>IF(H166&lt;='Valores Vigentes'!D$4*2,'Valores Vigentes'!$D$5/30*I166,0)</f>
        <v>0</v>
      </c>
      <c r="L166" s="36">
        <f t="shared" si="46"/>
        <v>43875</v>
      </c>
      <c r="M166" s="36">
        <f t="shared" si="47"/>
        <v>0</v>
      </c>
      <c r="N166" s="36">
        <f t="shared" si="48"/>
        <v>43875</v>
      </c>
      <c r="O166" s="37">
        <f t="shared" si="42"/>
        <v>18</v>
      </c>
      <c r="P166" s="36">
        <f t="shared" si="43"/>
        <v>664772.72727272718</v>
      </c>
      <c r="Q166" s="36">
        <f t="shared" si="49"/>
        <v>0</v>
      </c>
      <c r="R166" s="30">
        <f t="shared" si="50"/>
        <v>3677522.7272727271</v>
      </c>
      <c r="S166" s="30">
        <f>(R166-K166+L166-N166-Q166)*'Valores Vigentes'!$D$6</f>
        <v>147100.90909090909</v>
      </c>
      <c r="T166" s="30">
        <f>(R166-K166+L166-N166-Q166)*'Valores Vigentes'!$D$7</f>
        <v>147100.90909090909</v>
      </c>
      <c r="U166" s="36">
        <f>IF(H166&gt;'Valores Vigentes'!$D$4*4,H166*1%,0)</f>
        <v>0</v>
      </c>
      <c r="V166" s="36">
        <f t="shared" si="44"/>
        <v>0</v>
      </c>
      <c r="W166" s="36">
        <f t="shared" si="51"/>
        <v>97500</v>
      </c>
      <c r="X166" s="36">
        <f t="shared" si="52"/>
        <v>0</v>
      </c>
      <c r="Y166" s="30">
        <f t="shared" si="53"/>
        <v>391701.81818181818</v>
      </c>
      <c r="Z166" s="30">
        <f t="shared" si="54"/>
        <v>3285820.9090909087</v>
      </c>
    </row>
    <row r="167" spans="1:26" ht="15.75" customHeight="1" x14ac:dyDescent="0.25">
      <c r="A167" s="17" t="s">
        <v>218</v>
      </c>
      <c r="B167" s="17" t="s">
        <v>278</v>
      </c>
      <c r="C167" s="17">
        <v>7</v>
      </c>
      <c r="D167" s="17" t="s">
        <v>276</v>
      </c>
      <c r="E167" s="17" t="s">
        <v>276</v>
      </c>
      <c r="F167" s="17" t="s">
        <v>31</v>
      </c>
      <c r="G167" s="17" t="str">
        <f t="shared" si="40"/>
        <v>COORDINADOR</v>
      </c>
      <c r="H167" s="30">
        <f t="shared" si="41"/>
        <v>3250000</v>
      </c>
      <c r="I167" s="16">
        <v>29</v>
      </c>
      <c r="J167" s="30">
        <f t="shared" si="45"/>
        <v>3141666.6666666665</v>
      </c>
      <c r="K167" s="36">
        <f>IF(H167&lt;='Valores Vigentes'!D$4*2,'Valores Vigentes'!$D$5/30*I167,0)</f>
        <v>0</v>
      </c>
      <c r="L167" s="36">
        <f t="shared" si="46"/>
        <v>47124.999999999993</v>
      </c>
      <c r="M167" s="36">
        <f t="shared" si="47"/>
        <v>109958.33333333334</v>
      </c>
      <c r="N167" s="36">
        <f t="shared" si="48"/>
        <v>78541.666666666672</v>
      </c>
      <c r="O167" s="37">
        <f t="shared" si="42"/>
        <v>24</v>
      </c>
      <c r="P167" s="36">
        <f t="shared" si="43"/>
        <v>886363.63636363624</v>
      </c>
      <c r="Q167" s="36">
        <f t="shared" si="49"/>
        <v>0</v>
      </c>
      <c r="R167" s="30">
        <f t="shared" si="50"/>
        <v>4263655.3030303027</v>
      </c>
      <c r="S167" s="30">
        <f>(R167-K167+L167-N167-Q167)*'Valores Vigentes'!$D$6</f>
        <v>169289.54545454544</v>
      </c>
      <c r="T167" s="30">
        <f>(R167-K167+L167-N167-Q167)*'Valores Vigentes'!$D$7</f>
        <v>169289.54545454544</v>
      </c>
      <c r="U167" s="36">
        <f>IF(H167&gt;'Valores Vigentes'!$D$4*4,H167*1%,0)</f>
        <v>0</v>
      </c>
      <c r="V167" s="36">
        <f t="shared" si="44"/>
        <v>65000</v>
      </c>
      <c r="W167" s="36">
        <f t="shared" si="51"/>
        <v>97500</v>
      </c>
      <c r="X167" s="36">
        <f t="shared" si="52"/>
        <v>85273.106060606064</v>
      </c>
      <c r="Y167" s="30">
        <f t="shared" si="53"/>
        <v>586352.1969696969</v>
      </c>
      <c r="Z167" s="30">
        <f t="shared" si="54"/>
        <v>3677303.106060606</v>
      </c>
    </row>
    <row r="168" spans="1:26" ht="15.75" customHeight="1" x14ac:dyDescent="0.25">
      <c r="A168" s="17" t="s">
        <v>219</v>
      </c>
      <c r="B168" s="17" t="s">
        <v>278</v>
      </c>
      <c r="C168" s="17">
        <v>4</v>
      </c>
      <c r="D168" s="17" t="s">
        <v>276</v>
      </c>
      <c r="E168" s="17" t="s">
        <v>276</v>
      </c>
      <c r="F168" s="17" t="s">
        <v>31</v>
      </c>
      <c r="G168" s="17" t="str">
        <f t="shared" si="40"/>
        <v>TÉCNICO PROFESIONAL</v>
      </c>
      <c r="H168" s="30">
        <f t="shared" si="41"/>
        <v>2450000</v>
      </c>
      <c r="I168" s="16">
        <v>28</v>
      </c>
      <c r="J168" s="30">
        <f t="shared" si="45"/>
        <v>2286666.666666667</v>
      </c>
      <c r="K168" s="36">
        <f>IF(H168&lt;='Valores Vigentes'!D$4*2,'Valores Vigentes'!$D$5/30*I168,0)</f>
        <v>186666.66666666669</v>
      </c>
      <c r="L168" s="36">
        <f t="shared" si="46"/>
        <v>34300</v>
      </c>
      <c r="M168" s="36">
        <f t="shared" si="47"/>
        <v>80033.333333333358</v>
      </c>
      <c r="N168" s="36">
        <f t="shared" si="48"/>
        <v>57166.666666666679</v>
      </c>
      <c r="O168" s="37">
        <f t="shared" si="42"/>
        <v>1</v>
      </c>
      <c r="P168" s="36">
        <f t="shared" si="43"/>
        <v>27840.909090909088</v>
      </c>
      <c r="Q168" s="36">
        <f t="shared" si="49"/>
        <v>0</v>
      </c>
      <c r="R168" s="30">
        <f t="shared" si="50"/>
        <v>2672674.2424242427</v>
      </c>
      <c r="S168" s="30">
        <f>(R168-K168+L168-N168-Q168)*'Valores Vigentes'!$D$6</f>
        <v>98525.636363636382</v>
      </c>
      <c r="T168" s="30">
        <f>(R168-K168+L168-N168-Q168)*'Valores Vigentes'!$D$7</f>
        <v>98525.636363636382</v>
      </c>
      <c r="U168" s="36">
        <f>IF(H168&gt;'Valores Vigentes'!$D$4*4,H168*1%,0)</f>
        <v>0</v>
      </c>
      <c r="V168" s="36">
        <f t="shared" si="44"/>
        <v>0</v>
      </c>
      <c r="W168" s="36">
        <f t="shared" si="51"/>
        <v>73500</v>
      </c>
      <c r="X168" s="36">
        <f t="shared" si="52"/>
        <v>53453.484848484855</v>
      </c>
      <c r="Y168" s="30">
        <f t="shared" si="53"/>
        <v>324004.75757575763</v>
      </c>
      <c r="Z168" s="30">
        <f t="shared" si="54"/>
        <v>2348669.4848484849</v>
      </c>
    </row>
    <row r="169" spans="1:26" ht="15.75" customHeight="1" x14ac:dyDescent="0.25">
      <c r="A169" s="17" t="s">
        <v>220</v>
      </c>
      <c r="B169" s="17" t="s">
        <v>278</v>
      </c>
      <c r="C169" s="17">
        <v>2</v>
      </c>
      <c r="D169" s="17" t="s">
        <v>277</v>
      </c>
      <c r="E169" s="17" t="s">
        <v>276</v>
      </c>
      <c r="F169" s="17" t="s">
        <v>31</v>
      </c>
      <c r="G169" s="17" t="str">
        <f t="shared" si="40"/>
        <v>ASISTENTES</v>
      </c>
      <c r="H169" s="30">
        <f t="shared" si="41"/>
        <v>1626000</v>
      </c>
      <c r="I169" s="16">
        <v>27</v>
      </c>
      <c r="J169" s="30">
        <f t="shared" si="45"/>
        <v>1463400</v>
      </c>
      <c r="K169" s="36">
        <f>IF(H169&lt;='Valores Vigentes'!D$4*2,'Valores Vigentes'!$D$5/30*I169,0)</f>
        <v>180000</v>
      </c>
      <c r="L169" s="36">
        <f t="shared" si="46"/>
        <v>21951</v>
      </c>
      <c r="M169" s="36">
        <f t="shared" si="47"/>
        <v>51219.000000000007</v>
      </c>
      <c r="N169" s="36">
        <f t="shared" si="48"/>
        <v>21951</v>
      </c>
      <c r="O169" s="37">
        <f t="shared" si="42"/>
        <v>23</v>
      </c>
      <c r="P169" s="36">
        <f t="shared" si="43"/>
        <v>424977.27272727276</v>
      </c>
      <c r="Q169" s="36">
        <f t="shared" si="49"/>
        <v>0</v>
      </c>
      <c r="R169" s="30">
        <f t="shared" si="50"/>
        <v>2163498.2727272729</v>
      </c>
      <c r="S169" s="30">
        <f>(R169-K169+L169-N169-Q169)*'Valores Vigentes'!$D$6</f>
        <v>79339.930909090923</v>
      </c>
      <c r="T169" s="30">
        <f>(R169-K169+L169-N169-Q169)*'Valores Vigentes'!$D$7</f>
        <v>79339.930909090923</v>
      </c>
      <c r="U169" s="36">
        <f>IF(H169&gt;'Valores Vigentes'!$D$4*4,H169*1%,0)</f>
        <v>0</v>
      </c>
      <c r="V169" s="36">
        <f t="shared" si="44"/>
        <v>0</v>
      </c>
      <c r="W169" s="36">
        <f t="shared" si="51"/>
        <v>0</v>
      </c>
      <c r="X169" s="36">
        <f t="shared" si="52"/>
        <v>43269.965454545461</v>
      </c>
      <c r="Y169" s="30">
        <f t="shared" si="53"/>
        <v>201949.8272727273</v>
      </c>
      <c r="Z169" s="30">
        <f t="shared" si="54"/>
        <v>1961548.4454545456</v>
      </c>
    </row>
    <row r="170" spans="1:26" ht="15.75" customHeight="1" x14ac:dyDescent="0.25">
      <c r="A170" s="17" t="s">
        <v>221</v>
      </c>
      <c r="B170" s="17" t="s">
        <v>275</v>
      </c>
      <c r="C170" s="17">
        <v>7</v>
      </c>
      <c r="D170" s="17" t="s">
        <v>276</v>
      </c>
      <c r="E170" s="17" t="s">
        <v>276</v>
      </c>
      <c r="F170" s="17" t="s">
        <v>51</v>
      </c>
      <c r="G170" s="17" t="str">
        <f t="shared" si="40"/>
        <v>COORDINADOR</v>
      </c>
      <c r="H170" s="30">
        <f t="shared" si="41"/>
        <v>3250000</v>
      </c>
      <c r="I170" s="16">
        <v>29</v>
      </c>
      <c r="J170" s="30">
        <f t="shared" si="45"/>
        <v>3141666.6666666665</v>
      </c>
      <c r="K170" s="36">
        <f>IF(H170&lt;='Valores Vigentes'!D$4*2,'Valores Vigentes'!$D$5/30*I170,0)</f>
        <v>0</v>
      </c>
      <c r="L170" s="36">
        <f t="shared" si="46"/>
        <v>47124.999999999993</v>
      </c>
      <c r="M170" s="36">
        <f t="shared" si="47"/>
        <v>0</v>
      </c>
      <c r="N170" s="36">
        <f t="shared" si="48"/>
        <v>78541.666666666672</v>
      </c>
      <c r="O170" s="37">
        <f t="shared" si="42"/>
        <v>24</v>
      </c>
      <c r="P170" s="36">
        <f t="shared" si="43"/>
        <v>886363.63636363624</v>
      </c>
      <c r="Q170" s="36">
        <f t="shared" si="49"/>
        <v>0</v>
      </c>
      <c r="R170" s="30">
        <f t="shared" si="50"/>
        <v>4153696.9696969693</v>
      </c>
      <c r="S170" s="30">
        <f>(R170-K170+L170-N170-Q170)*'Valores Vigentes'!$D$6</f>
        <v>164891.2121212121</v>
      </c>
      <c r="T170" s="30">
        <f>(R170-K170+L170-N170-Q170)*'Valores Vigentes'!$D$7</f>
        <v>164891.2121212121</v>
      </c>
      <c r="U170" s="36">
        <f>IF(H170&gt;'Valores Vigentes'!$D$4*4,H170*1%,0)</f>
        <v>0</v>
      </c>
      <c r="V170" s="36">
        <f t="shared" si="44"/>
        <v>65000</v>
      </c>
      <c r="W170" s="36">
        <f t="shared" si="51"/>
        <v>97500</v>
      </c>
      <c r="X170" s="36">
        <f t="shared" si="52"/>
        <v>83073.939393939392</v>
      </c>
      <c r="Y170" s="30">
        <f t="shared" si="53"/>
        <v>575356.36363636353</v>
      </c>
      <c r="Z170" s="30">
        <f t="shared" si="54"/>
        <v>3578340.6060606055</v>
      </c>
    </row>
    <row r="171" spans="1:26" ht="15.75" customHeight="1" x14ac:dyDescent="0.25">
      <c r="A171" s="17" t="s">
        <v>222</v>
      </c>
      <c r="B171" s="17" t="s">
        <v>278</v>
      </c>
      <c r="C171" s="17">
        <v>7</v>
      </c>
      <c r="D171" s="17" t="s">
        <v>276</v>
      </c>
      <c r="E171" s="17" t="s">
        <v>277</v>
      </c>
      <c r="F171" s="17" t="s">
        <v>31</v>
      </c>
      <c r="G171" s="17" t="str">
        <f t="shared" si="40"/>
        <v>COORDINADOR</v>
      </c>
      <c r="H171" s="30">
        <f t="shared" si="41"/>
        <v>3250000</v>
      </c>
      <c r="I171" s="16">
        <v>28</v>
      </c>
      <c r="J171" s="30">
        <f t="shared" si="45"/>
        <v>3033333.333333333</v>
      </c>
      <c r="K171" s="36">
        <f>IF(H171&lt;='Valores Vigentes'!D$4*2,'Valores Vigentes'!$D$5/30*I171,0)</f>
        <v>0</v>
      </c>
      <c r="L171" s="36">
        <f t="shared" si="46"/>
        <v>45499.999999999993</v>
      </c>
      <c r="M171" s="36">
        <f t="shared" si="47"/>
        <v>106166.66666666667</v>
      </c>
      <c r="N171" s="36">
        <f t="shared" si="48"/>
        <v>45499.999999999993</v>
      </c>
      <c r="O171" s="37">
        <f t="shared" si="42"/>
        <v>16</v>
      </c>
      <c r="P171" s="36">
        <f t="shared" si="43"/>
        <v>590909.09090909082</v>
      </c>
      <c r="Q171" s="36">
        <f t="shared" si="49"/>
        <v>0</v>
      </c>
      <c r="R171" s="30">
        <f t="shared" si="50"/>
        <v>3821409.0909090904</v>
      </c>
      <c r="S171" s="30">
        <f>(R171-K171+L171-N171-Q171)*'Valores Vigentes'!$D$6</f>
        <v>152856.36363636362</v>
      </c>
      <c r="T171" s="30">
        <f>(R171-K171+L171-N171-Q171)*'Valores Vigentes'!$D$7</f>
        <v>152856.36363636362</v>
      </c>
      <c r="U171" s="36">
        <f>IF(H171&gt;'Valores Vigentes'!$D$4*4,H171*1%,0)</f>
        <v>0</v>
      </c>
      <c r="V171" s="36">
        <f t="shared" si="44"/>
        <v>0</v>
      </c>
      <c r="W171" s="36">
        <f t="shared" si="51"/>
        <v>97500</v>
      </c>
      <c r="X171" s="36">
        <f t="shared" si="52"/>
        <v>0</v>
      </c>
      <c r="Y171" s="30">
        <f t="shared" si="53"/>
        <v>403212.72727272724</v>
      </c>
      <c r="Z171" s="30">
        <f t="shared" si="54"/>
        <v>3418196.3636363633</v>
      </c>
    </row>
    <row r="172" spans="1:26" ht="15.75" customHeight="1" x14ac:dyDescent="0.25">
      <c r="A172" s="17" t="s">
        <v>223</v>
      </c>
      <c r="B172" s="17" t="s">
        <v>275</v>
      </c>
      <c r="C172" s="17">
        <v>8</v>
      </c>
      <c r="D172" s="17" t="s">
        <v>276</v>
      </c>
      <c r="E172" s="17" t="s">
        <v>276</v>
      </c>
      <c r="F172" s="17" t="s">
        <v>31</v>
      </c>
      <c r="G172" s="17" t="str">
        <f t="shared" si="40"/>
        <v>ASESOR</v>
      </c>
      <c r="H172" s="30">
        <f t="shared" si="41"/>
        <v>3900000</v>
      </c>
      <c r="I172" s="16">
        <v>27</v>
      </c>
      <c r="J172" s="30">
        <f t="shared" si="45"/>
        <v>3510000</v>
      </c>
      <c r="K172" s="36">
        <f>IF(H172&lt;='Valores Vigentes'!D$4*2,'Valores Vigentes'!$D$5/30*I172,0)</f>
        <v>0</v>
      </c>
      <c r="L172" s="36">
        <f t="shared" si="46"/>
        <v>52650</v>
      </c>
      <c r="M172" s="36">
        <f t="shared" si="47"/>
        <v>122850.00000000001</v>
      </c>
      <c r="N172" s="36">
        <f t="shared" si="48"/>
        <v>87750</v>
      </c>
      <c r="O172" s="37">
        <f t="shared" si="42"/>
        <v>3</v>
      </c>
      <c r="P172" s="36">
        <f t="shared" si="43"/>
        <v>132954.54545454547</v>
      </c>
      <c r="Q172" s="36">
        <f t="shared" si="49"/>
        <v>0</v>
      </c>
      <c r="R172" s="30">
        <f t="shared" si="50"/>
        <v>3906204.5454545454</v>
      </c>
      <c r="S172" s="30">
        <f>(R172-K172+L172-N172-Q172)*'Valores Vigentes'!$D$6</f>
        <v>154844.18181818182</v>
      </c>
      <c r="T172" s="30">
        <f>(R172-K172+L172-N172-Q172)*'Valores Vigentes'!$D$7</f>
        <v>154844.18181818182</v>
      </c>
      <c r="U172" s="36">
        <f>IF(H172&gt;'Valores Vigentes'!$D$4*4,H172*1%,0)</f>
        <v>0</v>
      </c>
      <c r="V172" s="36">
        <f t="shared" si="44"/>
        <v>65000</v>
      </c>
      <c r="W172" s="36">
        <f t="shared" si="51"/>
        <v>117000</v>
      </c>
      <c r="X172" s="36">
        <f t="shared" si="52"/>
        <v>78124.090909090912</v>
      </c>
      <c r="Y172" s="30">
        <f t="shared" si="53"/>
        <v>569812.45454545459</v>
      </c>
      <c r="Z172" s="30">
        <f t="shared" si="54"/>
        <v>3336392.0909090908</v>
      </c>
    </row>
    <row r="173" spans="1:26" ht="15.75" customHeight="1" x14ac:dyDescent="0.25">
      <c r="A173" s="17" t="s">
        <v>224</v>
      </c>
      <c r="B173" s="17" t="s">
        <v>275</v>
      </c>
      <c r="C173" s="17">
        <v>3</v>
      </c>
      <c r="D173" s="17" t="s">
        <v>276</v>
      </c>
      <c r="E173" s="17" t="s">
        <v>276</v>
      </c>
      <c r="F173" s="17" t="s">
        <v>33</v>
      </c>
      <c r="G173" s="17" t="str">
        <f t="shared" si="40"/>
        <v>SECRETARIAS</v>
      </c>
      <c r="H173" s="30">
        <f t="shared" si="41"/>
        <v>1813000</v>
      </c>
      <c r="I173" s="16">
        <v>25</v>
      </c>
      <c r="J173" s="30">
        <f t="shared" si="45"/>
        <v>1510833.3333333335</v>
      </c>
      <c r="K173" s="36">
        <f>IF(H173&lt;='Valores Vigentes'!D$4*2,'Valores Vigentes'!$D$5/30*I173,0)</f>
        <v>166666.66666666669</v>
      </c>
      <c r="L173" s="36">
        <f t="shared" si="46"/>
        <v>22662.5</v>
      </c>
      <c r="M173" s="36">
        <f t="shared" si="47"/>
        <v>0</v>
      </c>
      <c r="N173" s="36">
        <f t="shared" si="48"/>
        <v>37770.833333333336</v>
      </c>
      <c r="O173" s="37">
        <f t="shared" si="42"/>
        <v>20</v>
      </c>
      <c r="P173" s="36">
        <f t="shared" si="43"/>
        <v>412045.45454545447</v>
      </c>
      <c r="Q173" s="36">
        <f t="shared" si="49"/>
        <v>0</v>
      </c>
      <c r="R173" s="30">
        <f t="shared" si="50"/>
        <v>2149978.7878787881</v>
      </c>
      <c r="S173" s="30">
        <f>(R173-K173+L173-N173-Q173)*'Valores Vigentes'!$D$6</f>
        <v>78728.15151515152</v>
      </c>
      <c r="T173" s="30">
        <f>(R173-K173+L173-N173-Q173)*'Valores Vigentes'!$D$7</f>
        <v>78728.15151515152</v>
      </c>
      <c r="U173" s="36">
        <f>IF(H173&gt;'Valores Vigentes'!$D$4*4,H173*1%,0)</f>
        <v>0</v>
      </c>
      <c r="V173" s="36">
        <f t="shared" si="44"/>
        <v>0</v>
      </c>
      <c r="W173" s="36">
        <f t="shared" si="51"/>
        <v>54390</v>
      </c>
      <c r="X173" s="36">
        <f t="shared" si="52"/>
        <v>42999.57575757576</v>
      </c>
      <c r="Y173" s="30">
        <f t="shared" si="53"/>
        <v>254845.87878787878</v>
      </c>
      <c r="Z173" s="30">
        <f t="shared" si="54"/>
        <v>1895132.9090909092</v>
      </c>
    </row>
    <row r="174" spans="1:26" ht="15.75" customHeight="1" x14ac:dyDescent="0.25">
      <c r="A174" s="17" t="s">
        <v>225</v>
      </c>
      <c r="B174" s="17" t="s">
        <v>278</v>
      </c>
      <c r="C174" s="17">
        <v>7</v>
      </c>
      <c r="D174" s="17" t="s">
        <v>277</v>
      </c>
      <c r="E174" s="17" t="s">
        <v>277</v>
      </c>
      <c r="F174" s="17" t="s">
        <v>35</v>
      </c>
      <c r="G174" s="17" t="str">
        <f t="shared" si="40"/>
        <v>COORDINADOR</v>
      </c>
      <c r="H174" s="30">
        <f t="shared" si="41"/>
        <v>3250000</v>
      </c>
      <c r="I174" s="16">
        <v>30</v>
      </c>
      <c r="J174" s="30">
        <f t="shared" si="45"/>
        <v>3250000</v>
      </c>
      <c r="K174" s="36">
        <f>IF(H174&lt;='Valores Vigentes'!D$4*2,'Valores Vigentes'!$D$5/30*I174,0)</f>
        <v>0</v>
      </c>
      <c r="L174" s="36">
        <f t="shared" si="46"/>
        <v>81250</v>
      </c>
      <c r="M174" s="36">
        <f t="shared" si="47"/>
        <v>0</v>
      </c>
      <c r="N174" s="36">
        <f t="shared" si="48"/>
        <v>32500</v>
      </c>
      <c r="O174" s="37">
        <f t="shared" si="42"/>
        <v>17</v>
      </c>
      <c r="P174" s="36">
        <f t="shared" si="43"/>
        <v>627840.90909090894</v>
      </c>
      <c r="Q174" s="36">
        <f t="shared" si="49"/>
        <v>0</v>
      </c>
      <c r="R174" s="30">
        <f t="shared" si="50"/>
        <v>3991590.9090909092</v>
      </c>
      <c r="S174" s="30">
        <f>(R174-K174+L174-N174-Q174)*'Valores Vigentes'!$D$6</f>
        <v>161613.63636363638</v>
      </c>
      <c r="T174" s="30">
        <f>(R174-K174+L174-N174-Q174)*'Valores Vigentes'!$D$7</f>
        <v>161613.63636363638</v>
      </c>
      <c r="U174" s="36">
        <f>IF(H174&gt;'Valores Vigentes'!$D$4*4,H174*1%,0)</f>
        <v>0</v>
      </c>
      <c r="V174" s="36">
        <f t="shared" si="44"/>
        <v>65000</v>
      </c>
      <c r="W174" s="36">
        <f t="shared" si="51"/>
        <v>0</v>
      </c>
      <c r="X174" s="36">
        <f t="shared" si="52"/>
        <v>0</v>
      </c>
      <c r="Y174" s="30">
        <f t="shared" si="53"/>
        <v>388227.27272727276</v>
      </c>
      <c r="Z174" s="30">
        <f t="shared" si="54"/>
        <v>3603363.6363636362</v>
      </c>
    </row>
    <row r="175" spans="1:26" ht="15.75" customHeight="1" x14ac:dyDescent="0.25">
      <c r="A175" s="17" t="s">
        <v>226</v>
      </c>
      <c r="B175" s="17" t="s">
        <v>278</v>
      </c>
      <c r="C175" s="17">
        <v>8</v>
      </c>
      <c r="D175" s="17" t="s">
        <v>276</v>
      </c>
      <c r="E175" s="17" t="s">
        <v>277</v>
      </c>
      <c r="F175" s="17" t="s">
        <v>31</v>
      </c>
      <c r="G175" s="17" t="str">
        <f t="shared" ref="G175:G185" si="55">VLOOKUP(C175,SALARIOSACTUALES,2,0)</f>
        <v>ASESOR</v>
      </c>
      <c r="H175" s="30">
        <f t="shared" ref="H175:H185" si="56">VLOOKUP(C175,SALARIOSACTUALES,3,0)</f>
        <v>3900000</v>
      </c>
      <c r="I175" s="16">
        <v>27</v>
      </c>
      <c r="J175" s="30">
        <f t="shared" si="45"/>
        <v>3510000</v>
      </c>
      <c r="K175" s="36">
        <f>IF(H175&lt;='Valores Vigentes'!D$4*2,'Valores Vigentes'!$D$5/30*I175,0)</f>
        <v>0</v>
      </c>
      <c r="L175" s="36">
        <f t="shared" si="46"/>
        <v>52650</v>
      </c>
      <c r="M175" s="36">
        <f t="shared" si="47"/>
        <v>122850.00000000001</v>
      </c>
      <c r="N175" s="36">
        <f t="shared" si="48"/>
        <v>52650</v>
      </c>
      <c r="O175" s="37">
        <f t="shared" ref="O175:O185" si="57">VLOOKUP(A175,HORASEXTRAS,11,0)</f>
        <v>4</v>
      </c>
      <c r="P175" s="36">
        <f t="shared" ref="P175:P185" si="58">VLOOKUP(A175,HORASEXTRAS,10,0)</f>
        <v>177272.72727272729</v>
      </c>
      <c r="Q175" s="36">
        <f t="shared" si="49"/>
        <v>0</v>
      </c>
      <c r="R175" s="30">
        <f t="shared" si="50"/>
        <v>3915422.7272727275</v>
      </c>
      <c r="S175" s="30">
        <f>(R175-K175+L175-N175-Q175)*'Valores Vigentes'!$D$6</f>
        <v>156616.90909090912</v>
      </c>
      <c r="T175" s="30">
        <f>(R175-K175+L175-N175-Q175)*'Valores Vigentes'!$D$7</f>
        <v>156616.90909090912</v>
      </c>
      <c r="U175" s="36">
        <f>IF(H175&gt;'Valores Vigentes'!$D$4*4,H175*1%,0)</f>
        <v>0</v>
      </c>
      <c r="V175" s="36">
        <f t="shared" ref="V175:V185" si="59">HLOOKUP(R175,RETEFUENTE,2,1)</f>
        <v>65000</v>
      </c>
      <c r="W175" s="36">
        <f t="shared" si="51"/>
        <v>117000</v>
      </c>
      <c r="X175" s="36">
        <f t="shared" si="52"/>
        <v>0</v>
      </c>
      <c r="Y175" s="30">
        <f t="shared" si="53"/>
        <v>495233.81818181823</v>
      </c>
      <c r="Z175" s="30">
        <f t="shared" si="54"/>
        <v>3420188.9090909092</v>
      </c>
    </row>
    <row r="176" spans="1:26" ht="15.75" customHeight="1" x14ac:dyDescent="0.25">
      <c r="A176" s="17" t="s">
        <v>227</v>
      </c>
      <c r="B176" s="17" t="s">
        <v>278</v>
      </c>
      <c r="C176" s="17">
        <v>3</v>
      </c>
      <c r="D176" s="17" t="s">
        <v>276</v>
      </c>
      <c r="E176" s="17" t="s">
        <v>277</v>
      </c>
      <c r="F176" s="17" t="s">
        <v>31</v>
      </c>
      <c r="G176" s="17" t="str">
        <f t="shared" si="55"/>
        <v>SECRETARIAS</v>
      </c>
      <c r="H176" s="30">
        <f t="shared" si="56"/>
        <v>1813000</v>
      </c>
      <c r="I176" s="16">
        <v>25</v>
      </c>
      <c r="J176" s="30">
        <f t="shared" si="45"/>
        <v>1510833.3333333335</v>
      </c>
      <c r="K176" s="36">
        <f>IF(H176&lt;='Valores Vigentes'!D$4*2,'Valores Vigentes'!$D$5/30*I176,0)</f>
        <v>166666.66666666669</v>
      </c>
      <c r="L176" s="36">
        <f t="shared" si="46"/>
        <v>22662.5</v>
      </c>
      <c r="M176" s="36">
        <f t="shared" si="47"/>
        <v>52879.166666666679</v>
      </c>
      <c r="N176" s="36">
        <f t="shared" si="48"/>
        <v>22662.5</v>
      </c>
      <c r="O176" s="37">
        <f t="shared" si="57"/>
        <v>6</v>
      </c>
      <c r="P176" s="36">
        <f t="shared" si="58"/>
        <v>123613.63636363635</v>
      </c>
      <c r="Q176" s="36">
        <f t="shared" si="49"/>
        <v>0</v>
      </c>
      <c r="R176" s="30">
        <f t="shared" si="50"/>
        <v>1899317.8030303032</v>
      </c>
      <c r="S176" s="30">
        <f>(R176-K176+L176-N176-Q176)*'Valores Vigentes'!$D$6</f>
        <v>69306.045454545456</v>
      </c>
      <c r="T176" s="30">
        <f>(R176-K176+L176-N176-Q176)*'Valores Vigentes'!$D$7</f>
        <v>69306.045454545456</v>
      </c>
      <c r="U176" s="36">
        <f>IF(H176&gt;'Valores Vigentes'!$D$4*4,H176*1%,0)</f>
        <v>0</v>
      </c>
      <c r="V176" s="36">
        <f t="shared" si="59"/>
        <v>0</v>
      </c>
      <c r="W176" s="36">
        <f t="shared" si="51"/>
        <v>54390</v>
      </c>
      <c r="X176" s="36">
        <f t="shared" si="52"/>
        <v>0</v>
      </c>
      <c r="Y176" s="30">
        <f t="shared" si="53"/>
        <v>193002.09090909091</v>
      </c>
      <c r="Z176" s="30">
        <f t="shared" si="54"/>
        <v>1706315.7121212124</v>
      </c>
    </row>
    <row r="177" spans="1:26" ht="15.75" customHeight="1" x14ac:dyDescent="0.25">
      <c r="A177" s="17" t="s">
        <v>228</v>
      </c>
      <c r="B177" s="17" t="s">
        <v>278</v>
      </c>
      <c r="C177" s="17">
        <v>1</v>
      </c>
      <c r="D177" s="17" t="s">
        <v>276</v>
      </c>
      <c r="E177" s="17" t="s">
        <v>276</v>
      </c>
      <c r="F177" s="17" t="s">
        <v>31</v>
      </c>
      <c r="G177" s="17" t="str">
        <f t="shared" si="55"/>
        <v>AUXILIAR ADMON</v>
      </c>
      <c r="H177" s="30">
        <f t="shared" si="56"/>
        <v>1423500</v>
      </c>
      <c r="I177" s="16">
        <v>29</v>
      </c>
      <c r="J177" s="30">
        <f t="shared" si="45"/>
        <v>1376050</v>
      </c>
      <c r="K177" s="36">
        <f>IF(H177&lt;='Valores Vigentes'!D$4*2,'Valores Vigentes'!$D$5/30*I177,0)</f>
        <v>193333.33333333334</v>
      </c>
      <c r="L177" s="36">
        <f t="shared" si="46"/>
        <v>20640.75</v>
      </c>
      <c r="M177" s="36">
        <f t="shared" si="47"/>
        <v>48161.750000000007</v>
      </c>
      <c r="N177" s="36">
        <f t="shared" si="48"/>
        <v>34401.25</v>
      </c>
      <c r="O177" s="37">
        <f t="shared" si="57"/>
        <v>15</v>
      </c>
      <c r="P177" s="36">
        <f t="shared" si="58"/>
        <v>242642.04545454544</v>
      </c>
      <c r="Q177" s="36">
        <f t="shared" si="49"/>
        <v>0</v>
      </c>
      <c r="R177" s="30">
        <f t="shared" si="50"/>
        <v>1915229.1287878787</v>
      </c>
      <c r="S177" s="30">
        <f>(R177-K177+L177-N177-Q177)*'Valores Vigentes'!$D$6</f>
        <v>68325.411818181819</v>
      </c>
      <c r="T177" s="30">
        <f>(R177-K177+L177-N177-Q177)*'Valores Vigentes'!$D$7</f>
        <v>68325.411818181819</v>
      </c>
      <c r="U177" s="36">
        <f>IF(H177&gt;'Valores Vigentes'!$D$4*4,H177*1%,0)</f>
        <v>0</v>
      </c>
      <c r="V177" s="36">
        <f t="shared" si="59"/>
        <v>0</v>
      </c>
      <c r="W177" s="36">
        <f t="shared" si="51"/>
        <v>42705</v>
      </c>
      <c r="X177" s="36">
        <f t="shared" si="52"/>
        <v>38304.582575757573</v>
      </c>
      <c r="Y177" s="30">
        <f t="shared" si="53"/>
        <v>217660.40621212122</v>
      </c>
      <c r="Z177" s="30">
        <f t="shared" si="54"/>
        <v>1697568.7225757574</v>
      </c>
    </row>
    <row r="178" spans="1:26" ht="15.75" customHeight="1" x14ac:dyDescent="0.25">
      <c r="A178" s="17" t="s">
        <v>229</v>
      </c>
      <c r="B178" s="17" t="s">
        <v>278</v>
      </c>
      <c r="C178" s="17">
        <v>1</v>
      </c>
      <c r="D178" s="17" t="s">
        <v>276</v>
      </c>
      <c r="E178" s="17" t="s">
        <v>277</v>
      </c>
      <c r="F178" s="17" t="s">
        <v>49</v>
      </c>
      <c r="G178" s="17" t="str">
        <f t="shared" si="55"/>
        <v>AUXILIAR ADMON</v>
      </c>
      <c r="H178" s="30">
        <f t="shared" si="56"/>
        <v>1423500</v>
      </c>
      <c r="I178" s="16">
        <v>28</v>
      </c>
      <c r="J178" s="30">
        <f t="shared" si="45"/>
        <v>1328600</v>
      </c>
      <c r="K178" s="36">
        <f>IF(H178&lt;='Valores Vigentes'!D$4*2,'Valores Vigentes'!$D$5/30*I178,0)</f>
        <v>186666.66666666669</v>
      </c>
      <c r="L178" s="36">
        <f t="shared" si="46"/>
        <v>19929</v>
      </c>
      <c r="M178" s="36">
        <f t="shared" si="47"/>
        <v>0</v>
      </c>
      <c r="N178" s="36">
        <f t="shared" si="48"/>
        <v>19929</v>
      </c>
      <c r="O178" s="37">
        <f t="shared" si="57"/>
        <v>23</v>
      </c>
      <c r="P178" s="36">
        <f t="shared" si="58"/>
        <v>372051.13636363635</v>
      </c>
      <c r="Q178" s="36">
        <f t="shared" si="49"/>
        <v>0</v>
      </c>
      <c r="R178" s="30">
        <f t="shared" si="50"/>
        <v>1927175.8030303032</v>
      </c>
      <c r="S178" s="30">
        <f>(R178-K178+L178-N178-Q178)*'Valores Vigentes'!$D$6</f>
        <v>69620.365454545463</v>
      </c>
      <c r="T178" s="30">
        <f>(R178-K178+L178-N178-Q178)*'Valores Vigentes'!$D$7</f>
        <v>69620.365454545463</v>
      </c>
      <c r="U178" s="36">
        <f>IF(H178&gt;'Valores Vigentes'!$D$4*4,H178*1%,0)</f>
        <v>0</v>
      </c>
      <c r="V178" s="36">
        <f t="shared" si="59"/>
        <v>0</v>
      </c>
      <c r="W178" s="36">
        <f t="shared" si="51"/>
        <v>42705</v>
      </c>
      <c r="X178" s="36">
        <f t="shared" si="52"/>
        <v>0</v>
      </c>
      <c r="Y178" s="30">
        <f t="shared" si="53"/>
        <v>181945.73090909093</v>
      </c>
      <c r="Z178" s="30">
        <f t="shared" si="54"/>
        <v>1745230.0721212123</v>
      </c>
    </row>
    <row r="179" spans="1:26" ht="15.75" customHeight="1" x14ac:dyDescent="0.25">
      <c r="A179" s="17" t="s">
        <v>230</v>
      </c>
      <c r="B179" s="17" t="s">
        <v>275</v>
      </c>
      <c r="C179" s="17">
        <v>8</v>
      </c>
      <c r="D179" s="17" t="s">
        <v>277</v>
      </c>
      <c r="E179" s="17" t="s">
        <v>276</v>
      </c>
      <c r="F179" s="17" t="s">
        <v>31</v>
      </c>
      <c r="G179" s="17" t="str">
        <f t="shared" si="55"/>
        <v>ASESOR</v>
      </c>
      <c r="H179" s="30">
        <f t="shared" si="56"/>
        <v>3900000</v>
      </c>
      <c r="I179" s="16">
        <v>28</v>
      </c>
      <c r="J179" s="30">
        <f t="shared" si="45"/>
        <v>3640000</v>
      </c>
      <c r="K179" s="36">
        <f>IF(H179&lt;='Valores Vigentes'!D$4*2,'Valores Vigentes'!$D$5/30*I179,0)</f>
        <v>0</v>
      </c>
      <c r="L179" s="36">
        <f t="shared" si="46"/>
        <v>54600</v>
      </c>
      <c r="M179" s="36">
        <f t="shared" si="47"/>
        <v>127400.00000000001</v>
      </c>
      <c r="N179" s="36">
        <f t="shared" si="48"/>
        <v>54600</v>
      </c>
      <c r="O179" s="37">
        <f t="shared" si="57"/>
        <v>8</v>
      </c>
      <c r="P179" s="36">
        <f t="shared" si="58"/>
        <v>354545.45454545459</v>
      </c>
      <c r="Q179" s="36">
        <f t="shared" si="49"/>
        <v>0</v>
      </c>
      <c r="R179" s="30">
        <f t="shared" si="50"/>
        <v>4231145.4545454551</v>
      </c>
      <c r="S179" s="30">
        <f>(R179-K179+L179-N179-Q179)*'Valores Vigentes'!$D$6</f>
        <v>169245.81818181821</v>
      </c>
      <c r="T179" s="30">
        <f>(R179-K179+L179-N179-Q179)*'Valores Vigentes'!$D$7</f>
        <v>169245.81818181821</v>
      </c>
      <c r="U179" s="36">
        <f>IF(H179&gt;'Valores Vigentes'!$D$4*4,H179*1%,0)</f>
        <v>0</v>
      </c>
      <c r="V179" s="36">
        <f t="shared" si="59"/>
        <v>65000</v>
      </c>
      <c r="W179" s="36">
        <f t="shared" si="51"/>
        <v>0</v>
      </c>
      <c r="X179" s="36">
        <f t="shared" si="52"/>
        <v>84622.909090909103</v>
      </c>
      <c r="Y179" s="30">
        <f t="shared" si="53"/>
        <v>488114.54545454553</v>
      </c>
      <c r="Z179" s="30">
        <f t="shared" si="54"/>
        <v>3743030.9090909096</v>
      </c>
    </row>
    <row r="180" spans="1:26" ht="15.75" customHeight="1" x14ac:dyDescent="0.25">
      <c r="A180" s="17" t="s">
        <v>231</v>
      </c>
      <c r="B180" s="17" t="s">
        <v>275</v>
      </c>
      <c r="C180" s="17">
        <v>5</v>
      </c>
      <c r="D180" s="17" t="s">
        <v>276</v>
      </c>
      <c r="E180" s="17" t="s">
        <v>276</v>
      </c>
      <c r="F180" s="17" t="s">
        <v>31</v>
      </c>
      <c r="G180" s="17" t="str">
        <f t="shared" si="55"/>
        <v>ASESOR VENTAS</v>
      </c>
      <c r="H180" s="30">
        <f t="shared" si="56"/>
        <v>2650000</v>
      </c>
      <c r="I180" s="16">
        <v>28</v>
      </c>
      <c r="J180" s="30">
        <f t="shared" si="45"/>
        <v>2473333.333333333</v>
      </c>
      <c r="K180" s="36">
        <f>IF(H180&lt;='Valores Vigentes'!D$4*2,'Valores Vigentes'!$D$5/30*I180,0)</f>
        <v>186666.66666666669</v>
      </c>
      <c r="L180" s="36">
        <f t="shared" si="46"/>
        <v>37099.999999999993</v>
      </c>
      <c r="M180" s="36">
        <f t="shared" si="47"/>
        <v>86566.666666666657</v>
      </c>
      <c r="N180" s="36">
        <f t="shared" si="48"/>
        <v>61833.333333333328</v>
      </c>
      <c r="O180" s="37">
        <f t="shared" si="57"/>
        <v>27</v>
      </c>
      <c r="P180" s="36">
        <f t="shared" si="58"/>
        <v>813068.18181818188</v>
      </c>
      <c r="Q180" s="36">
        <f t="shared" si="49"/>
        <v>0</v>
      </c>
      <c r="R180" s="30">
        <f t="shared" si="50"/>
        <v>3658568.1818181816</v>
      </c>
      <c r="S180" s="30">
        <f>(R180-K180+L180-N180-Q180)*'Valores Vigentes'!$D$6</f>
        <v>137886.72727272726</v>
      </c>
      <c r="T180" s="30">
        <f>(R180-K180+L180-N180-Q180)*'Valores Vigentes'!$D$7</f>
        <v>137886.72727272726</v>
      </c>
      <c r="U180" s="36">
        <f>IF(H180&gt;'Valores Vigentes'!$D$4*4,H180*1%,0)</f>
        <v>0</v>
      </c>
      <c r="V180" s="36">
        <f t="shared" si="59"/>
        <v>0</v>
      </c>
      <c r="W180" s="36">
        <f t="shared" si="51"/>
        <v>79500</v>
      </c>
      <c r="X180" s="36">
        <f t="shared" si="52"/>
        <v>73171.363636363632</v>
      </c>
      <c r="Y180" s="30">
        <f t="shared" si="53"/>
        <v>428444.81818181818</v>
      </c>
      <c r="Z180" s="30">
        <f t="shared" si="54"/>
        <v>3230123.3636363633</v>
      </c>
    </row>
    <row r="181" spans="1:26" ht="15.75" customHeight="1" x14ac:dyDescent="0.25">
      <c r="A181" s="17" t="s">
        <v>232</v>
      </c>
      <c r="B181" s="17" t="s">
        <v>275</v>
      </c>
      <c r="C181" s="17">
        <v>1</v>
      </c>
      <c r="D181" s="17" t="s">
        <v>276</v>
      </c>
      <c r="E181" s="17" t="s">
        <v>277</v>
      </c>
      <c r="F181" s="17" t="s">
        <v>33</v>
      </c>
      <c r="G181" s="17" t="str">
        <f t="shared" si="55"/>
        <v>AUXILIAR ADMON</v>
      </c>
      <c r="H181" s="30">
        <f t="shared" si="56"/>
        <v>1423500</v>
      </c>
      <c r="I181" s="16">
        <v>30</v>
      </c>
      <c r="J181" s="30">
        <f t="shared" si="45"/>
        <v>1423500</v>
      </c>
      <c r="K181" s="36">
        <f>IF(H181&lt;='Valores Vigentes'!D$4*2,'Valores Vigentes'!$D$5/30*I181,0)</f>
        <v>200000</v>
      </c>
      <c r="L181" s="36">
        <f t="shared" si="46"/>
        <v>35587.5</v>
      </c>
      <c r="M181" s="36">
        <f t="shared" si="47"/>
        <v>0</v>
      </c>
      <c r="N181" s="36">
        <f t="shared" si="48"/>
        <v>21352.5</v>
      </c>
      <c r="O181" s="37">
        <f t="shared" si="57"/>
        <v>25</v>
      </c>
      <c r="P181" s="36">
        <f t="shared" si="58"/>
        <v>404403.40909090906</v>
      </c>
      <c r="Q181" s="36">
        <f t="shared" si="49"/>
        <v>0</v>
      </c>
      <c r="R181" s="30">
        <f t="shared" si="50"/>
        <v>2084843.4090909092</v>
      </c>
      <c r="S181" s="30">
        <f>(R181-K181+L181-N181-Q181)*'Valores Vigentes'!$D$6</f>
        <v>75963.136363636368</v>
      </c>
      <c r="T181" s="30">
        <f>(R181-K181+L181-N181-Q181)*'Valores Vigentes'!$D$7</f>
        <v>75963.136363636368</v>
      </c>
      <c r="U181" s="36">
        <f>IF(H181&gt;'Valores Vigentes'!$D$4*4,H181*1%,0)</f>
        <v>0</v>
      </c>
      <c r="V181" s="36">
        <f t="shared" si="59"/>
        <v>0</v>
      </c>
      <c r="W181" s="36">
        <f t="shared" si="51"/>
        <v>42705</v>
      </c>
      <c r="X181" s="36">
        <f t="shared" si="52"/>
        <v>0</v>
      </c>
      <c r="Y181" s="30">
        <f t="shared" si="53"/>
        <v>194631.27272727274</v>
      </c>
      <c r="Z181" s="30">
        <f t="shared" si="54"/>
        <v>1890212.1363636365</v>
      </c>
    </row>
    <row r="182" spans="1:26" ht="15.75" customHeight="1" x14ac:dyDescent="0.25">
      <c r="A182" s="17" t="s">
        <v>233</v>
      </c>
      <c r="B182" s="17" t="s">
        <v>275</v>
      </c>
      <c r="C182" s="17">
        <v>2</v>
      </c>
      <c r="D182" s="17" t="s">
        <v>277</v>
      </c>
      <c r="E182" s="17" t="s">
        <v>276</v>
      </c>
      <c r="F182" s="17" t="s">
        <v>41</v>
      </c>
      <c r="G182" s="17" t="str">
        <f t="shared" si="55"/>
        <v>ASISTENTES</v>
      </c>
      <c r="H182" s="30">
        <f t="shared" si="56"/>
        <v>1626000</v>
      </c>
      <c r="I182" s="16">
        <v>29</v>
      </c>
      <c r="J182" s="30">
        <f t="shared" si="45"/>
        <v>1571800</v>
      </c>
      <c r="K182" s="36">
        <f>IF(H182&lt;='Valores Vigentes'!D$4*2,'Valores Vigentes'!$D$5/30*I182,0)</f>
        <v>193333.33333333334</v>
      </c>
      <c r="L182" s="36">
        <f t="shared" si="46"/>
        <v>23577</v>
      </c>
      <c r="M182" s="36">
        <f t="shared" si="47"/>
        <v>0</v>
      </c>
      <c r="N182" s="36">
        <f t="shared" si="48"/>
        <v>23577</v>
      </c>
      <c r="O182" s="37">
        <f t="shared" si="57"/>
        <v>9</v>
      </c>
      <c r="P182" s="36">
        <f t="shared" si="58"/>
        <v>166295.45454545456</v>
      </c>
      <c r="Q182" s="36">
        <f t="shared" si="49"/>
        <v>0</v>
      </c>
      <c r="R182" s="30">
        <f t="shared" si="50"/>
        <v>1978582.7878787878</v>
      </c>
      <c r="S182" s="30">
        <f>(R182-K182+L182-N182-Q182)*'Valores Vigentes'!$D$6</f>
        <v>71409.97818181818</v>
      </c>
      <c r="T182" s="30">
        <f>(R182-K182+L182-N182-Q182)*'Valores Vigentes'!$D$7</f>
        <v>71409.97818181818</v>
      </c>
      <c r="U182" s="36">
        <f>IF(H182&gt;'Valores Vigentes'!$D$4*4,H182*1%,0)</f>
        <v>0</v>
      </c>
      <c r="V182" s="36">
        <f t="shared" si="59"/>
        <v>0</v>
      </c>
      <c r="W182" s="36">
        <f t="shared" si="51"/>
        <v>0</v>
      </c>
      <c r="X182" s="36">
        <f t="shared" si="52"/>
        <v>39571.655757575754</v>
      </c>
      <c r="Y182" s="30">
        <f t="shared" si="53"/>
        <v>182391.61212121212</v>
      </c>
      <c r="Z182" s="30">
        <f t="shared" si="54"/>
        <v>1796191.1757575758</v>
      </c>
    </row>
    <row r="183" spans="1:26" ht="15.75" customHeight="1" x14ac:dyDescent="0.25">
      <c r="A183" s="17" t="s">
        <v>234</v>
      </c>
      <c r="B183" s="17" t="s">
        <v>275</v>
      </c>
      <c r="C183" s="17">
        <v>2</v>
      </c>
      <c r="D183" s="17" t="s">
        <v>276</v>
      </c>
      <c r="E183" s="17" t="s">
        <v>276</v>
      </c>
      <c r="F183" s="17" t="s">
        <v>31</v>
      </c>
      <c r="G183" s="17" t="str">
        <f t="shared" si="55"/>
        <v>ASISTENTES</v>
      </c>
      <c r="H183" s="30">
        <f t="shared" si="56"/>
        <v>1626000</v>
      </c>
      <c r="I183" s="16">
        <v>27</v>
      </c>
      <c r="J183" s="30">
        <f t="shared" si="45"/>
        <v>1463400</v>
      </c>
      <c r="K183" s="36">
        <f>IF(H183&lt;='Valores Vigentes'!D$4*2,'Valores Vigentes'!$D$5/30*I183,0)</f>
        <v>180000</v>
      </c>
      <c r="L183" s="36">
        <f t="shared" si="46"/>
        <v>21951</v>
      </c>
      <c r="M183" s="36">
        <f t="shared" si="47"/>
        <v>51219.000000000007</v>
      </c>
      <c r="N183" s="36">
        <f t="shared" si="48"/>
        <v>36585</v>
      </c>
      <c r="O183" s="37">
        <f t="shared" si="57"/>
        <v>0</v>
      </c>
      <c r="P183" s="36">
        <f t="shared" si="58"/>
        <v>0</v>
      </c>
      <c r="Q183" s="36">
        <f t="shared" si="49"/>
        <v>0</v>
      </c>
      <c r="R183" s="30">
        <f t="shared" si="50"/>
        <v>1753155</v>
      </c>
      <c r="S183" s="30">
        <f>(R183-K183+L183-N183-Q183)*'Valores Vigentes'!$D$6</f>
        <v>62340.840000000004</v>
      </c>
      <c r="T183" s="30">
        <f>(R183-K183+L183-N183-Q183)*'Valores Vigentes'!$D$7</f>
        <v>62340.840000000004</v>
      </c>
      <c r="U183" s="36">
        <f>IF(H183&gt;'Valores Vigentes'!$D$4*4,H183*1%,0)</f>
        <v>0</v>
      </c>
      <c r="V183" s="36">
        <f t="shared" si="59"/>
        <v>0</v>
      </c>
      <c r="W183" s="36">
        <f t="shared" si="51"/>
        <v>48780</v>
      </c>
      <c r="X183" s="36">
        <f t="shared" si="52"/>
        <v>35063.1</v>
      </c>
      <c r="Y183" s="30">
        <f t="shared" si="53"/>
        <v>208524.78</v>
      </c>
      <c r="Z183" s="30">
        <f t="shared" si="54"/>
        <v>1544630.22</v>
      </c>
    </row>
    <row r="184" spans="1:26" ht="15.75" customHeight="1" x14ac:dyDescent="0.25">
      <c r="A184" s="17" t="s">
        <v>235</v>
      </c>
      <c r="B184" s="17" t="s">
        <v>275</v>
      </c>
      <c r="C184" s="17">
        <v>4</v>
      </c>
      <c r="D184" s="17" t="s">
        <v>277</v>
      </c>
      <c r="E184" s="17" t="s">
        <v>276</v>
      </c>
      <c r="F184" s="17" t="s">
        <v>33</v>
      </c>
      <c r="G184" s="17" t="str">
        <f t="shared" si="55"/>
        <v>TÉCNICO PROFESIONAL</v>
      </c>
      <c r="H184" s="30">
        <f t="shared" si="56"/>
        <v>2450000</v>
      </c>
      <c r="I184" s="16">
        <v>25</v>
      </c>
      <c r="J184" s="30">
        <f t="shared" si="45"/>
        <v>2041666.6666666667</v>
      </c>
      <c r="K184" s="36">
        <f>IF(H184&lt;='Valores Vigentes'!D$4*2,'Valores Vigentes'!$D$5/30*I184,0)</f>
        <v>166666.66666666669</v>
      </c>
      <c r="L184" s="36">
        <f t="shared" si="46"/>
        <v>30625</v>
      </c>
      <c r="M184" s="36">
        <f t="shared" si="47"/>
        <v>0</v>
      </c>
      <c r="N184" s="36">
        <f t="shared" si="48"/>
        <v>30625</v>
      </c>
      <c r="O184" s="37">
        <f t="shared" si="57"/>
        <v>2</v>
      </c>
      <c r="P184" s="36">
        <f t="shared" si="58"/>
        <v>55681.818181818177</v>
      </c>
      <c r="Q184" s="36">
        <f t="shared" si="49"/>
        <v>0</v>
      </c>
      <c r="R184" s="30">
        <f t="shared" si="50"/>
        <v>2325265.1515151518</v>
      </c>
      <c r="S184" s="30">
        <f>(R184-K184+L184-N184-Q184)*'Valores Vigentes'!$D$6</f>
        <v>86343.939393939421</v>
      </c>
      <c r="T184" s="30">
        <f>(R184-K184+L184-N184-Q184)*'Valores Vigentes'!$D$7</f>
        <v>86343.939393939421</v>
      </c>
      <c r="U184" s="36">
        <f>IF(H184&gt;'Valores Vigentes'!$D$4*4,H184*1%,0)</f>
        <v>0</v>
      </c>
      <c r="V184" s="36">
        <f t="shared" si="59"/>
        <v>0</v>
      </c>
      <c r="W184" s="36">
        <f t="shared" si="51"/>
        <v>0</v>
      </c>
      <c r="X184" s="36">
        <f t="shared" si="52"/>
        <v>46505.303030303039</v>
      </c>
      <c r="Y184" s="30">
        <f t="shared" si="53"/>
        <v>219193.18181818188</v>
      </c>
      <c r="Z184" s="30">
        <f t="shared" si="54"/>
        <v>2106071.9696969697</v>
      </c>
    </row>
    <row r="185" spans="1:26" ht="15.75" customHeight="1" x14ac:dyDescent="0.25">
      <c r="A185" s="17" t="s">
        <v>236</v>
      </c>
      <c r="B185" s="17" t="s">
        <v>278</v>
      </c>
      <c r="C185" s="17">
        <v>5</v>
      </c>
      <c r="D185" s="17" t="s">
        <v>276</v>
      </c>
      <c r="E185" s="17" t="s">
        <v>276</v>
      </c>
      <c r="F185" s="17" t="s">
        <v>33</v>
      </c>
      <c r="G185" s="17" t="str">
        <f t="shared" si="55"/>
        <v>ASESOR VENTAS</v>
      </c>
      <c r="H185" s="30">
        <f t="shared" si="56"/>
        <v>2650000</v>
      </c>
      <c r="I185" s="16">
        <v>26</v>
      </c>
      <c r="J185" s="30">
        <f t="shared" si="45"/>
        <v>2296666.6666666665</v>
      </c>
      <c r="K185" s="36">
        <f>IF(H185&lt;='Valores Vigentes'!D$4*2,'Valores Vigentes'!$D$5/30*I185,0)</f>
        <v>173333.33333333334</v>
      </c>
      <c r="L185" s="36">
        <f t="shared" si="46"/>
        <v>34450</v>
      </c>
      <c r="M185" s="36">
        <f t="shared" si="47"/>
        <v>0</v>
      </c>
      <c r="N185" s="36">
        <f t="shared" si="48"/>
        <v>57416.666666666664</v>
      </c>
      <c r="O185" s="37">
        <f t="shared" si="57"/>
        <v>4</v>
      </c>
      <c r="P185" s="36">
        <f t="shared" si="58"/>
        <v>120454.54545454546</v>
      </c>
      <c r="Q185" s="36">
        <f t="shared" si="49"/>
        <v>0</v>
      </c>
      <c r="R185" s="30">
        <f t="shared" si="50"/>
        <v>2682321.2121212119</v>
      </c>
      <c r="S185" s="30">
        <f>(R185-K185+L185-N185-Q185)*'Valores Vigentes'!$D$6</f>
        <v>99440.84848484848</v>
      </c>
      <c r="T185" s="30">
        <f>(R185-K185+L185-N185-Q185)*'Valores Vigentes'!$D$7</f>
        <v>99440.84848484848</v>
      </c>
      <c r="U185" s="36">
        <f>IF(H185&gt;'Valores Vigentes'!$D$4*4,H185*1%,0)</f>
        <v>0</v>
      </c>
      <c r="V185" s="36">
        <f t="shared" si="59"/>
        <v>0</v>
      </c>
      <c r="W185" s="36">
        <f t="shared" si="51"/>
        <v>79500</v>
      </c>
      <c r="X185" s="36">
        <f t="shared" si="52"/>
        <v>53646.42424242424</v>
      </c>
      <c r="Y185" s="30">
        <f t="shared" si="53"/>
        <v>332028.12121212122</v>
      </c>
      <c r="Z185" s="30">
        <f t="shared" si="54"/>
        <v>2350293.0909090908</v>
      </c>
    </row>
    <row r="186" spans="1:26" ht="15.75" customHeight="1" x14ac:dyDescent="0.25"/>
    <row r="187" spans="1:26" ht="15.75" customHeight="1" x14ac:dyDescent="0.25">
      <c r="G187" s="34" t="s">
        <v>291</v>
      </c>
      <c r="H187" s="30">
        <f t="shared" ref="H187:P187" si="60">SUM(H15:H185)</f>
        <v>435978000</v>
      </c>
      <c r="I187" s="16">
        <f t="shared" si="60"/>
        <v>4682</v>
      </c>
      <c r="J187" s="30">
        <f t="shared" si="60"/>
        <v>398106816.66666669</v>
      </c>
      <c r="K187" s="30">
        <f t="shared" si="60"/>
        <v>19206666.666666664</v>
      </c>
      <c r="L187" s="30">
        <f t="shared" si="60"/>
        <v>6607682.25</v>
      </c>
      <c r="M187" s="30">
        <f t="shared" si="60"/>
        <v>6454712.8333333349</v>
      </c>
      <c r="N187" s="30">
        <f t="shared" si="60"/>
        <v>7800413.9166666679</v>
      </c>
      <c r="O187" s="37">
        <f t="shared" si="60"/>
        <v>2600</v>
      </c>
      <c r="P187" s="30">
        <f t="shared" si="60"/>
        <v>75166380.681818217</v>
      </c>
      <c r="Q187" s="30">
        <f t="shared" ref="Q187:Z187" si="61">SUM(Q15:Q185)</f>
        <v>1875000</v>
      </c>
      <c r="R187" s="30">
        <f t="shared" si="61"/>
        <v>515217673.01515162</v>
      </c>
      <c r="S187" s="30">
        <f t="shared" si="61"/>
        <v>19717730.987272725</v>
      </c>
      <c r="T187" s="30">
        <f t="shared" si="61"/>
        <v>19717730.987272725</v>
      </c>
      <c r="U187" s="30">
        <f t="shared" si="61"/>
        <v>125000</v>
      </c>
      <c r="V187" s="30">
        <f t="shared" si="61"/>
        <v>1981000</v>
      </c>
      <c r="W187" s="30">
        <f t="shared" si="61"/>
        <v>9888975</v>
      </c>
      <c r="X187" s="30">
        <f t="shared" si="61"/>
        <v>7245892.5350000001</v>
      </c>
      <c r="Y187" s="30">
        <f t="shared" si="61"/>
        <v>58676329.509545468</v>
      </c>
      <c r="Z187" s="30">
        <f t="shared" si="61"/>
        <v>456541343.50560606</v>
      </c>
    </row>
    <row r="188" spans="1:26" ht="15.75" customHeight="1" x14ac:dyDescent="0.25">
      <c r="G188" s="34" t="s">
        <v>292</v>
      </c>
      <c r="H188" s="30">
        <f>AVERAGE(H15:H185)</f>
        <v>2549578.9473684211</v>
      </c>
      <c r="I188" s="37">
        <f t="shared" ref="I188:Z188" si="62">AVERAGE(I15:I185)</f>
        <v>27.380116959064328</v>
      </c>
      <c r="J188" s="30">
        <f t="shared" si="62"/>
        <v>2328110.0389863551</v>
      </c>
      <c r="K188" s="30">
        <f t="shared" si="62"/>
        <v>112319.68810916178</v>
      </c>
      <c r="L188" s="30">
        <f t="shared" si="62"/>
        <v>38641.416666666664</v>
      </c>
      <c r="M188" s="30">
        <f t="shared" si="62"/>
        <v>37746.858674463947</v>
      </c>
      <c r="N188" s="30">
        <f t="shared" si="62"/>
        <v>45616.455653021447</v>
      </c>
      <c r="O188" s="37">
        <f t="shared" si="62"/>
        <v>15.2046783625731</v>
      </c>
      <c r="P188" s="30">
        <f t="shared" si="62"/>
        <v>439569.47767145158</v>
      </c>
      <c r="Q188" s="30">
        <f t="shared" si="62"/>
        <v>10964.912280701754</v>
      </c>
      <c r="R188" s="30">
        <f t="shared" si="62"/>
        <v>3012968.8480418222</v>
      </c>
      <c r="S188" s="30">
        <f t="shared" si="62"/>
        <v>115308.36834662412</v>
      </c>
      <c r="T188" s="30">
        <f t="shared" si="62"/>
        <v>115308.36834662412</v>
      </c>
      <c r="U188" s="30">
        <f t="shared" si="62"/>
        <v>730.9941520467836</v>
      </c>
      <c r="V188" s="30">
        <f t="shared" si="62"/>
        <v>11584.795321637426</v>
      </c>
      <c r="W188" s="30">
        <f t="shared" si="62"/>
        <v>57830.26315789474</v>
      </c>
      <c r="X188" s="30">
        <f t="shared" si="62"/>
        <v>42373.640555555554</v>
      </c>
      <c r="Y188" s="30">
        <f t="shared" si="62"/>
        <v>343136.42988038284</v>
      </c>
      <c r="Z188" s="30">
        <f t="shared" si="62"/>
        <v>2669832.4181614388</v>
      </c>
    </row>
    <row r="189" spans="1:26" ht="15.75" customHeight="1" x14ac:dyDescent="0.25">
      <c r="G189" s="34" t="s">
        <v>293</v>
      </c>
      <c r="H189" s="30">
        <f>MAX(H15:H185)</f>
        <v>6500000</v>
      </c>
      <c r="I189" s="37">
        <f t="shared" ref="I189:Z189" si="63">MAX(I15:I185)</f>
        <v>30</v>
      </c>
      <c r="J189" s="30">
        <f t="shared" si="63"/>
        <v>6066666.666666666</v>
      </c>
      <c r="K189" s="30">
        <f t="shared" si="63"/>
        <v>200000</v>
      </c>
      <c r="L189" s="30">
        <f t="shared" si="63"/>
        <v>97500</v>
      </c>
      <c r="M189" s="30">
        <f t="shared" si="63"/>
        <v>131950</v>
      </c>
      <c r="N189" s="30">
        <f t="shared" si="63"/>
        <v>151666.66666666666</v>
      </c>
      <c r="O189" s="37">
        <f t="shared" si="63"/>
        <v>30</v>
      </c>
      <c r="P189" s="30">
        <f t="shared" si="63"/>
        <v>1698863.6363636362</v>
      </c>
      <c r="Q189" s="30">
        <f t="shared" si="63"/>
        <v>975000</v>
      </c>
      <c r="R189" s="30">
        <f t="shared" si="63"/>
        <v>8983196.9696969688</v>
      </c>
      <c r="S189" s="30">
        <f t="shared" si="63"/>
        <v>317901.2121212121</v>
      </c>
      <c r="T189" s="30">
        <f t="shared" si="63"/>
        <v>317901.2121212121</v>
      </c>
      <c r="U189" s="30">
        <f t="shared" si="63"/>
        <v>65000</v>
      </c>
      <c r="V189" s="30">
        <f t="shared" si="63"/>
        <v>85000</v>
      </c>
      <c r="W189" s="30">
        <f t="shared" si="63"/>
        <v>195000</v>
      </c>
      <c r="X189" s="30">
        <f t="shared" si="63"/>
        <v>179663.93939393939</v>
      </c>
      <c r="Y189" s="30">
        <f t="shared" si="63"/>
        <v>1160466.3636363635</v>
      </c>
      <c r="Z189" s="30">
        <f t="shared" si="63"/>
        <v>7822730.6060606055</v>
      </c>
    </row>
    <row r="190" spans="1:26" ht="15.75" customHeight="1" x14ac:dyDescent="0.25">
      <c r="G190" s="34" t="s">
        <v>294</v>
      </c>
      <c r="H190" s="30">
        <f>MIN(H15:H185)</f>
        <v>1423500</v>
      </c>
      <c r="I190" s="37">
        <f t="shared" ref="I190:Z190" si="64">MIN(I15:I185)</f>
        <v>25</v>
      </c>
      <c r="J190" s="30">
        <f t="shared" si="64"/>
        <v>1186250</v>
      </c>
      <c r="K190" s="30">
        <f t="shared" si="64"/>
        <v>0</v>
      </c>
      <c r="L190" s="30">
        <f t="shared" si="64"/>
        <v>17793.75</v>
      </c>
      <c r="M190" s="30">
        <f t="shared" si="64"/>
        <v>0</v>
      </c>
      <c r="N190" s="30">
        <f t="shared" si="64"/>
        <v>14092</v>
      </c>
      <c r="O190" s="37">
        <f t="shared" si="64"/>
        <v>0</v>
      </c>
      <c r="P190" s="30">
        <f t="shared" si="64"/>
        <v>0</v>
      </c>
      <c r="Q190" s="30">
        <f t="shared" si="64"/>
        <v>0</v>
      </c>
      <c r="R190" s="30">
        <f t="shared" si="64"/>
        <v>1420856.4393939395</v>
      </c>
      <c r="S190" s="30">
        <f t="shared" si="64"/>
        <v>50167.590909090912</v>
      </c>
      <c r="T190" s="30">
        <f t="shared" si="64"/>
        <v>50167.590909090912</v>
      </c>
      <c r="U190" s="30">
        <f t="shared" si="64"/>
        <v>0</v>
      </c>
      <c r="V190" s="30">
        <f t="shared" si="64"/>
        <v>0</v>
      </c>
      <c r="W190" s="30">
        <f t="shared" si="64"/>
        <v>0</v>
      </c>
      <c r="X190" s="30">
        <f t="shared" si="64"/>
        <v>0</v>
      </c>
      <c r="Y190" s="30">
        <f t="shared" si="64"/>
        <v>135390.6075757576</v>
      </c>
      <c r="Z190" s="30">
        <f t="shared" si="64"/>
        <v>1277816.2575757576</v>
      </c>
    </row>
    <row r="191" spans="1:26" ht="15.75" customHeight="1" x14ac:dyDescent="0.25">
      <c r="G191" s="34" t="s">
        <v>295</v>
      </c>
      <c r="H191" s="16">
        <f>COUNT(H15:H185)</f>
        <v>171</v>
      </c>
      <c r="I191" s="16">
        <f t="shared" ref="I191:Z191" si="65">COUNT(I15:I185)</f>
        <v>171</v>
      </c>
      <c r="J191" s="16">
        <f t="shared" si="65"/>
        <v>171</v>
      </c>
      <c r="K191" s="16">
        <f t="shared" si="65"/>
        <v>171</v>
      </c>
      <c r="L191" s="16">
        <f t="shared" si="65"/>
        <v>171</v>
      </c>
      <c r="M191" s="16">
        <f t="shared" si="65"/>
        <v>171</v>
      </c>
      <c r="N191" s="16">
        <f t="shared" si="65"/>
        <v>171</v>
      </c>
      <c r="O191" s="16">
        <f t="shared" si="65"/>
        <v>171</v>
      </c>
      <c r="P191" s="16">
        <f t="shared" si="65"/>
        <v>171</v>
      </c>
      <c r="Q191" s="16">
        <f t="shared" si="65"/>
        <v>171</v>
      </c>
      <c r="R191" s="16">
        <f t="shared" si="65"/>
        <v>171</v>
      </c>
      <c r="S191" s="16">
        <f t="shared" si="65"/>
        <v>171</v>
      </c>
      <c r="T191" s="16">
        <f t="shared" si="65"/>
        <v>171</v>
      </c>
      <c r="U191" s="16">
        <f t="shared" si="65"/>
        <v>171</v>
      </c>
      <c r="V191" s="16">
        <f t="shared" si="65"/>
        <v>171</v>
      </c>
      <c r="W191" s="16">
        <f t="shared" si="65"/>
        <v>171</v>
      </c>
      <c r="X191" s="16">
        <f t="shared" si="65"/>
        <v>171</v>
      </c>
      <c r="Y191" s="16">
        <f t="shared" si="65"/>
        <v>171</v>
      </c>
      <c r="Z191" s="16">
        <f t="shared" si="65"/>
        <v>171</v>
      </c>
    </row>
    <row r="192" spans="1:26" ht="15.75" customHeight="1" x14ac:dyDescent="0.25"/>
    <row r="193" spans="7:26" ht="15.75" customHeight="1" x14ac:dyDescent="0.25">
      <c r="G193" s="34" t="s">
        <v>291</v>
      </c>
      <c r="H193" s="30">
        <v>435978000</v>
      </c>
      <c r="I193" s="30">
        <v>4682</v>
      </c>
      <c r="J193" s="30">
        <v>398106816.66666669</v>
      </c>
      <c r="K193" s="30">
        <v>19206666.666666664</v>
      </c>
      <c r="L193" s="30">
        <v>6607682.25</v>
      </c>
      <c r="M193" s="30">
        <v>6454712.8333333349</v>
      </c>
      <c r="N193" s="30">
        <v>7800413.9166666679</v>
      </c>
      <c r="O193" s="53">
        <v>2600</v>
      </c>
      <c r="P193" s="30">
        <v>75166380.681818217</v>
      </c>
      <c r="Q193" s="30">
        <v>1875000</v>
      </c>
      <c r="R193" s="30">
        <v>515217673.01515162</v>
      </c>
      <c r="S193" s="30">
        <v>19717730.987272725</v>
      </c>
      <c r="T193" s="30">
        <v>19717730.987272725</v>
      </c>
      <c r="U193" s="30">
        <v>125000</v>
      </c>
      <c r="V193" s="30">
        <v>1981000</v>
      </c>
      <c r="W193" s="30">
        <v>9888975</v>
      </c>
      <c r="X193" s="30">
        <v>7245892.5350000001</v>
      </c>
      <c r="Y193" s="30">
        <v>58676329.509545468</v>
      </c>
      <c r="Z193" s="30">
        <v>456541343.50560606</v>
      </c>
    </row>
    <row r="194" spans="7:26" ht="15.75" customHeight="1" x14ac:dyDescent="0.25">
      <c r="G194" s="34" t="s">
        <v>292</v>
      </c>
      <c r="H194" s="30">
        <v>2549578.9473684211</v>
      </c>
      <c r="I194" s="30">
        <v>27.380116959064328</v>
      </c>
      <c r="J194" s="30">
        <v>2328110.0389863551</v>
      </c>
      <c r="K194" s="30">
        <v>112319.68810916178</v>
      </c>
      <c r="L194" s="30">
        <v>38641.416666666664</v>
      </c>
      <c r="M194" s="30">
        <v>37746.858674463947</v>
      </c>
      <c r="N194" s="30">
        <v>45616.455653021447</v>
      </c>
      <c r="O194" s="52">
        <v>15.2046783625731</v>
      </c>
      <c r="P194" s="30">
        <v>439569.47767145158</v>
      </c>
      <c r="Q194" s="30">
        <v>10964.912280701754</v>
      </c>
      <c r="R194" s="30">
        <v>3012968.8480418222</v>
      </c>
      <c r="S194" s="30">
        <v>115308.36834662412</v>
      </c>
      <c r="T194" s="30">
        <v>115308.36834662412</v>
      </c>
      <c r="U194" s="30">
        <v>730.9941520467836</v>
      </c>
      <c r="V194" s="30">
        <v>11584.795321637426</v>
      </c>
      <c r="W194" s="30">
        <v>57830.26315789474</v>
      </c>
      <c r="X194" s="30">
        <v>42373.640555555554</v>
      </c>
      <c r="Y194" s="30">
        <v>343136.42988038284</v>
      </c>
      <c r="Z194" s="30">
        <v>2669832.4181614388</v>
      </c>
    </row>
    <row r="195" spans="7:26" ht="15.75" customHeight="1" x14ac:dyDescent="0.25"/>
    <row r="196" spans="7:26" ht="15.75" customHeight="1" x14ac:dyDescent="0.25"/>
    <row r="197" spans="7:26" ht="15.75" customHeight="1" x14ac:dyDescent="0.25"/>
    <row r="198" spans="7:26" ht="15.75" customHeight="1" x14ac:dyDescent="0.25"/>
    <row r="199" spans="7:26" ht="15.75" customHeight="1" x14ac:dyDescent="0.25"/>
    <row r="200" spans="7:26" ht="15.75" customHeight="1" x14ac:dyDescent="0.25"/>
    <row r="201" spans="7:26" ht="15.75" customHeight="1" x14ac:dyDescent="0.25"/>
    <row r="202" spans="7:26" ht="15.75" customHeight="1" x14ac:dyDescent="0.25"/>
    <row r="203" spans="7:26" ht="15.75" customHeight="1" x14ac:dyDescent="0.25"/>
    <row r="204" spans="7:26" ht="15.75" customHeight="1" x14ac:dyDescent="0.25"/>
    <row r="205" spans="7:26" ht="15.75" customHeight="1" x14ac:dyDescent="0.25"/>
    <row r="206" spans="7:26" ht="15.75" customHeight="1" x14ac:dyDescent="0.25"/>
    <row r="207" spans="7:26" ht="15.75" customHeight="1" x14ac:dyDescent="0.25"/>
    <row r="208" spans="7:2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U2:Z2"/>
    <mergeCell ref="U3:V3"/>
    <mergeCell ref="X3:Y3"/>
    <mergeCell ref="U4:V4"/>
    <mergeCell ref="U5:V5"/>
    <mergeCell ref="A13:I13"/>
    <mergeCell ref="J13:R13"/>
    <mergeCell ref="X10:Y10"/>
    <mergeCell ref="X4:Y4"/>
    <mergeCell ref="X5:Y5"/>
    <mergeCell ref="X6:Y6"/>
    <mergeCell ref="X7:Y7"/>
    <mergeCell ref="U6:V6"/>
    <mergeCell ref="U7:V7"/>
    <mergeCell ref="S13:Z13"/>
    <mergeCell ref="U8:V8"/>
    <mergeCell ref="U9:V9"/>
    <mergeCell ref="U10:V10"/>
    <mergeCell ref="U12:Z1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topLeftCell="A7" workbookViewId="0">
      <selection activeCell="D25" sqref="D25:E25"/>
    </sheetView>
  </sheetViews>
  <sheetFormatPr baseColWidth="10" defaultColWidth="14.42578125" defaultRowHeight="15" customHeight="1" x14ac:dyDescent="0.25"/>
  <cols>
    <col min="1" max="1" width="2.7109375" customWidth="1"/>
    <col min="2" max="2" width="10.7109375" customWidth="1"/>
    <col min="3" max="3" width="39.140625" customWidth="1"/>
    <col min="4" max="4" width="25.7109375" customWidth="1"/>
    <col min="5" max="5" width="11" customWidth="1"/>
    <col min="6" max="8" width="10.7109375" customWidth="1"/>
    <col min="9" max="9" width="20.42578125" customWidth="1"/>
    <col min="10" max="26" width="10.7109375" customWidth="1"/>
  </cols>
  <sheetData>
    <row r="2" spans="3:9" x14ac:dyDescent="0.25">
      <c r="C2" s="75" t="s">
        <v>0</v>
      </c>
      <c r="D2" s="76"/>
      <c r="E2" s="77"/>
    </row>
    <row r="3" spans="3:9" ht="15" customHeight="1" x14ac:dyDescent="0.25">
      <c r="C3" s="18" t="s">
        <v>1</v>
      </c>
      <c r="D3" s="74" t="s">
        <v>2</v>
      </c>
      <c r="E3" s="74"/>
    </row>
    <row r="4" spans="3:9" ht="15.75" customHeight="1" x14ac:dyDescent="0.25">
      <c r="C4" s="17" t="s">
        <v>3</v>
      </c>
      <c r="D4" s="87">
        <v>1423500</v>
      </c>
      <c r="E4" s="87"/>
    </row>
    <row r="5" spans="3:9" ht="15.75" customHeight="1" x14ac:dyDescent="0.25">
      <c r="C5" s="17" t="s">
        <v>4</v>
      </c>
      <c r="D5" s="87">
        <v>200000</v>
      </c>
      <c r="E5" s="87"/>
      <c r="I5" s="28"/>
    </row>
    <row r="6" spans="3:9" ht="15.75" customHeight="1" x14ac:dyDescent="0.25">
      <c r="C6" s="17" t="s">
        <v>5</v>
      </c>
      <c r="D6" s="17">
        <v>0.04</v>
      </c>
      <c r="E6" s="81" t="s">
        <v>6</v>
      </c>
    </row>
    <row r="7" spans="3:9" ht="15.75" customHeight="1" x14ac:dyDescent="0.25">
      <c r="C7" s="17" t="s">
        <v>7</v>
      </c>
      <c r="D7" s="17">
        <v>0.04</v>
      </c>
      <c r="E7" s="82"/>
    </row>
    <row r="8" spans="3:9" ht="15.75" customHeight="1" x14ac:dyDescent="0.25">
      <c r="C8" s="17" t="s">
        <v>8</v>
      </c>
      <c r="D8" s="17">
        <v>8.5000000000000006E-2</v>
      </c>
      <c r="E8" s="82"/>
    </row>
    <row r="9" spans="3:9" ht="15.75" customHeight="1" x14ac:dyDescent="0.25">
      <c r="C9" s="17" t="s">
        <v>9</v>
      </c>
      <c r="D9" s="17">
        <v>0.12</v>
      </c>
      <c r="E9" s="82"/>
    </row>
    <row r="10" spans="3:9" ht="15.75" customHeight="1" x14ac:dyDescent="0.25">
      <c r="C10" s="17" t="s">
        <v>10</v>
      </c>
      <c r="D10" s="17">
        <v>0.25</v>
      </c>
      <c r="E10" s="17">
        <v>1.25</v>
      </c>
    </row>
    <row r="11" spans="3:9" x14ac:dyDescent="0.25">
      <c r="C11" s="17" t="s">
        <v>11</v>
      </c>
      <c r="D11" s="17">
        <v>0.75</v>
      </c>
      <c r="E11" s="17">
        <v>1.75</v>
      </c>
    </row>
    <row r="12" spans="3:9" x14ac:dyDescent="0.25">
      <c r="C12" s="17" t="s">
        <v>12</v>
      </c>
      <c r="D12" s="17">
        <v>1</v>
      </c>
      <c r="E12" s="17">
        <v>2</v>
      </c>
    </row>
    <row r="13" spans="3:9" x14ac:dyDescent="0.25">
      <c r="C13" s="17" t="s">
        <v>13</v>
      </c>
      <c r="D13" s="17">
        <v>1.5</v>
      </c>
      <c r="E13" s="17">
        <v>2.5</v>
      </c>
    </row>
    <row r="14" spans="3:9" x14ac:dyDescent="0.25">
      <c r="C14" s="17" t="s">
        <v>14</v>
      </c>
      <c r="D14" s="17">
        <v>0.35</v>
      </c>
      <c r="E14" s="17">
        <v>1.35</v>
      </c>
    </row>
    <row r="15" spans="3:9" x14ac:dyDescent="0.25">
      <c r="C15" s="78" t="s">
        <v>15</v>
      </c>
      <c r="D15" s="79"/>
      <c r="E15" s="80"/>
    </row>
    <row r="16" spans="3:9" x14ac:dyDescent="0.25">
      <c r="C16" s="17" t="s">
        <v>16</v>
      </c>
      <c r="D16" s="17">
        <v>0.02</v>
      </c>
      <c r="E16" s="16"/>
    </row>
    <row r="17" spans="1:5" x14ac:dyDescent="0.25">
      <c r="A17" s="1"/>
      <c r="C17" s="17" t="s">
        <v>17</v>
      </c>
      <c r="D17" s="17">
        <v>0.03</v>
      </c>
      <c r="E17" s="16"/>
    </row>
    <row r="18" spans="1:5" x14ac:dyDescent="0.25">
      <c r="A18" s="1"/>
      <c r="C18" s="17" t="s">
        <v>18</v>
      </c>
      <c r="D18" s="17">
        <v>0.04</v>
      </c>
      <c r="E18" s="16"/>
    </row>
    <row r="19" spans="1:5" x14ac:dyDescent="0.25">
      <c r="A19" s="1"/>
      <c r="C19" s="78" t="s">
        <v>19</v>
      </c>
      <c r="D19" s="79"/>
      <c r="E19" s="80"/>
    </row>
    <row r="20" spans="1:5" x14ac:dyDescent="0.25">
      <c r="A20" s="1"/>
      <c r="C20" s="17" t="s">
        <v>20</v>
      </c>
      <c r="D20" s="17">
        <v>8.3333333333333343E-2</v>
      </c>
      <c r="E20" s="16"/>
    </row>
    <row r="21" spans="1:5" ht="15.75" customHeight="1" x14ac:dyDescent="0.25">
      <c r="A21" s="1"/>
      <c r="C21" s="17" t="s">
        <v>21</v>
      </c>
      <c r="D21" s="17">
        <v>8.3333333333333343E-2</v>
      </c>
      <c r="E21" s="16"/>
    </row>
    <row r="22" spans="1:5" ht="15.75" customHeight="1" x14ac:dyDescent="0.25">
      <c r="A22" s="1"/>
      <c r="C22" s="17" t="s">
        <v>22</v>
      </c>
      <c r="D22" s="17">
        <v>4.1666666666666671E-2</v>
      </c>
      <c r="E22" s="16"/>
    </row>
    <row r="23" spans="1:5" ht="15.75" customHeight="1" x14ac:dyDescent="0.25">
      <c r="A23" s="1"/>
      <c r="C23" s="17" t="s">
        <v>23</v>
      </c>
      <c r="D23" s="17">
        <v>0.01</v>
      </c>
      <c r="E23" s="16"/>
    </row>
    <row r="24" spans="1:5" ht="15.75" customHeight="1" x14ac:dyDescent="0.25">
      <c r="A24" s="1"/>
      <c r="C24" s="83" t="s">
        <v>24</v>
      </c>
      <c r="D24" s="84"/>
      <c r="E24" s="84"/>
    </row>
    <row r="25" spans="1:5" ht="15.75" customHeight="1" x14ac:dyDescent="0.25">
      <c r="A25" s="1"/>
      <c r="C25" s="17" t="s">
        <v>25</v>
      </c>
      <c r="D25" s="85">
        <v>5.2199999999999998E-3</v>
      </c>
      <c r="E25" s="86"/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C24:E24"/>
    <mergeCell ref="D25:E25"/>
    <mergeCell ref="D4:E4"/>
    <mergeCell ref="D5:E5"/>
    <mergeCell ref="D3:E3"/>
    <mergeCell ref="C2:E2"/>
    <mergeCell ref="C15:E15"/>
    <mergeCell ref="C19:E19"/>
    <mergeCell ref="E6:E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00"/>
  <sheetViews>
    <sheetView workbookViewId="0">
      <selection activeCell="H3" sqref="H3:H13"/>
    </sheetView>
  </sheetViews>
  <sheetFormatPr baseColWidth="10" defaultColWidth="14.42578125" defaultRowHeight="15" customHeight="1" x14ac:dyDescent="0.25"/>
  <cols>
    <col min="1" max="2" width="10.7109375" customWidth="1"/>
    <col min="3" max="3" width="21.7109375" customWidth="1"/>
    <col min="4" max="4" width="20.85546875" customWidth="1"/>
    <col min="5" max="7" width="10.7109375" customWidth="1"/>
    <col min="8" max="8" width="18" customWidth="1"/>
    <col min="9" max="26" width="10.7109375" customWidth="1"/>
  </cols>
  <sheetData>
    <row r="2" spans="2:8" x14ac:dyDescent="0.25">
      <c r="B2" s="88" t="s">
        <v>26</v>
      </c>
      <c r="C2" s="88"/>
      <c r="D2" s="88"/>
      <c r="H2" s="22" t="s">
        <v>27</v>
      </c>
    </row>
    <row r="3" spans="2:8" x14ac:dyDescent="0.25">
      <c r="B3" s="20" t="s">
        <v>28</v>
      </c>
      <c r="C3" s="20" t="s">
        <v>29</v>
      </c>
      <c r="D3" s="20" t="s">
        <v>30</v>
      </c>
      <c r="H3" s="17" t="s">
        <v>31</v>
      </c>
    </row>
    <row r="4" spans="2:8" x14ac:dyDescent="0.25">
      <c r="B4" s="19">
        <v>1</v>
      </c>
      <c r="C4" s="17" t="s">
        <v>32</v>
      </c>
      <c r="D4" s="21">
        <v>1423500</v>
      </c>
      <c r="H4" s="17" t="s">
        <v>33</v>
      </c>
    </row>
    <row r="5" spans="2:8" x14ac:dyDescent="0.25">
      <c r="B5" s="19">
        <v>2</v>
      </c>
      <c r="C5" s="17" t="s">
        <v>34</v>
      </c>
      <c r="D5" s="21">
        <v>1626000</v>
      </c>
      <c r="H5" s="17" t="s">
        <v>35</v>
      </c>
    </row>
    <row r="6" spans="2:8" x14ac:dyDescent="0.25">
      <c r="B6" s="19">
        <v>3</v>
      </c>
      <c r="C6" s="17" t="s">
        <v>36</v>
      </c>
      <c r="D6" s="21">
        <v>1813000</v>
      </c>
      <c r="H6" s="17" t="s">
        <v>37</v>
      </c>
    </row>
    <row r="7" spans="2:8" x14ac:dyDescent="0.25">
      <c r="B7" s="19">
        <v>4</v>
      </c>
      <c r="C7" s="17" t="s">
        <v>38</v>
      </c>
      <c r="D7" s="21">
        <v>2450000</v>
      </c>
      <c r="H7" s="17" t="s">
        <v>39</v>
      </c>
    </row>
    <row r="8" spans="2:8" x14ac:dyDescent="0.25">
      <c r="B8" s="19">
        <v>5</v>
      </c>
      <c r="C8" s="17" t="s">
        <v>40</v>
      </c>
      <c r="D8" s="21">
        <v>2650000</v>
      </c>
      <c r="H8" s="17" t="s">
        <v>41</v>
      </c>
    </row>
    <row r="9" spans="2:8" x14ac:dyDescent="0.25">
      <c r="B9" s="19">
        <v>6</v>
      </c>
      <c r="C9" s="17" t="s">
        <v>42</v>
      </c>
      <c r="D9" s="21">
        <v>2950000</v>
      </c>
      <c r="H9" s="17" t="s">
        <v>43</v>
      </c>
    </row>
    <row r="10" spans="2:8" x14ac:dyDescent="0.25">
      <c r="B10" s="19">
        <v>7</v>
      </c>
      <c r="C10" s="17" t="s">
        <v>44</v>
      </c>
      <c r="D10" s="21">
        <v>3250000</v>
      </c>
      <c r="H10" s="17" t="s">
        <v>45</v>
      </c>
    </row>
    <row r="11" spans="2:8" x14ac:dyDescent="0.25">
      <c r="B11" s="19">
        <v>8</v>
      </c>
      <c r="C11" s="17" t="s">
        <v>46</v>
      </c>
      <c r="D11" s="21">
        <v>3900000</v>
      </c>
      <c r="H11" s="17" t="s">
        <v>47</v>
      </c>
    </row>
    <row r="12" spans="2:8" x14ac:dyDescent="0.25">
      <c r="B12" s="19">
        <v>9</v>
      </c>
      <c r="C12" s="17" t="s">
        <v>48</v>
      </c>
      <c r="D12" s="21">
        <v>6000000</v>
      </c>
      <c r="H12" s="17" t="s">
        <v>49</v>
      </c>
    </row>
    <row r="13" spans="2:8" x14ac:dyDescent="0.25">
      <c r="B13" s="19">
        <v>10</v>
      </c>
      <c r="C13" s="17" t="s">
        <v>50</v>
      </c>
      <c r="D13" s="21">
        <v>6500000</v>
      </c>
      <c r="H13" s="17" t="s">
        <v>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D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01"/>
  <sheetViews>
    <sheetView workbookViewId="0">
      <selection activeCell="A11" sqref="A11:F12"/>
    </sheetView>
  </sheetViews>
  <sheetFormatPr baseColWidth="10" defaultColWidth="14.42578125" defaultRowHeight="15" customHeight="1" x14ac:dyDescent="0.25"/>
  <cols>
    <col min="1" max="1" width="17" bestFit="1" customWidth="1"/>
    <col min="2" max="2" width="17" customWidth="1"/>
    <col min="3" max="26" width="10.7109375" customWidth="1"/>
  </cols>
  <sheetData>
    <row r="2" spans="1:6" x14ac:dyDescent="0.25">
      <c r="A2" s="89" t="s">
        <v>52</v>
      </c>
      <c r="B2" s="89"/>
    </row>
    <row r="3" spans="1:6" x14ac:dyDescent="0.25">
      <c r="A3" s="19" t="s">
        <v>53</v>
      </c>
      <c r="B3" s="19" t="s">
        <v>54</v>
      </c>
    </row>
    <row r="4" spans="1:6" x14ac:dyDescent="0.25">
      <c r="A4" s="23">
        <v>0</v>
      </c>
      <c r="B4" s="23">
        <v>0</v>
      </c>
    </row>
    <row r="5" spans="1:6" x14ac:dyDescent="0.25">
      <c r="A5" s="23">
        <v>1900000</v>
      </c>
      <c r="B5" s="23">
        <v>0</v>
      </c>
    </row>
    <row r="6" spans="1:6" x14ac:dyDescent="0.25">
      <c r="A6" s="23">
        <v>3900000</v>
      </c>
      <c r="B6" s="23">
        <v>65000</v>
      </c>
    </row>
    <row r="7" spans="1:6" x14ac:dyDescent="0.25">
      <c r="A7" s="23">
        <v>4700000</v>
      </c>
      <c r="B7" s="23">
        <v>79000</v>
      </c>
    </row>
    <row r="8" spans="1:6" x14ac:dyDescent="0.25">
      <c r="A8" s="23">
        <v>5200000</v>
      </c>
      <c r="B8" s="23">
        <v>85000</v>
      </c>
    </row>
    <row r="9" spans="1:6" x14ac:dyDescent="0.25">
      <c r="A9" s="1"/>
      <c r="B9" s="1"/>
    </row>
    <row r="10" spans="1:6" ht="15" customHeight="1" x14ac:dyDescent="0.25">
      <c r="A10" s="64" t="s">
        <v>52</v>
      </c>
      <c r="B10" s="64"/>
      <c r="C10" s="64"/>
      <c r="D10" s="64"/>
      <c r="E10" s="64"/>
      <c r="F10" s="64"/>
    </row>
    <row r="11" spans="1:6" ht="15" customHeight="1" x14ac:dyDescent="0.25">
      <c r="A11" s="24" t="s">
        <v>53</v>
      </c>
      <c r="B11" s="23">
        <v>0</v>
      </c>
      <c r="C11" s="23">
        <v>1900000</v>
      </c>
      <c r="D11" s="23">
        <v>3900000</v>
      </c>
      <c r="E11" s="23">
        <v>4700000</v>
      </c>
      <c r="F11" s="23">
        <v>5200000</v>
      </c>
    </row>
    <row r="12" spans="1:6" ht="15" customHeight="1" x14ac:dyDescent="0.25">
      <c r="A12" s="24" t="s">
        <v>54</v>
      </c>
      <c r="B12" s="23">
        <v>0</v>
      </c>
      <c r="C12" s="23">
        <v>0</v>
      </c>
      <c r="D12" s="23">
        <v>65000</v>
      </c>
      <c r="E12" s="23">
        <v>79000</v>
      </c>
      <c r="F12" s="23">
        <v>85000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A2:B2"/>
    <mergeCell ref="A10:F10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000"/>
  <sheetViews>
    <sheetView topLeftCell="E1" workbookViewId="0">
      <selection activeCell="N4" sqref="N4"/>
    </sheetView>
  </sheetViews>
  <sheetFormatPr baseColWidth="10" defaultColWidth="14.42578125" defaultRowHeight="15" customHeight="1" x14ac:dyDescent="0.25"/>
  <cols>
    <col min="1" max="1" width="39.7109375" customWidth="1"/>
    <col min="2" max="2" width="11.5703125" customWidth="1"/>
    <col min="3" max="3" width="20.140625" customWidth="1"/>
    <col min="4" max="15" width="16" customWidth="1"/>
    <col min="16" max="30" width="10.7109375" customWidth="1"/>
  </cols>
  <sheetData>
    <row r="2" spans="1:15" ht="63.75" x14ac:dyDescent="0.25">
      <c r="A2" s="26" t="s">
        <v>55</v>
      </c>
      <c r="B2" s="26" t="s">
        <v>56</v>
      </c>
      <c r="C2" s="26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 t="s">
        <v>62</v>
      </c>
      <c r="I2" s="27" t="s">
        <v>63</v>
      </c>
      <c r="J2" s="27" t="s">
        <v>297</v>
      </c>
      <c r="K2" s="27" t="s">
        <v>296</v>
      </c>
      <c r="L2" s="27" t="s">
        <v>298</v>
      </c>
      <c r="M2" s="27" t="s">
        <v>299</v>
      </c>
      <c r="N2" s="27" t="s">
        <v>64</v>
      </c>
      <c r="O2" s="27" t="s">
        <v>65</v>
      </c>
    </row>
    <row r="3" spans="1:15" x14ac:dyDescent="0.25">
      <c r="A3" s="17" t="s">
        <v>66</v>
      </c>
      <c r="B3" s="17">
        <v>7</v>
      </c>
      <c r="C3" s="25">
        <f>VLOOKUP(B3,'Tabla Salarios'!$B$3:$D$13,3,0)</f>
        <v>3250000</v>
      </c>
      <c r="D3" s="16">
        <v>29</v>
      </c>
      <c r="E3" s="31">
        <f>C3/220*'Valores Vigentes'!$E$10*D3</f>
        <v>535511.36363636353</v>
      </c>
      <c r="F3" s="16">
        <v>5</v>
      </c>
      <c r="G3" s="31">
        <f>C3/220*'Valores Vigentes'!$E$11*F3</f>
        <v>129261.36363636365</v>
      </c>
      <c r="H3" s="16">
        <v>23</v>
      </c>
      <c r="I3" s="31">
        <f>C3/220*'Valores Vigentes'!$E$12*H3</f>
        <v>679545.45454545447</v>
      </c>
      <c r="J3" s="31">
        <f>C3/220*'Valores Vigentes'!$E$13*K3</f>
        <v>295454.54545454541</v>
      </c>
      <c r="K3" s="16">
        <v>8</v>
      </c>
      <c r="L3" s="16">
        <v>4</v>
      </c>
      <c r="M3" s="31">
        <f>C3/220*L3*'Valores Vigentes'!$E$14</f>
        <v>79772.727272727279</v>
      </c>
      <c r="N3" s="16">
        <f>D3+F3+H3+K3</f>
        <v>65</v>
      </c>
      <c r="O3" s="31">
        <f>E3+G3+I3</f>
        <v>1344318.1818181816</v>
      </c>
    </row>
    <row r="4" spans="1:15" x14ac:dyDescent="0.25">
      <c r="A4" s="17" t="s">
        <v>67</v>
      </c>
      <c r="B4" s="17">
        <v>7</v>
      </c>
      <c r="C4" s="25">
        <f>VLOOKUP(B4,'Tabla Salarios'!$B$3:$D$13,3,0)</f>
        <v>3250000</v>
      </c>
      <c r="D4" s="16">
        <v>13</v>
      </c>
      <c r="E4" s="31">
        <f>C4/220*'Valores Vigentes'!$E$10*D4</f>
        <v>240056.81818181815</v>
      </c>
      <c r="F4" s="16">
        <v>28</v>
      </c>
      <c r="G4" s="31">
        <f>C4/220*'Valores Vigentes'!$E$11*F4</f>
        <v>723863.63636363635</v>
      </c>
      <c r="H4" s="16">
        <v>2</v>
      </c>
      <c r="I4" s="31">
        <f>C4/220*'Valores Vigentes'!$E$12*H4</f>
        <v>59090.909090909088</v>
      </c>
      <c r="J4" s="31">
        <f>C4/220*'Valores Vigentes'!$E$13*K4</f>
        <v>590909.09090909082</v>
      </c>
      <c r="K4" s="16">
        <v>16</v>
      </c>
      <c r="L4" s="16">
        <v>22</v>
      </c>
      <c r="M4" s="31">
        <f>C4/220*L4*'Valores Vigentes'!$E$14</f>
        <v>438750</v>
      </c>
      <c r="N4" s="16">
        <f t="shared" ref="N4:N67" si="0">D4+F4+H4+K4</f>
        <v>59</v>
      </c>
      <c r="O4" s="31">
        <f t="shared" ref="O4:O67" si="1">E4+G4+I4</f>
        <v>1023011.3636363635</v>
      </c>
    </row>
    <row r="5" spans="1:15" x14ac:dyDescent="0.25">
      <c r="A5" s="17" t="s">
        <v>68</v>
      </c>
      <c r="B5" s="17">
        <v>5</v>
      </c>
      <c r="C5" s="25">
        <f>VLOOKUP(B5,'Tabla Salarios'!$B$3:$D$13,3,0)</f>
        <v>2650000</v>
      </c>
      <c r="D5" s="16">
        <v>9</v>
      </c>
      <c r="E5" s="31">
        <f>C5/220*'Valores Vigentes'!$E$10*D5</f>
        <v>135511.36363636365</v>
      </c>
      <c r="F5" s="16">
        <v>16</v>
      </c>
      <c r="G5" s="31">
        <f>C5/220*'Valores Vigentes'!$E$11*F5</f>
        <v>337272.72727272729</v>
      </c>
      <c r="H5" s="16">
        <v>3</v>
      </c>
      <c r="I5" s="31">
        <f>C5/220*'Valores Vigentes'!$E$12*H5</f>
        <v>72272.727272727279</v>
      </c>
      <c r="J5" s="31">
        <f>C5/220*'Valores Vigentes'!$E$13*K5</f>
        <v>421590.90909090912</v>
      </c>
      <c r="K5" s="16">
        <v>14</v>
      </c>
      <c r="L5" s="16">
        <v>15</v>
      </c>
      <c r="M5" s="31">
        <f>C5/220*L5*'Valores Vigentes'!$E$14</f>
        <v>243920.45454545456</v>
      </c>
      <c r="N5" s="16">
        <f t="shared" si="0"/>
        <v>42</v>
      </c>
      <c r="O5" s="31">
        <f t="shared" si="1"/>
        <v>545056.81818181823</v>
      </c>
    </row>
    <row r="6" spans="1:15" x14ac:dyDescent="0.25">
      <c r="A6" s="17" t="s">
        <v>69</v>
      </c>
      <c r="B6" s="17">
        <v>9</v>
      </c>
      <c r="C6" s="25">
        <f>VLOOKUP(B6,'Tabla Salarios'!$B$3:$D$13,3,0)</f>
        <v>6000000</v>
      </c>
      <c r="D6" s="16">
        <v>2</v>
      </c>
      <c r="E6" s="31">
        <f>C6/220*'Valores Vigentes'!$E$10*D6</f>
        <v>68181.818181818177</v>
      </c>
      <c r="F6" s="16">
        <v>7</v>
      </c>
      <c r="G6" s="31">
        <f>C6/220*'Valores Vigentes'!$E$11*F6</f>
        <v>334090.90909090912</v>
      </c>
      <c r="H6" s="16">
        <v>19</v>
      </c>
      <c r="I6" s="31">
        <f>C6/220*'Valores Vigentes'!$E$12*H6</f>
        <v>1036363.6363636364</v>
      </c>
      <c r="J6" s="31">
        <f>C6/220*'Valores Vigentes'!$E$13*K6</f>
        <v>750000</v>
      </c>
      <c r="K6" s="16">
        <v>11</v>
      </c>
      <c r="L6" s="16">
        <v>30</v>
      </c>
      <c r="M6" s="31">
        <f>C6/220*L6*'Valores Vigentes'!$E$14</f>
        <v>1104545.4545454546</v>
      </c>
      <c r="N6" s="16">
        <f t="shared" si="0"/>
        <v>39</v>
      </c>
      <c r="O6" s="31">
        <f t="shared" si="1"/>
        <v>1438636.3636363638</v>
      </c>
    </row>
    <row r="7" spans="1:15" x14ac:dyDescent="0.25">
      <c r="A7" s="17" t="s">
        <v>70</v>
      </c>
      <c r="B7" s="17">
        <v>4</v>
      </c>
      <c r="C7" s="25">
        <f>VLOOKUP(B7,'Tabla Salarios'!$B$3:$D$13,3,0)</f>
        <v>2450000</v>
      </c>
      <c r="D7" s="16">
        <v>20</v>
      </c>
      <c r="E7" s="31">
        <f>C7/220*'Valores Vigentes'!$E$10*D7</f>
        <v>278409.09090909088</v>
      </c>
      <c r="F7" s="16">
        <v>29</v>
      </c>
      <c r="G7" s="31">
        <f>C7/220*'Valores Vigentes'!$E$11*F7</f>
        <v>565170.45454545459</v>
      </c>
      <c r="H7" s="16">
        <v>25</v>
      </c>
      <c r="I7" s="31">
        <f>C7/220*'Valores Vigentes'!$E$12*H7</f>
        <v>556818.18181818177</v>
      </c>
      <c r="J7" s="31">
        <f>C7/220*'Valores Vigentes'!$E$13*K7</f>
        <v>361931.81818181812</v>
      </c>
      <c r="K7" s="16">
        <v>13</v>
      </c>
      <c r="L7" s="16">
        <v>25</v>
      </c>
      <c r="M7" s="31">
        <f>C7/220*L7*'Valores Vigentes'!$E$14</f>
        <v>375852.27272727271</v>
      </c>
      <c r="N7" s="16">
        <f t="shared" si="0"/>
        <v>87</v>
      </c>
      <c r="O7" s="31">
        <f t="shared" si="1"/>
        <v>1400397.7272727271</v>
      </c>
    </row>
    <row r="8" spans="1:15" x14ac:dyDescent="0.25">
      <c r="A8" s="17" t="s">
        <v>71</v>
      </c>
      <c r="B8" s="17">
        <v>4</v>
      </c>
      <c r="C8" s="25">
        <f>VLOOKUP(B8,'Tabla Salarios'!$B$3:$D$13,3,0)</f>
        <v>2450000</v>
      </c>
      <c r="D8" s="16">
        <v>7</v>
      </c>
      <c r="E8" s="31">
        <f>C8/220*'Valores Vigentes'!$E$10*D8</f>
        <v>97443.181818181809</v>
      </c>
      <c r="F8" s="16">
        <v>27</v>
      </c>
      <c r="G8" s="31">
        <f>C8/220*'Valores Vigentes'!$E$11*F8</f>
        <v>526193.18181818188</v>
      </c>
      <c r="H8" s="16">
        <v>10</v>
      </c>
      <c r="I8" s="31">
        <f>C8/220*'Valores Vigentes'!$E$12*H8</f>
        <v>222727.27272727271</v>
      </c>
      <c r="J8" s="31">
        <f>C8/220*'Valores Vigentes'!$E$13*K8</f>
        <v>835227.27272727271</v>
      </c>
      <c r="K8" s="16">
        <v>30</v>
      </c>
      <c r="L8" s="16">
        <v>3</v>
      </c>
      <c r="M8" s="31">
        <f>C8/220*L8*'Valores Vigentes'!$E$14</f>
        <v>45102.272727272735</v>
      </c>
      <c r="N8" s="16">
        <f t="shared" si="0"/>
        <v>74</v>
      </c>
      <c r="O8" s="31">
        <f t="shared" si="1"/>
        <v>846363.63636363635</v>
      </c>
    </row>
    <row r="9" spans="1:15" x14ac:dyDescent="0.25">
      <c r="A9" s="17" t="s">
        <v>72</v>
      </c>
      <c r="B9" s="17">
        <v>2</v>
      </c>
      <c r="C9" s="25">
        <f>VLOOKUP(B9,'Tabla Salarios'!$B$3:$D$13,3,0)</f>
        <v>1626000</v>
      </c>
      <c r="D9" s="16">
        <v>10</v>
      </c>
      <c r="E9" s="31">
        <f>C9/220*'Valores Vigentes'!$E$10*D9</f>
        <v>92386.363636363647</v>
      </c>
      <c r="F9" s="16">
        <v>24</v>
      </c>
      <c r="G9" s="31">
        <f>C9/220*'Valores Vigentes'!$E$11*F9</f>
        <v>310418.18181818182</v>
      </c>
      <c r="H9" s="16">
        <v>13</v>
      </c>
      <c r="I9" s="31">
        <f>C9/220*'Valores Vigentes'!$E$12*H9</f>
        <v>192163.63636363635</v>
      </c>
      <c r="J9" s="31">
        <f>C9/220*'Valores Vigentes'!$E$13*K9</f>
        <v>0</v>
      </c>
      <c r="K9" s="16">
        <v>0</v>
      </c>
      <c r="L9" s="16">
        <v>24</v>
      </c>
      <c r="M9" s="31">
        <f>C9/220*L9*'Valores Vigentes'!$E$14</f>
        <v>239465.45454545456</v>
      </c>
      <c r="N9" s="16">
        <f t="shared" si="0"/>
        <v>47</v>
      </c>
      <c r="O9" s="31">
        <f t="shared" si="1"/>
        <v>594968.18181818188</v>
      </c>
    </row>
    <row r="10" spans="1:15" x14ac:dyDescent="0.25">
      <c r="A10" s="17" t="s">
        <v>73</v>
      </c>
      <c r="B10" s="17">
        <v>7</v>
      </c>
      <c r="C10" s="25">
        <f>VLOOKUP(B10,'Tabla Salarios'!$B$3:$D$13,3,0)</f>
        <v>3250000</v>
      </c>
      <c r="D10" s="16">
        <v>17</v>
      </c>
      <c r="E10" s="31">
        <f>C10/220*'Valores Vigentes'!$E$10*D10</f>
        <v>313920.45454545447</v>
      </c>
      <c r="F10" s="16">
        <v>7</v>
      </c>
      <c r="G10" s="31">
        <f>C10/220*'Valores Vigentes'!$E$11*F10</f>
        <v>180965.90909090909</v>
      </c>
      <c r="H10" s="16">
        <v>7</v>
      </c>
      <c r="I10" s="31">
        <f>C10/220*'Valores Vigentes'!$E$12*H10</f>
        <v>206818.18181818182</v>
      </c>
      <c r="J10" s="31">
        <f>C10/220*'Valores Vigentes'!$E$13*K10</f>
        <v>627840.90909090894</v>
      </c>
      <c r="K10" s="16">
        <v>17</v>
      </c>
      <c r="L10" s="16">
        <v>25</v>
      </c>
      <c r="M10" s="31">
        <f>C10/220*L10*'Valores Vigentes'!$E$14</f>
        <v>498579.54545454547</v>
      </c>
      <c r="N10" s="16">
        <f t="shared" si="0"/>
        <v>48</v>
      </c>
      <c r="O10" s="31">
        <f t="shared" si="1"/>
        <v>701704.54545454541</v>
      </c>
    </row>
    <row r="11" spans="1:15" x14ac:dyDescent="0.25">
      <c r="A11" s="17" t="s">
        <v>74</v>
      </c>
      <c r="B11" s="17">
        <v>1</v>
      </c>
      <c r="C11" s="25">
        <f>VLOOKUP(B11,'Tabla Salarios'!$B$3:$D$13,3,0)</f>
        <v>1423500</v>
      </c>
      <c r="D11" s="16">
        <v>1</v>
      </c>
      <c r="E11" s="31">
        <f>C11/220*'Valores Vigentes'!$E$10*D11</f>
        <v>8088.0681818181811</v>
      </c>
      <c r="F11" s="16">
        <v>18</v>
      </c>
      <c r="G11" s="31">
        <f>C11/220*'Valores Vigentes'!$E$11*F11</f>
        <v>203819.31818181818</v>
      </c>
      <c r="H11" s="16">
        <v>3</v>
      </c>
      <c r="I11" s="31">
        <f>C11/220*'Valores Vigentes'!$E$12*H11</f>
        <v>38822.727272727272</v>
      </c>
      <c r="J11" s="31">
        <f>C11/220*'Valores Vigentes'!$E$13*K11</f>
        <v>242642.04545454544</v>
      </c>
      <c r="K11" s="16">
        <v>15</v>
      </c>
      <c r="L11" s="16">
        <v>13</v>
      </c>
      <c r="M11" s="31">
        <f>C11/220*L11*'Valores Vigentes'!$E$14</f>
        <v>113556.47727272728</v>
      </c>
      <c r="N11" s="16">
        <f t="shared" si="0"/>
        <v>37</v>
      </c>
      <c r="O11" s="31">
        <f t="shared" si="1"/>
        <v>250730.11363636362</v>
      </c>
    </row>
    <row r="12" spans="1:15" x14ac:dyDescent="0.25">
      <c r="A12" s="17" t="s">
        <v>75</v>
      </c>
      <c r="B12" s="17">
        <v>5</v>
      </c>
      <c r="C12" s="25">
        <f>VLOOKUP(B12,'Tabla Salarios'!$B$3:$D$13,3,0)</f>
        <v>2650000</v>
      </c>
      <c r="D12" s="16">
        <v>11</v>
      </c>
      <c r="E12" s="31">
        <f>C12/220*'Valores Vigentes'!$E$10*D12</f>
        <v>165625</v>
      </c>
      <c r="F12" s="16">
        <v>8</v>
      </c>
      <c r="G12" s="31">
        <f>C12/220*'Valores Vigentes'!$E$11*F12</f>
        <v>168636.36363636365</v>
      </c>
      <c r="H12" s="16">
        <v>29</v>
      </c>
      <c r="I12" s="31">
        <f>C12/220*'Valores Vigentes'!$E$12*H12</f>
        <v>698636.36363636365</v>
      </c>
      <c r="J12" s="31">
        <f>C12/220*'Valores Vigentes'!$E$13*K12</f>
        <v>632386.36363636365</v>
      </c>
      <c r="K12" s="16">
        <v>21</v>
      </c>
      <c r="L12" s="16">
        <v>27</v>
      </c>
      <c r="M12" s="31">
        <f>C12/220*L12*'Valores Vigentes'!$E$14</f>
        <v>439056.81818181823</v>
      </c>
      <c r="N12" s="16">
        <f t="shared" si="0"/>
        <v>69</v>
      </c>
      <c r="O12" s="31">
        <f t="shared" si="1"/>
        <v>1032897.7272727273</v>
      </c>
    </row>
    <row r="13" spans="1:15" x14ac:dyDescent="0.25">
      <c r="A13" s="17" t="s">
        <v>76</v>
      </c>
      <c r="B13" s="17">
        <v>7</v>
      </c>
      <c r="C13" s="25">
        <f>VLOOKUP(B13,'Tabla Salarios'!$B$3:$D$13,3,0)</f>
        <v>3250000</v>
      </c>
      <c r="D13" s="16">
        <v>5</v>
      </c>
      <c r="E13" s="31">
        <f>C13/220*'Valores Vigentes'!$E$10*D13</f>
        <v>92329.545454545441</v>
      </c>
      <c r="F13" s="16">
        <v>9</v>
      </c>
      <c r="G13" s="31">
        <f>C13/220*'Valores Vigentes'!$E$11*F13</f>
        <v>232670.45454545456</v>
      </c>
      <c r="H13" s="16">
        <v>11</v>
      </c>
      <c r="I13" s="31">
        <f>C13/220*'Valores Vigentes'!$E$12*H13</f>
        <v>325000</v>
      </c>
      <c r="J13" s="31">
        <f>C13/220*'Valores Vigentes'!$E$13*K13</f>
        <v>221590.90909090906</v>
      </c>
      <c r="K13" s="16">
        <v>6</v>
      </c>
      <c r="L13" s="16">
        <v>27</v>
      </c>
      <c r="M13" s="31">
        <f>C13/220*L13*'Valores Vigentes'!$E$14</f>
        <v>538465.90909090906</v>
      </c>
      <c r="N13" s="16">
        <f t="shared" si="0"/>
        <v>31</v>
      </c>
      <c r="O13" s="31">
        <f t="shared" si="1"/>
        <v>650000</v>
      </c>
    </row>
    <row r="14" spans="1:15" x14ac:dyDescent="0.25">
      <c r="A14" s="17" t="s">
        <v>77</v>
      </c>
      <c r="B14" s="17">
        <v>2</v>
      </c>
      <c r="C14" s="25">
        <f>VLOOKUP(B14,'Tabla Salarios'!$B$3:$D$13,3,0)</f>
        <v>1626000</v>
      </c>
      <c r="D14" s="16">
        <v>5</v>
      </c>
      <c r="E14" s="31">
        <f>C14/220*'Valores Vigentes'!$E$10*D14</f>
        <v>46193.181818181823</v>
      </c>
      <c r="F14" s="16">
        <v>26</v>
      </c>
      <c r="G14" s="31">
        <f>C14/220*'Valores Vigentes'!$E$11*F14</f>
        <v>336286.36363636365</v>
      </c>
      <c r="H14" s="16">
        <v>15</v>
      </c>
      <c r="I14" s="31">
        <f>C14/220*'Valores Vigentes'!$E$12*H14</f>
        <v>221727.27272727274</v>
      </c>
      <c r="J14" s="31">
        <f>C14/220*'Valores Vigentes'!$E$13*K14</f>
        <v>406500</v>
      </c>
      <c r="K14" s="16">
        <v>22</v>
      </c>
      <c r="L14" s="16">
        <v>21</v>
      </c>
      <c r="M14" s="31">
        <f>C14/220*L14*'Valores Vigentes'!$E$14</f>
        <v>209532.27272727274</v>
      </c>
      <c r="N14" s="16">
        <f t="shared" si="0"/>
        <v>68</v>
      </c>
      <c r="O14" s="31">
        <f t="shared" si="1"/>
        <v>604206.81818181823</v>
      </c>
    </row>
    <row r="15" spans="1:15" x14ac:dyDescent="0.25">
      <c r="A15" s="17" t="s">
        <v>78</v>
      </c>
      <c r="B15" s="17">
        <v>7</v>
      </c>
      <c r="C15" s="25">
        <f>VLOOKUP(B15,'Tabla Salarios'!$B$3:$D$13,3,0)</f>
        <v>3250000</v>
      </c>
      <c r="D15" s="16">
        <v>11</v>
      </c>
      <c r="E15" s="31">
        <f>C15/220*'Valores Vigentes'!$E$10*D15</f>
        <v>203124.99999999997</v>
      </c>
      <c r="F15" s="16">
        <v>8</v>
      </c>
      <c r="G15" s="31">
        <f>C15/220*'Valores Vigentes'!$E$11*F15</f>
        <v>206818.18181818182</v>
      </c>
      <c r="H15" s="16">
        <v>21</v>
      </c>
      <c r="I15" s="31">
        <f>C15/220*'Valores Vigentes'!$E$12*H15</f>
        <v>620454.54545454541</v>
      </c>
      <c r="J15" s="31">
        <f>C15/220*'Valores Vigentes'!$E$13*K15</f>
        <v>110795.45454545453</v>
      </c>
      <c r="K15" s="16">
        <v>3</v>
      </c>
      <c r="L15" s="16">
        <v>4</v>
      </c>
      <c r="M15" s="31">
        <f>C15/220*L15*'Valores Vigentes'!$E$14</f>
        <v>79772.727272727279</v>
      </c>
      <c r="N15" s="16">
        <f t="shared" si="0"/>
        <v>43</v>
      </c>
      <c r="O15" s="31">
        <f t="shared" si="1"/>
        <v>1030397.7272727272</v>
      </c>
    </row>
    <row r="16" spans="1:15" x14ac:dyDescent="0.25">
      <c r="A16" s="17" t="s">
        <v>79</v>
      </c>
      <c r="B16" s="17">
        <v>7</v>
      </c>
      <c r="C16" s="25">
        <f>VLOOKUP(B16,'Tabla Salarios'!$B$3:$D$13,3,0)</f>
        <v>3250000</v>
      </c>
      <c r="D16" s="16">
        <v>9</v>
      </c>
      <c r="E16" s="31">
        <f>C16/220*'Valores Vigentes'!$E$10*D16</f>
        <v>166193.18181818179</v>
      </c>
      <c r="F16" s="16">
        <v>4</v>
      </c>
      <c r="G16" s="31">
        <f>C16/220*'Valores Vigentes'!$E$11*F16</f>
        <v>103409.09090909091</v>
      </c>
      <c r="H16" s="16">
        <v>14</v>
      </c>
      <c r="I16" s="31">
        <f>C16/220*'Valores Vigentes'!$E$12*H16</f>
        <v>413636.36363636365</v>
      </c>
      <c r="J16" s="31">
        <f>C16/220*'Valores Vigentes'!$E$13*K16</f>
        <v>627840.90909090894</v>
      </c>
      <c r="K16" s="16">
        <v>17</v>
      </c>
      <c r="L16" s="16">
        <v>11</v>
      </c>
      <c r="M16" s="31">
        <f>C16/220*L16*'Valores Vigentes'!$E$14</f>
        <v>219375</v>
      </c>
      <c r="N16" s="16">
        <f t="shared" si="0"/>
        <v>44</v>
      </c>
      <c r="O16" s="31">
        <f t="shared" si="1"/>
        <v>683238.63636363635</v>
      </c>
    </row>
    <row r="17" spans="1:15" x14ac:dyDescent="0.25">
      <c r="A17" s="17" t="s">
        <v>80</v>
      </c>
      <c r="B17" s="17">
        <v>5</v>
      </c>
      <c r="C17" s="25">
        <f>VLOOKUP(B17,'Tabla Salarios'!$B$3:$D$13,3,0)</f>
        <v>2650000</v>
      </c>
      <c r="D17" s="16">
        <v>2</v>
      </c>
      <c r="E17" s="31">
        <f>C17/220*'Valores Vigentes'!$E$10*D17</f>
        <v>30113.636363636364</v>
      </c>
      <c r="F17" s="16">
        <v>24</v>
      </c>
      <c r="G17" s="31">
        <f>C17/220*'Valores Vigentes'!$E$11*F17</f>
        <v>505909.09090909094</v>
      </c>
      <c r="H17" s="16">
        <v>0</v>
      </c>
      <c r="I17" s="31">
        <f>C17/220*'Valores Vigentes'!$E$12*H17</f>
        <v>0</v>
      </c>
      <c r="J17" s="31">
        <f>C17/220*'Valores Vigentes'!$E$13*K17</f>
        <v>813068.18181818188</v>
      </c>
      <c r="K17" s="16">
        <v>27</v>
      </c>
      <c r="L17" s="16">
        <v>3</v>
      </c>
      <c r="M17" s="31">
        <f>C17/220*L17*'Valores Vigentes'!$E$14</f>
        <v>48784.090909090919</v>
      </c>
      <c r="N17" s="16">
        <f t="shared" si="0"/>
        <v>53</v>
      </c>
      <c r="O17" s="31">
        <f t="shared" si="1"/>
        <v>536022.72727272729</v>
      </c>
    </row>
    <row r="18" spans="1:15" x14ac:dyDescent="0.25">
      <c r="A18" s="17" t="s">
        <v>81</v>
      </c>
      <c r="B18" s="17">
        <v>4</v>
      </c>
      <c r="C18" s="25">
        <f>VLOOKUP(B18,'Tabla Salarios'!$B$3:$D$13,3,0)</f>
        <v>2450000</v>
      </c>
      <c r="D18" s="16">
        <v>12</v>
      </c>
      <c r="E18" s="31">
        <f>C18/220*'Valores Vigentes'!$E$10*D18</f>
        <v>167045.45454545453</v>
      </c>
      <c r="F18" s="16">
        <v>27</v>
      </c>
      <c r="G18" s="31">
        <f>C18/220*'Valores Vigentes'!$E$11*F18</f>
        <v>526193.18181818188</v>
      </c>
      <c r="H18" s="16">
        <v>9</v>
      </c>
      <c r="I18" s="31">
        <f>C18/220*'Valores Vigentes'!$E$12*H18</f>
        <v>200454.54545454544</v>
      </c>
      <c r="J18" s="31">
        <f>C18/220*'Valores Vigentes'!$E$13*K18</f>
        <v>807386.36363636353</v>
      </c>
      <c r="K18" s="16">
        <v>29</v>
      </c>
      <c r="L18" s="16">
        <v>20</v>
      </c>
      <c r="M18" s="31">
        <f>C18/220*L18*'Valores Vigentes'!$E$14</f>
        <v>300681.81818181818</v>
      </c>
      <c r="N18" s="16">
        <f t="shared" si="0"/>
        <v>77</v>
      </c>
      <c r="O18" s="31">
        <f t="shared" si="1"/>
        <v>893693.18181818188</v>
      </c>
    </row>
    <row r="19" spans="1:15" x14ac:dyDescent="0.25">
      <c r="A19" s="17" t="s">
        <v>82</v>
      </c>
      <c r="B19" s="17">
        <v>1</v>
      </c>
      <c r="C19" s="25">
        <f>VLOOKUP(B19,'Tabla Salarios'!$B$3:$D$13,3,0)</f>
        <v>1423500</v>
      </c>
      <c r="D19" s="16">
        <v>29</v>
      </c>
      <c r="E19" s="31">
        <f>C19/220*'Valores Vigentes'!$E$10*D19</f>
        <v>234553.97727272726</v>
      </c>
      <c r="F19" s="16">
        <v>0</v>
      </c>
      <c r="G19" s="31">
        <f>C19/220*'Valores Vigentes'!$E$11*F19</f>
        <v>0</v>
      </c>
      <c r="H19" s="16">
        <v>0</v>
      </c>
      <c r="I19" s="31">
        <f>C19/220*'Valores Vigentes'!$E$12*H19</f>
        <v>0</v>
      </c>
      <c r="J19" s="31">
        <f>C19/220*'Valores Vigentes'!$E$13*K19</f>
        <v>32352.272727272724</v>
      </c>
      <c r="K19" s="16">
        <v>2</v>
      </c>
      <c r="L19" s="16">
        <v>17</v>
      </c>
      <c r="M19" s="31">
        <f>C19/220*L19*'Valores Vigentes'!$E$14</f>
        <v>148496.93181818182</v>
      </c>
      <c r="N19" s="16">
        <f t="shared" si="0"/>
        <v>31</v>
      </c>
      <c r="O19" s="31">
        <f t="shared" si="1"/>
        <v>234553.97727272726</v>
      </c>
    </row>
    <row r="20" spans="1:15" x14ac:dyDescent="0.25">
      <c r="A20" s="17" t="s">
        <v>83</v>
      </c>
      <c r="B20" s="17">
        <v>8</v>
      </c>
      <c r="C20" s="25">
        <f>VLOOKUP(B20,'Tabla Salarios'!$B$3:$D$13,3,0)</f>
        <v>3900000</v>
      </c>
      <c r="D20" s="16">
        <v>4</v>
      </c>
      <c r="E20" s="31">
        <f>C20/220*'Valores Vigentes'!$E$10*D20</f>
        <v>88636.363636363647</v>
      </c>
      <c r="F20" s="16">
        <v>14</v>
      </c>
      <c r="G20" s="31">
        <f>C20/220*'Valores Vigentes'!$E$11*F20</f>
        <v>434318.18181818182</v>
      </c>
      <c r="H20" s="16">
        <v>2</v>
      </c>
      <c r="I20" s="31">
        <f>C20/220*'Valores Vigentes'!$E$12*H20</f>
        <v>70909.090909090912</v>
      </c>
      <c r="J20" s="31">
        <f>C20/220*'Valores Vigentes'!$E$13*K20</f>
        <v>265909.09090909094</v>
      </c>
      <c r="K20" s="16">
        <v>6</v>
      </c>
      <c r="L20" s="16">
        <v>26</v>
      </c>
      <c r="M20" s="31">
        <f>C20/220*L20*'Valores Vigentes'!$E$14</f>
        <v>622227.27272727282</v>
      </c>
      <c r="N20" s="16">
        <f t="shared" si="0"/>
        <v>26</v>
      </c>
      <c r="O20" s="31">
        <f t="shared" si="1"/>
        <v>593863.63636363635</v>
      </c>
    </row>
    <row r="21" spans="1:15" ht="15.75" customHeight="1" x14ac:dyDescent="0.25">
      <c r="A21" s="17" t="s">
        <v>84</v>
      </c>
      <c r="B21" s="17">
        <v>5</v>
      </c>
      <c r="C21" s="25">
        <f>VLOOKUP(B21,'Tabla Salarios'!$B$3:$D$13,3,0)</f>
        <v>2650000</v>
      </c>
      <c r="D21" s="16">
        <v>1</v>
      </c>
      <c r="E21" s="31">
        <f>C21/220*'Valores Vigentes'!$E$10*D21</f>
        <v>15056.818181818182</v>
      </c>
      <c r="F21" s="16">
        <v>23</v>
      </c>
      <c r="G21" s="31">
        <f>C21/220*'Valores Vigentes'!$E$11*F21</f>
        <v>484829.54545454547</v>
      </c>
      <c r="H21" s="16">
        <v>27</v>
      </c>
      <c r="I21" s="31">
        <f>C21/220*'Valores Vigentes'!$E$12*H21</f>
        <v>650454.54545454553</v>
      </c>
      <c r="J21" s="31">
        <f>C21/220*'Valores Vigentes'!$E$13*K21</f>
        <v>180681.81818181818</v>
      </c>
      <c r="K21" s="16">
        <v>6</v>
      </c>
      <c r="L21" s="16">
        <v>2</v>
      </c>
      <c r="M21" s="31">
        <f>C21/220*L21*'Valores Vigentes'!$E$14</f>
        <v>32522.727272727276</v>
      </c>
      <c r="N21" s="16">
        <f t="shared" si="0"/>
        <v>57</v>
      </c>
      <c r="O21" s="31">
        <f t="shared" si="1"/>
        <v>1150340.9090909092</v>
      </c>
    </row>
    <row r="22" spans="1:15" ht="15.75" customHeight="1" x14ac:dyDescent="0.25">
      <c r="A22" s="17" t="s">
        <v>85</v>
      </c>
      <c r="B22" s="17">
        <v>3</v>
      </c>
      <c r="C22" s="25">
        <f>VLOOKUP(B22,'Tabla Salarios'!$B$3:$D$13,3,0)</f>
        <v>1813000</v>
      </c>
      <c r="D22" s="16">
        <v>20</v>
      </c>
      <c r="E22" s="31">
        <f>C22/220*'Valores Vigentes'!$E$10*D22</f>
        <v>206022.72727272724</v>
      </c>
      <c r="F22" s="16">
        <v>4</v>
      </c>
      <c r="G22" s="31">
        <f>C22/220*'Valores Vigentes'!$E$11*F22</f>
        <v>57686.363636363632</v>
      </c>
      <c r="H22" s="16">
        <v>28</v>
      </c>
      <c r="I22" s="31">
        <f>C22/220*'Valores Vigentes'!$E$12*H22</f>
        <v>461490.90909090906</v>
      </c>
      <c r="J22" s="31">
        <f>C22/220*'Valores Vigentes'!$E$13*K22</f>
        <v>370840.90909090906</v>
      </c>
      <c r="K22" s="16">
        <v>18</v>
      </c>
      <c r="L22" s="16">
        <v>25</v>
      </c>
      <c r="M22" s="31">
        <f>C22/220*L22*'Valores Vigentes'!$E$14</f>
        <v>278130.68181818182</v>
      </c>
      <c r="N22" s="16">
        <f t="shared" si="0"/>
        <v>70</v>
      </c>
      <c r="O22" s="31">
        <f t="shared" si="1"/>
        <v>725200</v>
      </c>
    </row>
    <row r="23" spans="1:15" ht="15.75" customHeight="1" x14ac:dyDescent="0.25">
      <c r="A23" s="17" t="s">
        <v>86</v>
      </c>
      <c r="B23" s="17">
        <v>6</v>
      </c>
      <c r="C23" s="25">
        <f>VLOOKUP(B23,'Tabla Salarios'!$B$3:$D$13,3,0)</f>
        <v>2950000</v>
      </c>
      <c r="D23" s="16">
        <v>1</v>
      </c>
      <c r="E23" s="31">
        <f>C23/220*'Valores Vigentes'!$E$10*D23</f>
        <v>16761.363636363636</v>
      </c>
      <c r="F23" s="16">
        <v>16</v>
      </c>
      <c r="G23" s="31">
        <f>C23/220*'Valores Vigentes'!$E$11*F23</f>
        <v>375454.54545454547</v>
      </c>
      <c r="H23" s="16">
        <v>18</v>
      </c>
      <c r="I23" s="31">
        <f>C23/220*'Valores Vigentes'!$E$12*H23</f>
        <v>482727.27272727276</v>
      </c>
      <c r="J23" s="31">
        <f>C23/220*'Valores Vigentes'!$E$13*K23</f>
        <v>771022.72727272729</v>
      </c>
      <c r="K23" s="16">
        <v>23</v>
      </c>
      <c r="L23" s="16">
        <v>29</v>
      </c>
      <c r="M23" s="31">
        <f>C23/220*L23*'Valores Vigentes'!$E$14</f>
        <v>524965.90909090918</v>
      </c>
      <c r="N23" s="16">
        <f t="shared" si="0"/>
        <v>58</v>
      </c>
      <c r="O23" s="31">
        <f t="shared" si="1"/>
        <v>874943.18181818188</v>
      </c>
    </row>
    <row r="24" spans="1:15" ht="15.75" customHeight="1" x14ac:dyDescent="0.25">
      <c r="A24" s="17" t="s">
        <v>87</v>
      </c>
      <c r="B24" s="17">
        <v>6</v>
      </c>
      <c r="C24" s="25">
        <f>VLOOKUP(B24,'Tabla Salarios'!$B$3:$D$13,3,0)</f>
        <v>2950000</v>
      </c>
      <c r="D24" s="16">
        <v>28</v>
      </c>
      <c r="E24" s="31">
        <f>C24/220*'Valores Vigentes'!$E$10*D24</f>
        <v>469318.18181818182</v>
      </c>
      <c r="F24" s="16">
        <v>4</v>
      </c>
      <c r="G24" s="31">
        <f>C24/220*'Valores Vigentes'!$E$11*F24</f>
        <v>93863.636363636368</v>
      </c>
      <c r="H24" s="16">
        <v>0</v>
      </c>
      <c r="I24" s="31">
        <f>C24/220*'Valores Vigentes'!$E$12*H24</f>
        <v>0</v>
      </c>
      <c r="J24" s="31">
        <f>C24/220*'Valores Vigentes'!$E$13*K24</f>
        <v>402272.72727272729</v>
      </c>
      <c r="K24" s="16">
        <v>12</v>
      </c>
      <c r="L24" s="16">
        <v>28</v>
      </c>
      <c r="M24" s="31">
        <f>C24/220*L24*'Valores Vigentes'!$E$14</f>
        <v>506863.63636363641</v>
      </c>
      <c r="N24" s="16">
        <f t="shared" si="0"/>
        <v>44</v>
      </c>
      <c r="O24" s="31">
        <f t="shared" si="1"/>
        <v>563181.81818181823</v>
      </c>
    </row>
    <row r="25" spans="1:15" ht="15.75" customHeight="1" x14ac:dyDescent="0.25">
      <c r="A25" s="17" t="s">
        <v>88</v>
      </c>
      <c r="B25" s="17">
        <v>1</v>
      </c>
      <c r="C25" s="25">
        <f>VLOOKUP(B25,'Tabla Salarios'!$B$3:$D$13,3,0)</f>
        <v>1423500</v>
      </c>
      <c r="D25" s="16">
        <v>15</v>
      </c>
      <c r="E25" s="31">
        <f>C25/220*'Valores Vigentes'!$E$10*D25</f>
        <v>121321.02272727272</v>
      </c>
      <c r="F25" s="16">
        <v>20</v>
      </c>
      <c r="G25" s="31">
        <f>C25/220*'Valores Vigentes'!$E$11*F25</f>
        <v>226465.90909090909</v>
      </c>
      <c r="H25" s="16">
        <v>27</v>
      </c>
      <c r="I25" s="31">
        <f>C25/220*'Valores Vigentes'!$E$12*H25</f>
        <v>349404.54545454541</v>
      </c>
      <c r="J25" s="31">
        <f>C25/220*'Valores Vigentes'!$E$13*K25</f>
        <v>452931.81818181812</v>
      </c>
      <c r="K25" s="16">
        <v>28</v>
      </c>
      <c r="L25" s="16">
        <v>13</v>
      </c>
      <c r="M25" s="31">
        <f>C25/220*L25*'Valores Vigentes'!$E$14</f>
        <v>113556.47727272728</v>
      </c>
      <c r="N25" s="16">
        <f t="shared" si="0"/>
        <v>90</v>
      </c>
      <c r="O25" s="31">
        <f t="shared" si="1"/>
        <v>697191.47727272729</v>
      </c>
    </row>
    <row r="26" spans="1:15" ht="15.75" customHeight="1" x14ac:dyDescent="0.25">
      <c r="A26" s="17" t="s">
        <v>89</v>
      </c>
      <c r="B26" s="17">
        <v>5</v>
      </c>
      <c r="C26" s="25">
        <f>VLOOKUP(B26,'Tabla Salarios'!$B$3:$D$13,3,0)</f>
        <v>2650000</v>
      </c>
      <c r="D26" s="16">
        <v>13</v>
      </c>
      <c r="E26" s="31">
        <f>C26/220*'Valores Vigentes'!$E$10*D26</f>
        <v>195738.63636363635</v>
      </c>
      <c r="F26" s="16">
        <v>13</v>
      </c>
      <c r="G26" s="31">
        <f>C26/220*'Valores Vigentes'!$E$11*F26</f>
        <v>274034.09090909094</v>
      </c>
      <c r="H26" s="16">
        <v>13</v>
      </c>
      <c r="I26" s="31">
        <f>C26/220*'Valores Vigentes'!$E$12*H26</f>
        <v>313181.81818181818</v>
      </c>
      <c r="J26" s="31">
        <f>C26/220*'Valores Vigentes'!$E$13*K26</f>
        <v>632386.36363636365</v>
      </c>
      <c r="K26" s="16">
        <v>21</v>
      </c>
      <c r="L26" s="16">
        <v>17</v>
      </c>
      <c r="M26" s="31">
        <f>C26/220*L26*'Valores Vigentes'!$E$14</f>
        <v>276443.18181818188</v>
      </c>
      <c r="N26" s="16">
        <f t="shared" si="0"/>
        <v>60</v>
      </c>
      <c r="O26" s="31">
        <f t="shared" si="1"/>
        <v>782954.54545454541</v>
      </c>
    </row>
    <row r="27" spans="1:15" ht="15.75" customHeight="1" x14ac:dyDescent="0.25">
      <c r="A27" s="17" t="s">
        <v>90</v>
      </c>
      <c r="B27" s="17">
        <v>5</v>
      </c>
      <c r="C27" s="25">
        <f>VLOOKUP(B27,'Tabla Salarios'!$B$3:$D$13,3,0)</f>
        <v>2650000</v>
      </c>
      <c r="D27" s="16">
        <v>27</v>
      </c>
      <c r="E27" s="31">
        <f>C27/220*'Valores Vigentes'!$E$10*D27</f>
        <v>406534.09090909094</v>
      </c>
      <c r="F27" s="16">
        <v>7</v>
      </c>
      <c r="G27" s="31">
        <f>C27/220*'Valores Vigentes'!$E$11*F27</f>
        <v>147556.81818181818</v>
      </c>
      <c r="H27" s="16">
        <v>24</v>
      </c>
      <c r="I27" s="31">
        <f>C27/220*'Valores Vigentes'!$E$12*H27</f>
        <v>578181.81818181823</v>
      </c>
      <c r="J27" s="31">
        <f>C27/220*'Valores Vigentes'!$E$13*K27</f>
        <v>0</v>
      </c>
      <c r="K27" s="16">
        <v>0</v>
      </c>
      <c r="L27" s="16">
        <v>19</v>
      </c>
      <c r="M27" s="31">
        <f>C27/220*L27*'Valores Vigentes'!$E$14</f>
        <v>308965.90909090912</v>
      </c>
      <c r="N27" s="16">
        <f t="shared" si="0"/>
        <v>58</v>
      </c>
      <c r="O27" s="31">
        <f t="shared" si="1"/>
        <v>1132272.7272727275</v>
      </c>
    </row>
    <row r="28" spans="1:15" ht="15.75" customHeight="1" x14ac:dyDescent="0.25">
      <c r="A28" s="17" t="s">
        <v>91</v>
      </c>
      <c r="B28" s="17">
        <v>1</v>
      </c>
      <c r="C28" s="25">
        <f>VLOOKUP(B28,'Tabla Salarios'!$B$3:$D$13,3,0)</f>
        <v>1423500</v>
      </c>
      <c r="D28" s="16">
        <v>24</v>
      </c>
      <c r="E28" s="31">
        <f>C28/220*'Valores Vigentes'!$E$10*D28</f>
        <v>194113.63636363635</v>
      </c>
      <c r="F28" s="16">
        <v>4</v>
      </c>
      <c r="G28" s="31">
        <f>C28/220*'Valores Vigentes'!$E$11*F28</f>
        <v>45293.181818181816</v>
      </c>
      <c r="H28" s="16">
        <v>10</v>
      </c>
      <c r="I28" s="31">
        <f>C28/220*'Valores Vigentes'!$E$12*H28</f>
        <v>129409.0909090909</v>
      </c>
      <c r="J28" s="31">
        <f>C28/220*'Valores Vigentes'!$E$13*K28</f>
        <v>258818.18181818179</v>
      </c>
      <c r="K28" s="16">
        <v>16</v>
      </c>
      <c r="L28" s="16">
        <v>15</v>
      </c>
      <c r="M28" s="31">
        <f>C28/220*L28*'Valores Vigentes'!$E$14</f>
        <v>131026.70454545454</v>
      </c>
      <c r="N28" s="16">
        <f t="shared" si="0"/>
        <v>54</v>
      </c>
      <c r="O28" s="31">
        <f t="shared" si="1"/>
        <v>368815.90909090906</v>
      </c>
    </row>
    <row r="29" spans="1:15" ht="15.75" customHeight="1" x14ac:dyDescent="0.25">
      <c r="A29" s="17" t="s">
        <v>92</v>
      </c>
      <c r="B29" s="17">
        <v>2</v>
      </c>
      <c r="C29" s="25">
        <f>VLOOKUP(B29,'Tabla Salarios'!$B$3:$D$13,3,0)</f>
        <v>1626000</v>
      </c>
      <c r="D29" s="16">
        <v>7</v>
      </c>
      <c r="E29" s="31">
        <f>C29/220*'Valores Vigentes'!$E$10*D29</f>
        <v>64670.454545454544</v>
      </c>
      <c r="F29" s="16">
        <v>30</v>
      </c>
      <c r="G29" s="31">
        <f>C29/220*'Valores Vigentes'!$E$11*F29</f>
        <v>388022.72727272729</v>
      </c>
      <c r="H29" s="16">
        <v>17</v>
      </c>
      <c r="I29" s="31">
        <f>C29/220*'Valores Vigentes'!$E$12*H29</f>
        <v>251290.90909090909</v>
      </c>
      <c r="J29" s="31">
        <f>C29/220*'Valores Vigentes'!$E$13*K29</f>
        <v>424977.27272727276</v>
      </c>
      <c r="K29" s="16">
        <v>23</v>
      </c>
      <c r="L29" s="16">
        <v>0</v>
      </c>
      <c r="M29" s="31">
        <f>C29/220*L29*'Valores Vigentes'!$E$14</f>
        <v>0</v>
      </c>
      <c r="N29" s="16">
        <f t="shared" si="0"/>
        <v>77</v>
      </c>
      <c r="O29" s="31">
        <f t="shared" si="1"/>
        <v>703984.09090909094</v>
      </c>
    </row>
    <row r="30" spans="1:15" ht="15.75" customHeight="1" x14ac:dyDescent="0.25">
      <c r="A30" s="17" t="s">
        <v>93</v>
      </c>
      <c r="B30" s="17">
        <v>8</v>
      </c>
      <c r="C30" s="25">
        <f>VLOOKUP(B30,'Tabla Salarios'!$B$3:$D$13,3,0)</f>
        <v>3900000</v>
      </c>
      <c r="D30" s="16">
        <v>10</v>
      </c>
      <c r="E30" s="31">
        <f>C30/220*'Valores Vigentes'!$E$10*D30</f>
        <v>221590.90909090912</v>
      </c>
      <c r="F30" s="16">
        <v>10</v>
      </c>
      <c r="G30" s="31">
        <f>C30/220*'Valores Vigentes'!$E$11*F30</f>
        <v>310227.27272727271</v>
      </c>
      <c r="H30" s="16">
        <v>8</v>
      </c>
      <c r="I30" s="31">
        <f>C30/220*'Valores Vigentes'!$E$12*H30</f>
        <v>283636.36363636365</v>
      </c>
      <c r="J30" s="31">
        <f>C30/220*'Valores Vigentes'!$E$13*K30</f>
        <v>354545.45454545459</v>
      </c>
      <c r="K30" s="16">
        <v>8</v>
      </c>
      <c r="L30" s="16">
        <v>17</v>
      </c>
      <c r="M30" s="31">
        <f>C30/220*L30*'Valores Vigentes'!$E$14</f>
        <v>406840.90909090912</v>
      </c>
      <c r="N30" s="16">
        <f t="shared" si="0"/>
        <v>36</v>
      </c>
      <c r="O30" s="31">
        <f t="shared" si="1"/>
        <v>815454.54545454553</v>
      </c>
    </row>
    <row r="31" spans="1:15" ht="15.75" customHeight="1" x14ac:dyDescent="0.25">
      <c r="A31" s="17" t="s">
        <v>94</v>
      </c>
      <c r="B31" s="17">
        <v>10</v>
      </c>
      <c r="C31" s="25">
        <f>VLOOKUP(B31,'Tabla Salarios'!$B$3:$D$13,3,0)</f>
        <v>6500000</v>
      </c>
      <c r="D31" s="16">
        <v>6</v>
      </c>
      <c r="E31" s="31">
        <f>C31/220*'Valores Vigentes'!$E$10*D31</f>
        <v>221590.90909090906</v>
      </c>
      <c r="F31" s="16">
        <v>26</v>
      </c>
      <c r="G31" s="31">
        <f>C31/220*'Valores Vigentes'!$E$11*F31</f>
        <v>1344318.1818181819</v>
      </c>
      <c r="H31" s="16">
        <v>10</v>
      </c>
      <c r="I31" s="31">
        <f>C31/220*'Valores Vigentes'!$E$12*H31</f>
        <v>590909.09090909082</v>
      </c>
      <c r="J31" s="31">
        <f>C31/220*'Valores Vigentes'!$E$13*K31</f>
        <v>1698863.6363636362</v>
      </c>
      <c r="K31" s="16">
        <v>23</v>
      </c>
      <c r="L31" s="16">
        <v>15</v>
      </c>
      <c r="M31" s="31">
        <f>C31/220*L31*'Valores Vigentes'!$E$14</f>
        <v>598295.45454545459</v>
      </c>
      <c r="N31" s="16">
        <f t="shared" si="0"/>
        <v>65</v>
      </c>
      <c r="O31" s="31">
        <f t="shared" si="1"/>
        <v>2156818.1818181816</v>
      </c>
    </row>
    <row r="32" spans="1:15" ht="15.75" customHeight="1" x14ac:dyDescent="0.25">
      <c r="A32" s="17" t="s">
        <v>95</v>
      </c>
      <c r="B32" s="17">
        <v>8</v>
      </c>
      <c r="C32" s="25">
        <f>VLOOKUP(B32,'Tabla Salarios'!$B$3:$D$13,3,0)</f>
        <v>3900000</v>
      </c>
      <c r="D32" s="16">
        <v>12</v>
      </c>
      <c r="E32" s="31">
        <f>C32/220*'Valores Vigentes'!$E$10*D32</f>
        <v>265909.09090909094</v>
      </c>
      <c r="F32" s="16">
        <v>25</v>
      </c>
      <c r="G32" s="31">
        <f>C32/220*'Valores Vigentes'!$E$11*F32</f>
        <v>775568.18181818177</v>
      </c>
      <c r="H32" s="16">
        <v>24</v>
      </c>
      <c r="I32" s="31">
        <f>C32/220*'Valores Vigentes'!$E$12*H32</f>
        <v>850909.09090909094</v>
      </c>
      <c r="J32" s="31">
        <f>C32/220*'Valores Vigentes'!$E$13*K32</f>
        <v>310227.27272727276</v>
      </c>
      <c r="K32" s="16">
        <v>7</v>
      </c>
      <c r="L32" s="16">
        <v>13</v>
      </c>
      <c r="M32" s="31">
        <f>C32/220*L32*'Valores Vigentes'!$E$14</f>
        <v>311113.63636363641</v>
      </c>
      <c r="N32" s="16">
        <f t="shared" si="0"/>
        <v>68</v>
      </c>
      <c r="O32" s="31">
        <f t="shared" si="1"/>
        <v>1892386.3636363638</v>
      </c>
    </row>
    <row r="33" spans="1:15" ht="15.75" customHeight="1" x14ac:dyDescent="0.25">
      <c r="A33" s="17" t="s">
        <v>96</v>
      </c>
      <c r="B33" s="17">
        <v>5</v>
      </c>
      <c r="C33" s="25">
        <f>VLOOKUP(B33,'Tabla Salarios'!$B$3:$D$13,3,0)</f>
        <v>2650000</v>
      </c>
      <c r="D33" s="16">
        <v>4</v>
      </c>
      <c r="E33" s="31">
        <f>C33/220*'Valores Vigentes'!$E$10*D33</f>
        <v>60227.272727272728</v>
      </c>
      <c r="F33" s="16">
        <v>24</v>
      </c>
      <c r="G33" s="31">
        <f>C33/220*'Valores Vigentes'!$E$11*F33</f>
        <v>505909.09090909094</v>
      </c>
      <c r="H33" s="16">
        <v>29</v>
      </c>
      <c r="I33" s="31">
        <f>C33/220*'Valores Vigentes'!$E$12*H33</f>
        <v>698636.36363636365</v>
      </c>
      <c r="J33" s="31">
        <f>C33/220*'Valores Vigentes'!$E$13*K33</f>
        <v>542045.45454545459</v>
      </c>
      <c r="K33" s="16">
        <v>18</v>
      </c>
      <c r="L33" s="16">
        <v>9</v>
      </c>
      <c r="M33" s="31">
        <f>C33/220*L33*'Valores Vigentes'!$E$14</f>
        <v>146352.27272727274</v>
      </c>
      <c r="N33" s="16">
        <f t="shared" si="0"/>
        <v>75</v>
      </c>
      <c r="O33" s="31">
        <f t="shared" si="1"/>
        <v>1264772.7272727273</v>
      </c>
    </row>
    <row r="34" spans="1:15" ht="15.75" customHeight="1" x14ac:dyDescent="0.25">
      <c r="A34" s="17" t="s">
        <v>97</v>
      </c>
      <c r="B34" s="17">
        <v>1</v>
      </c>
      <c r="C34" s="25">
        <f>VLOOKUP(B34,'Tabla Salarios'!$B$3:$D$13,3,0)</f>
        <v>1423500</v>
      </c>
      <c r="D34" s="16">
        <v>19</v>
      </c>
      <c r="E34" s="31">
        <f>C34/220*'Valores Vigentes'!$E$10*D34</f>
        <v>153673.29545454544</v>
      </c>
      <c r="F34" s="16">
        <v>19</v>
      </c>
      <c r="G34" s="31">
        <f>C34/220*'Valores Vigentes'!$E$11*F34</f>
        <v>215142.61363636362</v>
      </c>
      <c r="H34" s="16">
        <v>21</v>
      </c>
      <c r="I34" s="31">
        <f>C34/220*'Valores Vigentes'!$E$12*H34</f>
        <v>271759.09090909088</v>
      </c>
      <c r="J34" s="31">
        <f>C34/220*'Valores Vigentes'!$E$13*K34</f>
        <v>32352.272727272724</v>
      </c>
      <c r="K34" s="16">
        <v>2</v>
      </c>
      <c r="L34" s="16">
        <v>28</v>
      </c>
      <c r="M34" s="31">
        <f>C34/220*L34*'Valores Vigentes'!$E$14</f>
        <v>244583.18181818182</v>
      </c>
      <c r="N34" s="16">
        <f t="shared" si="0"/>
        <v>61</v>
      </c>
      <c r="O34" s="31">
        <f t="shared" si="1"/>
        <v>640575</v>
      </c>
    </row>
    <row r="35" spans="1:15" ht="15.75" customHeight="1" x14ac:dyDescent="0.25">
      <c r="A35" s="17" t="s">
        <v>98</v>
      </c>
      <c r="B35" s="17">
        <v>8</v>
      </c>
      <c r="C35" s="25">
        <f>VLOOKUP(B35,'Tabla Salarios'!$B$3:$D$13,3,0)</f>
        <v>3900000</v>
      </c>
      <c r="D35" s="16">
        <v>15</v>
      </c>
      <c r="E35" s="31">
        <f>C35/220*'Valores Vigentes'!$E$10*D35</f>
        <v>332386.36363636365</v>
      </c>
      <c r="F35" s="16">
        <v>7</v>
      </c>
      <c r="G35" s="31">
        <f>C35/220*'Valores Vigentes'!$E$11*F35</f>
        <v>217159.09090909091</v>
      </c>
      <c r="H35" s="16">
        <v>1</v>
      </c>
      <c r="I35" s="31">
        <f>C35/220*'Valores Vigentes'!$E$12*H35</f>
        <v>35454.545454545456</v>
      </c>
      <c r="J35" s="31">
        <f>C35/220*'Valores Vigentes'!$E$13*K35</f>
        <v>930681.81818181835</v>
      </c>
      <c r="K35" s="16">
        <v>21</v>
      </c>
      <c r="L35" s="16">
        <v>21</v>
      </c>
      <c r="M35" s="31">
        <f>C35/220*L35*'Valores Vigentes'!$E$14</f>
        <v>502568.18181818188</v>
      </c>
      <c r="N35" s="16">
        <f t="shared" si="0"/>
        <v>44</v>
      </c>
      <c r="O35" s="31">
        <f t="shared" si="1"/>
        <v>585000</v>
      </c>
    </row>
    <row r="36" spans="1:15" ht="15.75" customHeight="1" x14ac:dyDescent="0.25">
      <c r="A36" s="17" t="s">
        <v>99</v>
      </c>
      <c r="B36" s="17">
        <v>1</v>
      </c>
      <c r="C36" s="25">
        <f>VLOOKUP(B36,'Tabla Salarios'!$B$3:$D$13,3,0)</f>
        <v>1423500</v>
      </c>
      <c r="D36" s="16">
        <v>1</v>
      </c>
      <c r="E36" s="31">
        <f>C36/220*'Valores Vigentes'!$E$10*D36</f>
        <v>8088.0681818181811</v>
      </c>
      <c r="F36" s="16">
        <v>17</v>
      </c>
      <c r="G36" s="31">
        <f>C36/220*'Valores Vigentes'!$E$11*F36</f>
        <v>192496.02272727271</v>
      </c>
      <c r="H36" s="16">
        <v>11</v>
      </c>
      <c r="I36" s="31">
        <f>C36/220*'Valores Vigentes'!$E$12*H36</f>
        <v>142350</v>
      </c>
      <c r="J36" s="31">
        <f>C36/220*'Valores Vigentes'!$E$13*K36</f>
        <v>210289.77272727271</v>
      </c>
      <c r="K36" s="16">
        <v>13</v>
      </c>
      <c r="L36" s="16">
        <v>12</v>
      </c>
      <c r="M36" s="31">
        <f>C36/220*L36*'Valores Vigentes'!$E$14</f>
        <v>104821.36363636365</v>
      </c>
      <c r="N36" s="16">
        <f t="shared" si="0"/>
        <v>42</v>
      </c>
      <c r="O36" s="31">
        <f t="shared" si="1"/>
        <v>342934.09090909088</v>
      </c>
    </row>
    <row r="37" spans="1:15" ht="15.75" customHeight="1" x14ac:dyDescent="0.25">
      <c r="A37" s="17" t="s">
        <v>100</v>
      </c>
      <c r="B37" s="17">
        <v>8</v>
      </c>
      <c r="C37" s="25">
        <f>VLOOKUP(B37,'Tabla Salarios'!$B$3:$D$13,3,0)</f>
        <v>3900000</v>
      </c>
      <c r="D37" s="16">
        <v>20</v>
      </c>
      <c r="E37" s="31">
        <f>C37/220*'Valores Vigentes'!$E$10*D37</f>
        <v>443181.81818181823</v>
      </c>
      <c r="F37" s="16">
        <v>6</v>
      </c>
      <c r="G37" s="31">
        <f>C37/220*'Valores Vigentes'!$E$11*F37</f>
        <v>186136.36363636365</v>
      </c>
      <c r="H37" s="16">
        <v>19</v>
      </c>
      <c r="I37" s="31">
        <f>C37/220*'Valores Vigentes'!$E$12*H37</f>
        <v>673636.36363636365</v>
      </c>
      <c r="J37" s="31">
        <f>C37/220*'Valores Vigentes'!$E$13*K37</f>
        <v>398863.63636363641</v>
      </c>
      <c r="K37" s="16">
        <v>9</v>
      </c>
      <c r="L37" s="16">
        <v>8</v>
      </c>
      <c r="M37" s="31">
        <f>C37/220*L37*'Valores Vigentes'!$E$14</f>
        <v>191454.54545454547</v>
      </c>
      <c r="N37" s="16">
        <f t="shared" si="0"/>
        <v>54</v>
      </c>
      <c r="O37" s="31">
        <f t="shared" si="1"/>
        <v>1302954.5454545454</v>
      </c>
    </row>
    <row r="38" spans="1:15" ht="15.75" customHeight="1" x14ac:dyDescent="0.25">
      <c r="A38" s="17" t="s">
        <v>101</v>
      </c>
      <c r="B38" s="17">
        <v>7</v>
      </c>
      <c r="C38" s="25">
        <f>VLOOKUP(B38,'Tabla Salarios'!$B$3:$D$13,3,0)</f>
        <v>3250000</v>
      </c>
      <c r="D38" s="16">
        <v>30</v>
      </c>
      <c r="E38" s="31">
        <f>C38/220*'Valores Vigentes'!$E$10*D38</f>
        <v>553977.27272727271</v>
      </c>
      <c r="F38" s="16">
        <v>12</v>
      </c>
      <c r="G38" s="31">
        <f>C38/220*'Valores Vigentes'!$E$11*F38</f>
        <v>310227.27272727271</v>
      </c>
      <c r="H38" s="16">
        <v>23</v>
      </c>
      <c r="I38" s="31">
        <f>C38/220*'Valores Vigentes'!$E$12*H38</f>
        <v>679545.45454545447</v>
      </c>
      <c r="J38" s="31">
        <f>C38/220*'Valores Vigentes'!$E$13*K38</f>
        <v>1071022.7272727271</v>
      </c>
      <c r="K38" s="16">
        <v>29</v>
      </c>
      <c r="L38" s="16">
        <v>28</v>
      </c>
      <c r="M38" s="31">
        <f>C38/220*L38*'Valores Vigentes'!$E$14</f>
        <v>558409.09090909094</v>
      </c>
      <c r="N38" s="16">
        <f t="shared" si="0"/>
        <v>94</v>
      </c>
      <c r="O38" s="31">
        <f t="shared" si="1"/>
        <v>1543750</v>
      </c>
    </row>
    <row r="39" spans="1:15" ht="15.75" customHeight="1" x14ac:dyDescent="0.25">
      <c r="A39" s="17" t="s">
        <v>102</v>
      </c>
      <c r="B39" s="17">
        <v>2</v>
      </c>
      <c r="C39" s="25">
        <f>VLOOKUP(B39,'Tabla Salarios'!$B$3:$D$13,3,0)</f>
        <v>1626000</v>
      </c>
      <c r="D39" s="16">
        <v>2</v>
      </c>
      <c r="E39" s="31">
        <f>C39/220*'Valores Vigentes'!$E$10*D39</f>
        <v>18477.272727272728</v>
      </c>
      <c r="F39" s="16">
        <v>11</v>
      </c>
      <c r="G39" s="31">
        <f>C39/220*'Valores Vigentes'!$E$11*F39</f>
        <v>142275</v>
      </c>
      <c r="H39" s="16">
        <v>25</v>
      </c>
      <c r="I39" s="31">
        <f>C39/220*'Valores Vigentes'!$E$12*H39</f>
        <v>369545.45454545453</v>
      </c>
      <c r="J39" s="31">
        <f>C39/220*'Valores Vigentes'!$E$13*K39</f>
        <v>221727.27272727274</v>
      </c>
      <c r="K39" s="16">
        <v>12</v>
      </c>
      <c r="L39" s="16">
        <v>5</v>
      </c>
      <c r="M39" s="31">
        <f>C39/220*L39*'Valores Vigentes'!$E$14</f>
        <v>49888.636363636368</v>
      </c>
      <c r="N39" s="16">
        <f t="shared" si="0"/>
        <v>50</v>
      </c>
      <c r="O39" s="31">
        <f t="shared" si="1"/>
        <v>530297.72727272729</v>
      </c>
    </row>
    <row r="40" spans="1:15" ht="15.75" customHeight="1" x14ac:dyDescent="0.25">
      <c r="A40" s="17" t="s">
        <v>103</v>
      </c>
      <c r="B40" s="17">
        <v>1</v>
      </c>
      <c r="C40" s="25">
        <f>VLOOKUP(B40,'Tabla Salarios'!$B$3:$D$13,3,0)</f>
        <v>1423500</v>
      </c>
      <c r="D40" s="16">
        <v>28</v>
      </c>
      <c r="E40" s="31">
        <f>C40/220*'Valores Vigentes'!$E$10*D40</f>
        <v>226465.90909090906</v>
      </c>
      <c r="F40" s="16">
        <v>29</v>
      </c>
      <c r="G40" s="31">
        <f>C40/220*'Valores Vigentes'!$E$11*F40</f>
        <v>328375.56818181818</v>
      </c>
      <c r="H40" s="16">
        <v>19</v>
      </c>
      <c r="I40" s="31">
        <f>C40/220*'Valores Vigentes'!$E$12*H40</f>
        <v>245877.27272727271</v>
      </c>
      <c r="J40" s="31">
        <f>C40/220*'Valores Vigentes'!$E$13*K40</f>
        <v>242642.04545454544</v>
      </c>
      <c r="K40" s="16">
        <v>15</v>
      </c>
      <c r="L40" s="16">
        <v>13</v>
      </c>
      <c r="M40" s="31">
        <f>C40/220*L40*'Valores Vigentes'!$E$14</f>
        <v>113556.47727272728</v>
      </c>
      <c r="N40" s="16">
        <f t="shared" si="0"/>
        <v>91</v>
      </c>
      <c r="O40" s="31">
        <f t="shared" si="1"/>
        <v>800718.75</v>
      </c>
    </row>
    <row r="41" spans="1:15" ht="15.75" customHeight="1" x14ac:dyDescent="0.25">
      <c r="A41" s="17" t="s">
        <v>104</v>
      </c>
      <c r="B41" s="17">
        <v>3</v>
      </c>
      <c r="C41" s="25">
        <f>VLOOKUP(B41,'Tabla Salarios'!$B$3:$D$13,3,0)</f>
        <v>1813000</v>
      </c>
      <c r="D41" s="16">
        <v>22</v>
      </c>
      <c r="E41" s="31">
        <f>C41/220*'Valores Vigentes'!$E$10*D41</f>
        <v>226624.99999999997</v>
      </c>
      <c r="F41" s="16">
        <v>16</v>
      </c>
      <c r="G41" s="31">
        <f>C41/220*'Valores Vigentes'!$E$11*F41</f>
        <v>230745.45454545453</v>
      </c>
      <c r="H41" s="16">
        <v>29</v>
      </c>
      <c r="I41" s="31">
        <f>C41/220*'Valores Vigentes'!$E$12*H41</f>
        <v>477972.72727272724</v>
      </c>
      <c r="J41" s="31">
        <f>C41/220*'Valores Vigentes'!$E$13*K41</f>
        <v>473852.27272727265</v>
      </c>
      <c r="K41" s="16">
        <v>23</v>
      </c>
      <c r="L41" s="16">
        <v>8</v>
      </c>
      <c r="M41" s="31">
        <f>C41/220*L41*'Valores Vigentes'!$E$14</f>
        <v>89001.818181818177</v>
      </c>
      <c r="N41" s="16">
        <f t="shared" si="0"/>
        <v>90</v>
      </c>
      <c r="O41" s="31">
        <f t="shared" si="1"/>
        <v>935343.18181818165</v>
      </c>
    </row>
    <row r="42" spans="1:15" ht="15.75" customHeight="1" x14ac:dyDescent="0.25">
      <c r="A42" s="17" t="s">
        <v>105</v>
      </c>
      <c r="B42" s="17">
        <v>1</v>
      </c>
      <c r="C42" s="25">
        <f>VLOOKUP(B42,'Tabla Salarios'!$B$3:$D$13,3,0)</f>
        <v>1423500</v>
      </c>
      <c r="D42" s="16">
        <v>28</v>
      </c>
      <c r="E42" s="31">
        <f>C42/220*'Valores Vigentes'!$E$10*D42</f>
        <v>226465.90909090906</v>
      </c>
      <c r="F42" s="16">
        <v>24</v>
      </c>
      <c r="G42" s="31">
        <f>C42/220*'Valores Vigentes'!$E$11*F42</f>
        <v>271759.09090909088</v>
      </c>
      <c r="H42" s="16">
        <v>14</v>
      </c>
      <c r="I42" s="31">
        <f>C42/220*'Valores Vigentes'!$E$12*H42</f>
        <v>181172.72727272726</v>
      </c>
      <c r="J42" s="31">
        <f>C42/220*'Valores Vigentes'!$E$13*K42</f>
        <v>372051.13636363635</v>
      </c>
      <c r="K42" s="16">
        <v>23</v>
      </c>
      <c r="L42" s="16">
        <v>26</v>
      </c>
      <c r="M42" s="31">
        <f>C42/220*L42*'Valores Vigentes'!$E$14</f>
        <v>227112.95454545456</v>
      </c>
      <c r="N42" s="16">
        <f t="shared" si="0"/>
        <v>89</v>
      </c>
      <c r="O42" s="31">
        <f t="shared" si="1"/>
        <v>679397.72727272718</v>
      </c>
    </row>
    <row r="43" spans="1:15" ht="15.75" customHeight="1" x14ac:dyDescent="0.25">
      <c r="A43" s="17" t="s">
        <v>106</v>
      </c>
      <c r="B43" s="17">
        <v>4</v>
      </c>
      <c r="C43" s="25">
        <f>VLOOKUP(B43,'Tabla Salarios'!$B$3:$D$13,3,0)</f>
        <v>2450000</v>
      </c>
      <c r="D43" s="16">
        <v>2</v>
      </c>
      <c r="E43" s="31">
        <f>C43/220*'Valores Vigentes'!$E$10*D43</f>
        <v>27840.909090909088</v>
      </c>
      <c r="F43" s="16">
        <v>12</v>
      </c>
      <c r="G43" s="31">
        <f>C43/220*'Valores Vigentes'!$E$11*F43</f>
        <v>233863.63636363635</v>
      </c>
      <c r="H43" s="16">
        <v>27</v>
      </c>
      <c r="I43" s="31">
        <f>C43/220*'Valores Vigentes'!$E$12*H43</f>
        <v>601363.63636363635</v>
      </c>
      <c r="J43" s="31">
        <f>C43/220*'Valores Vigentes'!$E$13*K43</f>
        <v>779545.45454545447</v>
      </c>
      <c r="K43" s="16">
        <v>28</v>
      </c>
      <c r="L43" s="16">
        <v>8</v>
      </c>
      <c r="M43" s="31">
        <f>C43/220*L43*'Valores Vigentes'!$E$14</f>
        <v>120272.72727272728</v>
      </c>
      <c r="N43" s="16">
        <f t="shared" si="0"/>
        <v>69</v>
      </c>
      <c r="O43" s="31">
        <f t="shared" si="1"/>
        <v>863068.18181818177</v>
      </c>
    </row>
    <row r="44" spans="1:15" ht="15.75" customHeight="1" x14ac:dyDescent="0.25">
      <c r="A44" s="17" t="s">
        <v>107</v>
      </c>
      <c r="B44" s="17">
        <v>4</v>
      </c>
      <c r="C44" s="25">
        <f>VLOOKUP(B44,'Tabla Salarios'!$B$3:$D$13,3,0)</f>
        <v>2450000</v>
      </c>
      <c r="D44" s="16">
        <v>26</v>
      </c>
      <c r="E44" s="31">
        <f>C44/220*'Valores Vigentes'!$E$10*D44</f>
        <v>361931.81818181812</v>
      </c>
      <c r="F44" s="16">
        <v>3</v>
      </c>
      <c r="G44" s="31">
        <f>C44/220*'Valores Vigentes'!$E$11*F44</f>
        <v>58465.909090909088</v>
      </c>
      <c r="H44" s="16">
        <v>30</v>
      </c>
      <c r="I44" s="31">
        <f>C44/220*'Valores Vigentes'!$E$12*H44</f>
        <v>668181.81818181812</v>
      </c>
      <c r="J44" s="31">
        <f>C44/220*'Valores Vigentes'!$E$13*K44</f>
        <v>640340.90909090906</v>
      </c>
      <c r="K44" s="16">
        <v>23</v>
      </c>
      <c r="L44" s="16">
        <v>17</v>
      </c>
      <c r="M44" s="31">
        <f>C44/220*L44*'Valores Vigentes'!$E$14</f>
        <v>255579.54545454547</v>
      </c>
      <c r="N44" s="16">
        <f t="shared" si="0"/>
        <v>82</v>
      </c>
      <c r="O44" s="31">
        <f t="shared" si="1"/>
        <v>1088579.5454545454</v>
      </c>
    </row>
    <row r="45" spans="1:15" ht="15.75" customHeight="1" x14ac:dyDescent="0.25">
      <c r="A45" s="17" t="s">
        <v>108</v>
      </c>
      <c r="B45" s="17">
        <v>3</v>
      </c>
      <c r="C45" s="25">
        <f>VLOOKUP(B45,'Tabla Salarios'!$B$3:$D$13,3,0)</f>
        <v>1813000</v>
      </c>
      <c r="D45" s="16">
        <v>17</v>
      </c>
      <c r="E45" s="31">
        <f>C45/220*'Valores Vigentes'!$E$10*D45</f>
        <v>175119.31818181815</v>
      </c>
      <c r="F45" s="16">
        <v>5</v>
      </c>
      <c r="G45" s="31">
        <f>C45/220*'Valores Vigentes'!$E$11*F45</f>
        <v>72107.954545454544</v>
      </c>
      <c r="H45" s="16">
        <v>25</v>
      </c>
      <c r="I45" s="31">
        <f>C45/220*'Valores Vigentes'!$E$12*H45</f>
        <v>412045.45454545453</v>
      </c>
      <c r="J45" s="31">
        <f>C45/220*'Valores Vigentes'!$E$13*K45</f>
        <v>412045.45454545447</v>
      </c>
      <c r="K45" s="16">
        <v>20</v>
      </c>
      <c r="L45" s="16">
        <v>11</v>
      </c>
      <c r="M45" s="31">
        <f>C45/220*L45*'Valores Vigentes'!$E$14</f>
        <v>122377.49999999999</v>
      </c>
      <c r="N45" s="16">
        <f t="shared" si="0"/>
        <v>67</v>
      </c>
      <c r="O45" s="31">
        <f t="shared" si="1"/>
        <v>659272.72727272729</v>
      </c>
    </row>
    <row r="46" spans="1:15" ht="15.75" customHeight="1" x14ac:dyDescent="0.25">
      <c r="A46" s="17" t="s">
        <v>109</v>
      </c>
      <c r="B46" s="17">
        <v>1</v>
      </c>
      <c r="C46" s="25">
        <f>VLOOKUP(B46,'Tabla Salarios'!$B$3:$D$13,3,0)</f>
        <v>1423500</v>
      </c>
      <c r="D46" s="16">
        <v>30</v>
      </c>
      <c r="E46" s="31">
        <f>C46/220*'Valores Vigentes'!$E$10*D46</f>
        <v>242642.04545454544</v>
      </c>
      <c r="F46" s="16">
        <v>9</v>
      </c>
      <c r="G46" s="31">
        <f>C46/220*'Valores Vigentes'!$E$11*F46</f>
        <v>101909.65909090909</v>
      </c>
      <c r="H46" s="16">
        <v>24</v>
      </c>
      <c r="I46" s="31">
        <f>C46/220*'Valores Vigentes'!$E$12*H46</f>
        <v>310581.81818181818</v>
      </c>
      <c r="J46" s="31">
        <f>C46/220*'Valores Vigentes'!$E$13*K46</f>
        <v>339698.86363636359</v>
      </c>
      <c r="K46" s="16">
        <v>21</v>
      </c>
      <c r="L46" s="16">
        <v>4</v>
      </c>
      <c r="M46" s="31">
        <f>C46/220*L46*'Valores Vigentes'!$E$14</f>
        <v>34940.454545454544</v>
      </c>
      <c r="N46" s="16">
        <f t="shared" si="0"/>
        <v>84</v>
      </c>
      <c r="O46" s="31">
        <f t="shared" si="1"/>
        <v>655133.52272727271</v>
      </c>
    </row>
    <row r="47" spans="1:15" ht="15.75" customHeight="1" x14ac:dyDescent="0.25">
      <c r="A47" s="17" t="s">
        <v>110</v>
      </c>
      <c r="B47" s="17">
        <v>6</v>
      </c>
      <c r="C47" s="25">
        <f>VLOOKUP(B47,'Tabla Salarios'!$B$3:$D$13,3,0)</f>
        <v>2950000</v>
      </c>
      <c r="D47" s="16">
        <v>5</v>
      </c>
      <c r="E47" s="31">
        <f>C47/220*'Valores Vigentes'!$E$10*D47</f>
        <v>83806.818181818177</v>
      </c>
      <c r="F47" s="16">
        <v>9</v>
      </c>
      <c r="G47" s="31">
        <f>C47/220*'Valores Vigentes'!$E$11*F47</f>
        <v>211193.18181818182</v>
      </c>
      <c r="H47" s="16">
        <v>14</v>
      </c>
      <c r="I47" s="31">
        <f>C47/220*'Valores Vigentes'!$E$12*H47</f>
        <v>375454.54545454547</v>
      </c>
      <c r="J47" s="31">
        <f>C47/220*'Valores Vigentes'!$E$13*K47</f>
        <v>33522.727272727272</v>
      </c>
      <c r="K47" s="16">
        <v>1</v>
      </c>
      <c r="L47" s="16">
        <v>4</v>
      </c>
      <c r="M47" s="31">
        <f>C47/220*L47*'Valores Vigentes'!$E$14</f>
        <v>72409.090909090912</v>
      </c>
      <c r="N47" s="16">
        <f t="shared" si="0"/>
        <v>29</v>
      </c>
      <c r="O47" s="31">
        <f t="shared" si="1"/>
        <v>670454.54545454541</v>
      </c>
    </row>
    <row r="48" spans="1:15" ht="15.75" customHeight="1" x14ac:dyDescent="0.25">
      <c r="A48" s="17" t="s">
        <v>111</v>
      </c>
      <c r="B48" s="17">
        <v>7</v>
      </c>
      <c r="C48" s="25">
        <f>VLOOKUP(B48,'Tabla Salarios'!$B$3:$D$13,3,0)</f>
        <v>3250000</v>
      </c>
      <c r="D48" s="16">
        <v>20</v>
      </c>
      <c r="E48" s="31">
        <f>C48/220*'Valores Vigentes'!$E$10*D48</f>
        <v>369318.18181818177</v>
      </c>
      <c r="F48" s="16">
        <v>7</v>
      </c>
      <c r="G48" s="31">
        <f>C48/220*'Valores Vigentes'!$E$11*F48</f>
        <v>180965.90909090909</v>
      </c>
      <c r="H48" s="16">
        <v>5</v>
      </c>
      <c r="I48" s="31">
        <f>C48/220*'Valores Vigentes'!$E$12*H48</f>
        <v>147727.27272727271</v>
      </c>
      <c r="J48" s="31">
        <f>C48/220*'Valores Vigentes'!$E$13*K48</f>
        <v>590909.09090909082</v>
      </c>
      <c r="K48" s="16">
        <v>16</v>
      </c>
      <c r="L48" s="16">
        <v>14</v>
      </c>
      <c r="M48" s="31">
        <f>C48/220*L48*'Valores Vigentes'!$E$14</f>
        <v>279204.54545454547</v>
      </c>
      <c r="N48" s="16">
        <f t="shared" si="0"/>
        <v>48</v>
      </c>
      <c r="O48" s="31">
        <f t="shared" si="1"/>
        <v>698011.36363636353</v>
      </c>
    </row>
    <row r="49" spans="1:15" ht="15.75" customHeight="1" x14ac:dyDescent="0.25">
      <c r="A49" s="17" t="s">
        <v>112</v>
      </c>
      <c r="B49" s="17">
        <v>7</v>
      </c>
      <c r="C49" s="25">
        <f>VLOOKUP(B49,'Tabla Salarios'!$B$3:$D$13,3,0)</f>
        <v>3250000</v>
      </c>
      <c r="D49" s="16">
        <v>18</v>
      </c>
      <c r="E49" s="31">
        <f>C49/220*'Valores Vigentes'!$E$10*D49</f>
        <v>332386.36363636359</v>
      </c>
      <c r="F49" s="16">
        <v>21</v>
      </c>
      <c r="G49" s="31">
        <f>C49/220*'Valores Vigentes'!$E$11*F49</f>
        <v>542897.72727272729</v>
      </c>
      <c r="H49" s="16">
        <v>30</v>
      </c>
      <c r="I49" s="31">
        <f>C49/220*'Valores Vigentes'!$E$12*H49</f>
        <v>886363.63636363635</v>
      </c>
      <c r="J49" s="31">
        <f>C49/220*'Valores Vigentes'!$E$13*K49</f>
        <v>480113.63636363629</v>
      </c>
      <c r="K49" s="16">
        <v>13</v>
      </c>
      <c r="L49" s="16">
        <v>18</v>
      </c>
      <c r="M49" s="31">
        <f>C49/220*L49*'Valores Vigentes'!$E$14</f>
        <v>358977.27272727271</v>
      </c>
      <c r="N49" s="16">
        <f t="shared" si="0"/>
        <v>82</v>
      </c>
      <c r="O49" s="31">
        <f t="shared" si="1"/>
        <v>1761647.7272727271</v>
      </c>
    </row>
    <row r="50" spans="1:15" ht="15.75" customHeight="1" x14ac:dyDescent="0.25">
      <c r="A50" s="17" t="s">
        <v>113</v>
      </c>
      <c r="B50" s="17">
        <v>4</v>
      </c>
      <c r="C50" s="25">
        <f>VLOOKUP(B50,'Tabla Salarios'!$B$3:$D$13,3,0)</f>
        <v>2450000</v>
      </c>
      <c r="D50" s="16">
        <v>5</v>
      </c>
      <c r="E50" s="31">
        <f>C50/220*'Valores Vigentes'!$E$10*D50</f>
        <v>69602.272727272721</v>
      </c>
      <c r="F50" s="16">
        <v>14</v>
      </c>
      <c r="G50" s="31">
        <f>C50/220*'Valores Vigentes'!$E$11*F50</f>
        <v>272840.90909090912</v>
      </c>
      <c r="H50" s="16">
        <v>23</v>
      </c>
      <c r="I50" s="31">
        <f>C50/220*'Valores Vigentes'!$E$12*H50</f>
        <v>512272.72727272724</v>
      </c>
      <c r="J50" s="31">
        <f>C50/220*'Valores Vigentes'!$E$13*K50</f>
        <v>278409.09090909088</v>
      </c>
      <c r="K50" s="16">
        <v>10</v>
      </c>
      <c r="L50" s="16">
        <v>27</v>
      </c>
      <c r="M50" s="31">
        <f>C50/220*L50*'Valores Vigentes'!$E$14</f>
        <v>405920.45454545459</v>
      </c>
      <c r="N50" s="16">
        <f t="shared" si="0"/>
        <v>52</v>
      </c>
      <c r="O50" s="31">
        <f t="shared" si="1"/>
        <v>854715.90909090906</v>
      </c>
    </row>
    <row r="51" spans="1:15" ht="15.75" customHeight="1" x14ac:dyDescent="0.25">
      <c r="A51" s="17" t="s">
        <v>114</v>
      </c>
      <c r="B51" s="17">
        <v>8</v>
      </c>
      <c r="C51" s="25">
        <f>VLOOKUP(B51,'Tabla Salarios'!$B$3:$D$13,3,0)</f>
        <v>3900000</v>
      </c>
      <c r="D51" s="16">
        <v>26</v>
      </c>
      <c r="E51" s="31">
        <f>C51/220*'Valores Vigentes'!$E$10*D51</f>
        <v>576136.36363636376</v>
      </c>
      <c r="F51" s="16">
        <v>16</v>
      </c>
      <c r="G51" s="31">
        <f>C51/220*'Valores Vigentes'!$E$11*F51</f>
        <v>496363.63636363635</v>
      </c>
      <c r="H51" s="16">
        <v>16</v>
      </c>
      <c r="I51" s="31">
        <f>C51/220*'Valores Vigentes'!$E$12*H51</f>
        <v>567272.72727272729</v>
      </c>
      <c r="J51" s="31">
        <f>C51/220*'Valores Vigentes'!$E$13*K51</f>
        <v>88636.363636363647</v>
      </c>
      <c r="K51" s="16">
        <v>2</v>
      </c>
      <c r="L51" s="16">
        <v>6</v>
      </c>
      <c r="M51" s="31">
        <f>C51/220*L51*'Valores Vigentes'!$E$14</f>
        <v>143590.90909090912</v>
      </c>
      <c r="N51" s="16">
        <f t="shared" si="0"/>
        <v>60</v>
      </c>
      <c r="O51" s="31">
        <f t="shared" si="1"/>
        <v>1639772.7272727273</v>
      </c>
    </row>
    <row r="52" spans="1:15" ht="15.75" customHeight="1" x14ac:dyDescent="0.25">
      <c r="A52" s="17" t="s">
        <v>115</v>
      </c>
      <c r="B52" s="17">
        <v>6</v>
      </c>
      <c r="C52" s="25">
        <f>VLOOKUP(B52,'Tabla Salarios'!$B$3:$D$13,3,0)</f>
        <v>2950000</v>
      </c>
      <c r="D52" s="16">
        <v>20</v>
      </c>
      <c r="E52" s="31">
        <f>C52/220*'Valores Vigentes'!$E$10*D52</f>
        <v>335227.27272727271</v>
      </c>
      <c r="F52" s="16">
        <v>21</v>
      </c>
      <c r="G52" s="31">
        <f>C52/220*'Valores Vigentes'!$E$11*F52</f>
        <v>492784.09090909094</v>
      </c>
      <c r="H52" s="16">
        <v>15</v>
      </c>
      <c r="I52" s="31">
        <f>C52/220*'Valores Vigentes'!$E$12*H52</f>
        <v>402272.72727272729</v>
      </c>
      <c r="J52" s="31">
        <f>C52/220*'Valores Vigentes'!$E$13*K52</f>
        <v>905113.63636363635</v>
      </c>
      <c r="K52" s="16">
        <v>27</v>
      </c>
      <c r="L52" s="16">
        <v>30</v>
      </c>
      <c r="M52" s="31">
        <f>C52/220*L52*'Valores Vigentes'!$E$14</f>
        <v>543068.18181818188</v>
      </c>
      <c r="N52" s="16">
        <f t="shared" si="0"/>
        <v>83</v>
      </c>
      <c r="O52" s="31">
        <f t="shared" si="1"/>
        <v>1230284.0909090908</v>
      </c>
    </row>
    <row r="53" spans="1:15" ht="15.75" customHeight="1" x14ac:dyDescent="0.25">
      <c r="A53" s="17" t="s">
        <v>116</v>
      </c>
      <c r="B53" s="17">
        <v>4</v>
      </c>
      <c r="C53" s="25">
        <f>VLOOKUP(B53,'Tabla Salarios'!$B$3:$D$13,3,0)</f>
        <v>2450000</v>
      </c>
      <c r="D53" s="16">
        <v>21</v>
      </c>
      <c r="E53" s="31">
        <f>C53/220*'Valores Vigentes'!$E$10*D53</f>
        <v>292329.54545454541</v>
      </c>
      <c r="F53" s="16">
        <v>23</v>
      </c>
      <c r="G53" s="31">
        <f>C53/220*'Valores Vigentes'!$E$11*F53</f>
        <v>448238.63636363635</v>
      </c>
      <c r="H53" s="16">
        <v>19</v>
      </c>
      <c r="I53" s="31">
        <f>C53/220*'Valores Vigentes'!$E$12*H53</f>
        <v>423181.81818181818</v>
      </c>
      <c r="J53" s="31">
        <f>C53/220*'Valores Vigentes'!$E$13*K53</f>
        <v>528977.27272727271</v>
      </c>
      <c r="K53" s="16">
        <v>19</v>
      </c>
      <c r="L53" s="16">
        <v>12</v>
      </c>
      <c r="M53" s="31">
        <f>C53/220*L53*'Valores Vigentes'!$E$14</f>
        <v>180409.09090909094</v>
      </c>
      <c r="N53" s="16">
        <f t="shared" si="0"/>
        <v>82</v>
      </c>
      <c r="O53" s="31">
        <f t="shared" si="1"/>
        <v>1163750</v>
      </c>
    </row>
    <row r="54" spans="1:15" ht="15.75" customHeight="1" x14ac:dyDescent="0.25">
      <c r="A54" s="17" t="s">
        <v>117</v>
      </c>
      <c r="B54" s="17">
        <v>3</v>
      </c>
      <c r="C54" s="25">
        <f>VLOOKUP(B54,'Tabla Salarios'!$B$3:$D$13,3,0)</f>
        <v>1813000</v>
      </c>
      <c r="D54" s="16">
        <v>12</v>
      </c>
      <c r="E54" s="31">
        <f>C54/220*'Valores Vigentes'!$E$10*D54</f>
        <v>123613.63636363635</v>
      </c>
      <c r="F54" s="16">
        <v>24</v>
      </c>
      <c r="G54" s="31">
        <f>C54/220*'Valores Vigentes'!$E$11*F54</f>
        <v>346118.18181818177</v>
      </c>
      <c r="H54" s="16">
        <v>30</v>
      </c>
      <c r="I54" s="31">
        <f>C54/220*'Valores Vigentes'!$E$12*H54</f>
        <v>494454.54545454541</v>
      </c>
      <c r="J54" s="31">
        <f>C54/220*'Valores Vigentes'!$E$13*K54</f>
        <v>123613.63636363635</v>
      </c>
      <c r="K54" s="16">
        <v>6</v>
      </c>
      <c r="L54" s="16">
        <v>19</v>
      </c>
      <c r="M54" s="31">
        <f>C54/220*L54*'Valores Vigentes'!$E$14</f>
        <v>211379.31818181818</v>
      </c>
      <c r="N54" s="16">
        <f t="shared" si="0"/>
        <v>72</v>
      </c>
      <c r="O54" s="31">
        <f t="shared" si="1"/>
        <v>964186.36363636353</v>
      </c>
    </row>
    <row r="55" spans="1:15" ht="15.75" customHeight="1" x14ac:dyDescent="0.25">
      <c r="A55" s="17" t="s">
        <v>118</v>
      </c>
      <c r="B55" s="17">
        <v>2</v>
      </c>
      <c r="C55" s="25">
        <f>VLOOKUP(B55,'Tabla Salarios'!$B$3:$D$13,3,0)</f>
        <v>1626000</v>
      </c>
      <c r="D55" s="16">
        <v>17</v>
      </c>
      <c r="E55" s="31">
        <f>C55/220*'Valores Vigentes'!$E$10*D55</f>
        <v>157056.81818181818</v>
      </c>
      <c r="F55" s="16">
        <v>25</v>
      </c>
      <c r="G55" s="31">
        <f>C55/220*'Valores Vigentes'!$E$11*F55</f>
        <v>323352.27272727276</v>
      </c>
      <c r="H55" s="16">
        <v>8</v>
      </c>
      <c r="I55" s="31">
        <f>C55/220*'Valores Vigentes'!$E$12*H55</f>
        <v>118254.54545454546</v>
      </c>
      <c r="J55" s="31">
        <f>C55/220*'Valores Vigentes'!$E$13*K55</f>
        <v>388022.72727272729</v>
      </c>
      <c r="K55" s="16">
        <v>21</v>
      </c>
      <c r="L55" s="16">
        <v>8</v>
      </c>
      <c r="M55" s="31">
        <f>C55/220*L55*'Valores Vigentes'!$E$14</f>
        <v>79821.818181818191</v>
      </c>
      <c r="N55" s="16">
        <f t="shared" si="0"/>
        <v>71</v>
      </c>
      <c r="O55" s="31">
        <f t="shared" si="1"/>
        <v>598663.63636363635</v>
      </c>
    </row>
    <row r="56" spans="1:15" ht="15.75" customHeight="1" x14ac:dyDescent="0.25">
      <c r="A56" s="17" t="s">
        <v>119</v>
      </c>
      <c r="B56" s="17">
        <v>8</v>
      </c>
      <c r="C56" s="25">
        <f>VLOOKUP(B56,'Tabla Salarios'!$B$3:$D$13,3,0)</f>
        <v>3900000</v>
      </c>
      <c r="D56" s="16">
        <v>2</v>
      </c>
      <c r="E56" s="31">
        <f>C56/220*'Valores Vigentes'!$E$10*D56</f>
        <v>44318.181818181823</v>
      </c>
      <c r="F56" s="16">
        <v>6</v>
      </c>
      <c r="G56" s="31">
        <f>C56/220*'Valores Vigentes'!$E$11*F56</f>
        <v>186136.36363636365</v>
      </c>
      <c r="H56" s="16">
        <v>9</v>
      </c>
      <c r="I56" s="31">
        <f>C56/220*'Valores Vigentes'!$E$12*H56</f>
        <v>319090.90909090912</v>
      </c>
      <c r="J56" s="31">
        <f>C56/220*'Valores Vigentes'!$E$13*K56</f>
        <v>398863.63636363641</v>
      </c>
      <c r="K56" s="16">
        <v>9</v>
      </c>
      <c r="L56" s="16">
        <v>26</v>
      </c>
      <c r="M56" s="31">
        <f>C56/220*L56*'Valores Vigentes'!$E$14</f>
        <v>622227.27272727282</v>
      </c>
      <c r="N56" s="16">
        <f t="shared" si="0"/>
        <v>26</v>
      </c>
      <c r="O56" s="31">
        <f t="shared" si="1"/>
        <v>549545.45454545459</v>
      </c>
    </row>
    <row r="57" spans="1:15" ht="15.75" customHeight="1" x14ac:dyDescent="0.25">
      <c r="A57" s="17" t="s">
        <v>120</v>
      </c>
      <c r="B57" s="17">
        <v>6</v>
      </c>
      <c r="C57" s="25">
        <f>VLOOKUP(B57,'Tabla Salarios'!$B$3:$D$13,3,0)</f>
        <v>2950000</v>
      </c>
      <c r="D57" s="16">
        <v>12</v>
      </c>
      <c r="E57" s="31">
        <f>C57/220*'Valores Vigentes'!$E$10*D57</f>
        <v>201136.36363636365</v>
      </c>
      <c r="F57" s="16">
        <v>9</v>
      </c>
      <c r="G57" s="31">
        <f>C57/220*'Valores Vigentes'!$E$11*F57</f>
        <v>211193.18181818182</v>
      </c>
      <c r="H57" s="16">
        <v>30</v>
      </c>
      <c r="I57" s="31">
        <f>C57/220*'Valores Vigentes'!$E$12*H57</f>
        <v>804545.45454545459</v>
      </c>
      <c r="J57" s="31">
        <f>C57/220*'Valores Vigentes'!$E$13*K57</f>
        <v>100568.18181818182</v>
      </c>
      <c r="K57" s="16">
        <v>3</v>
      </c>
      <c r="L57" s="16">
        <v>12</v>
      </c>
      <c r="M57" s="31">
        <f>C57/220*L57*'Valores Vigentes'!$E$14</f>
        <v>217227.27272727274</v>
      </c>
      <c r="N57" s="16">
        <f t="shared" si="0"/>
        <v>54</v>
      </c>
      <c r="O57" s="31">
        <f t="shared" si="1"/>
        <v>1216875</v>
      </c>
    </row>
    <row r="58" spans="1:15" ht="15.75" customHeight="1" x14ac:dyDescent="0.25">
      <c r="A58" s="17" t="s">
        <v>121</v>
      </c>
      <c r="B58" s="17">
        <v>5</v>
      </c>
      <c r="C58" s="25">
        <f>VLOOKUP(B58,'Tabla Salarios'!$B$3:$D$13,3,0)</f>
        <v>2650000</v>
      </c>
      <c r="D58" s="16">
        <v>21</v>
      </c>
      <c r="E58" s="31">
        <f>C58/220*'Valores Vigentes'!$E$10*D58</f>
        <v>316193.18181818182</v>
      </c>
      <c r="F58" s="16">
        <v>12</v>
      </c>
      <c r="G58" s="31">
        <f>C58/220*'Valores Vigentes'!$E$11*F58</f>
        <v>252954.54545454547</v>
      </c>
      <c r="H58" s="16">
        <v>9</v>
      </c>
      <c r="I58" s="31">
        <f>C58/220*'Valores Vigentes'!$E$12*H58</f>
        <v>216818.18181818182</v>
      </c>
      <c r="J58" s="31">
        <f>C58/220*'Valores Vigentes'!$E$13*K58</f>
        <v>722727.27272727271</v>
      </c>
      <c r="K58" s="16">
        <v>24</v>
      </c>
      <c r="L58" s="16">
        <v>24</v>
      </c>
      <c r="M58" s="31">
        <f>C58/220*L58*'Valores Vigentes'!$E$14</f>
        <v>390272.72727272735</v>
      </c>
      <c r="N58" s="16">
        <f t="shared" si="0"/>
        <v>66</v>
      </c>
      <c r="O58" s="31">
        <f t="shared" si="1"/>
        <v>785965.90909090918</v>
      </c>
    </row>
    <row r="59" spans="1:15" ht="15.75" customHeight="1" x14ac:dyDescent="0.25">
      <c r="A59" s="17" t="s">
        <v>122</v>
      </c>
      <c r="B59" s="17">
        <v>8</v>
      </c>
      <c r="C59" s="25">
        <f>VLOOKUP(B59,'Tabla Salarios'!$B$3:$D$13,3,0)</f>
        <v>3900000</v>
      </c>
      <c r="D59" s="16">
        <v>5</v>
      </c>
      <c r="E59" s="31">
        <f>C59/220*'Valores Vigentes'!$E$10*D59</f>
        <v>110795.45454545456</v>
      </c>
      <c r="F59" s="16">
        <v>2</v>
      </c>
      <c r="G59" s="31">
        <f>C59/220*'Valores Vigentes'!$E$11*F59</f>
        <v>62045.454545454544</v>
      </c>
      <c r="H59" s="16">
        <v>30</v>
      </c>
      <c r="I59" s="31">
        <f>C59/220*'Valores Vigentes'!$E$12*H59</f>
        <v>1063636.3636363638</v>
      </c>
      <c r="J59" s="31">
        <f>C59/220*'Valores Vigentes'!$E$13*K59</f>
        <v>443181.81818181823</v>
      </c>
      <c r="K59" s="16">
        <v>10</v>
      </c>
      <c r="L59" s="16">
        <v>27</v>
      </c>
      <c r="M59" s="31">
        <f>C59/220*L59*'Valores Vigentes'!$E$14</f>
        <v>646159.09090909094</v>
      </c>
      <c r="N59" s="16">
        <f t="shared" si="0"/>
        <v>47</v>
      </c>
      <c r="O59" s="31">
        <f t="shared" si="1"/>
        <v>1236477.2727272729</v>
      </c>
    </row>
    <row r="60" spans="1:15" ht="15.75" customHeight="1" x14ac:dyDescent="0.25">
      <c r="A60" s="17" t="s">
        <v>123</v>
      </c>
      <c r="B60" s="17">
        <v>1</v>
      </c>
      <c r="C60" s="25">
        <f>VLOOKUP(B60,'Tabla Salarios'!$B$3:$D$13,3,0)</f>
        <v>1423500</v>
      </c>
      <c r="D60" s="16">
        <v>0</v>
      </c>
      <c r="E60" s="31">
        <f>C60/220*'Valores Vigentes'!$E$10*D60</f>
        <v>0</v>
      </c>
      <c r="F60" s="16">
        <v>3</v>
      </c>
      <c r="G60" s="31">
        <f>C60/220*'Valores Vigentes'!$E$11*F60</f>
        <v>33969.88636363636</v>
      </c>
      <c r="H60" s="16">
        <v>3</v>
      </c>
      <c r="I60" s="31">
        <f>C60/220*'Valores Vigentes'!$E$12*H60</f>
        <v>38822.727272727272</v>
      </c>
      <c r="J60" s="31">
        <f>C60/220*'Valores Vigentes'!$E$13*K60</f>
        <v>194113.63636363635</v>
      </c>
      <c r="K60" s="16">
        <v>12</v>
      </c>
      <c r="L60" s="16">
        <v>13</v>
      </c>
      <c r="M60" s="31">
        <f>C60/220*L60*'Valores Vigentes'!$E$14</f>
        <v>113556.47727272728</v>
      </c>
      <c r="N60" s="16">
        <f t="shared" si="0"/>
        <v>18</v>
      </c>
      <c r="O60" s="31">
        <f t="shared" si="1"/>
        <v>72792.613636363632</v>
      </c>
    </row>
    <row r="61" spans="1:15" ht="15.75" customHeight="1" x14ac:dyDescent="0.25">
      <c r="A61" s="17" t="s">
        <v>124</v>
      </c>
      <c r="B61" s="17">
        <v>4</v>
      </c>
      <c r="C61" s="25">
        <f>VLOOKUP(B61,'Tabla Salarios'!$B$3:$D$13,3,0)</f>
        <v>2450000</v>
      </c>
      <c r="D61" s="16">
        <v>9</v>
      </c>
      <c r="E61" s="31">
        <f>C61/220*'Valores Vigentes'!$E$10*D61</f>
        <v>125284.0909090909</v>
      </c>
      <c r="F61" s="16">
        <v>8</v>
      </c>
      <c r="G61" s="31">
        <f>C61/220*'Valores Vigentes'!$E$11*F61</f>
        <v>155909.09090909091</v>
      </c>
      <c r="H61" s="16">
        <v>2</v>
      </c>
      <c r="I61" s="31">
        <f>C61/220*'Valores Vigentes'!$E$12*H61</f>
        <v>44545.454545454544</v>
      </c>
      <c r="J61" s="31">
        <f>C61/220*'Valores Vigentes'!$E$13*K61</f>
        <v>696022.72727272718</v>
      </c>
      <c r="K61" s="16">
        <v>25</v>
      </c>
      <c r="L61" s="16">
        <v>8</v>
      </c>
      <c r="M61" s="31">
        <f>C61/220*L61*'Valores Vigentes'!$E$14</f>
        <v>120272.72727272728</v>
      </c>
      <c r="N61" s="16">
        <f t="shared" si="0"/>
        <v>44</v>
      </c>
      <c r="O61" s="31">
        <f t="shared" si="1"/>
        <v>325738.63636363635</v>
      </c>
    </row>
    <row r="62" spans="1:15" ht="15.75" customHeight="1" x14ac:dyDescent="0.25">
      <c r="A62" s="17" t="s">
        <v>125</v>
      </c>
      <c r="B62" s="17">
        <v>8</v>
      </c>
      <c r="C62" s="25">
        <f>VLOOKUP(B62,'Tabla Salarios'!$B$3:$D$13,3,0)</f>
        <v>3900000</v>
      </c>
      <c r="D62" s="16">
        <v>5</v>
      </c>
      <c r="E62" s="31">
        <f>C62/220*'Valores Vigentes'!$E$10*D62</f>
        <v>110795.45454545456</v>
      </c>
      <c r="F62" s="16">
        <v>0</v>
      </c>
      <c r="G62" s="31">
        <f>C62/220*'Valores Vigentes'!$E$11*F62</f>
        <v>0</v>
      </c>
      <c r="H62" s="16">
        <v>28</v>
      </c>
      <c r="I62" s="31">
        <f>C62/220*'Valores Vigentes'!$E$12*H62</f>
        <v>992727.27272727271</v>
      </c>
      <c r="J62" s="31">
        <f>C62/220*'Valores Vigentes'!$E$13*K62</f>
        <v>354545.45454545459</v>
      </c>
      <c r="K62" s="16">
        <v>8</v>
      </c>
      <c r="L62" s="16">
        <v>9</v>
      </c>
      <c r="M62" s="31">
        <f>C62/220*L62*'Valores Vigentes'!$E$14</f>
        <v>215386.36363636368</v>
      </c>
      <c r="N62" s="16">
        <f t="shared" si="0"/>
        <v>41</v>
      </c>
      <c r="O62" s="31">
        <f t="shared" si="1"/>
        <v>1103522.7272727273</v>
      </c>
    </row>
    <row r="63" spans="1:15" ht="15.75" customHeight="1" x14ac:dyDescent="0.25">
      <c r="A63" s="17" t="s">
        <v>126</v>
      </c>
      <c r="B63" s="17">
        <v>5</v>
      </c>
      <c r="C63" s="25">
        <f>VLOOKUP(B63,'Tabla Salarios'!$B$3:$D$13,3,0)</f>
        <v>2650000</v>
      </c>
      <c r="D63" s="16">
        <v>25</v>
      </c>
      <c r="E63" s="31">
        <f>C63/220*'Valores Vigentes'!$E$10*D63</f>
        <v>376420.45454545453</v>
      </c>
      <c r="F63" s="16">
        <v>2</v>
      </c>
      <c r="G63" s="31">
        <f>C63/220*'Valores Vigentes'!$E$11*F63</f>
        <v>42159.090909090912</v>
      </c>
      <c r="H63" s="16">
        <v>28</v>
      </c>
      <c r="I63" s="31">
        <f>C63/220*'Valores Vigentes'!$E$12*H63</f>
        <v>674545.45454545459</v>
      </c>
      <c r="J63" s="31">
        <f>C63/220*'Valores Vigentes'!$E$13*K63</f>
        <v>210795.45454545456</v>
      </c>
      <c r="K63" s="16">
        <v>7</v>
      </c>
      <c r="L63" s="16">
        <v>19</v>
      </c>
      <c r="M63" s="31">
        <f>C63/220*L63*'Valores Vigentes'!$E$14</f>
        <v>308965.90909090912</v>
      </c>
      <c r="N63" s="16">
        <f t="shared" si="0"/>
        <v>62</v>
      </c>
      <c r="O63" s="31">
        <f t="shared" si="1"/>
        <v>1093125</v>
      </c>
    </row>
    <row r="64" spans="1:15" ht="15.75" customHeight="1" x14ac:dyDescent="0.25">
      <c r="A64" s="17" t="s">
        <v>127</v>
      </c>
      <c r="B64" s="17">
        <v>8</v>
      </c>
      <c r="C64" s="25">
        <f>VLOOKUP(B64,'Tabla Salarios'!$B$3:$D$13,3,0)</f>
        <v>3900000</v>
      </c>
      <c r="D64" s="16">
        <v>11</v>
      </c>
      <c r="E64" s="31">
        <f>C64/220*'Valores Vigentes'!$E$10*D64</f>
        <v>243750.00000000003</v>
      </c>
      <c r="F64" s="16">
        <v>8</v>
      </c>
      <c r="G64" s="31">
        <f>C64/220*'Valores Vigentes'!$E$11*F64</f>
        <v>248181.81818181818</v>
      </c>
      <c r="H64" s="16">
        <v>21</v>
      </c>
      <c r="I64" s="31">
        <f>C64/220*'Valores Vigentes'!$E$12*H64</f>
        <v>744545.45454545459</v>
      </c>
      <c r="J64" s="31">
        <f>C64/220*'Valores Vigentes'!$E$13*K64</f>
        <v>1107954.5454545456</v>
      </c>
      <c r="K64" s="16">
        <v>25</v>
      </c>
      <c r="L64" s="16">
        <v>14</v>
      </c>
      <c r="M64" s="31">
        <f>C64/220*L64*'Valores Vigentes'!$E$14</f>
        <v>335045.45454545459</v>
      </c>
      <c r="N64" s="16">
        <f t="shared" si="0"/>
        <v>65</v>
      </c>
      <c r="O64" s="31">
        <f t="shared" si="1"/>
        <v>1236477.2727272729</v>
      </c>
    </row>
    <row r="65" spans="1:15" ht="15.75" customHeight="1" x14ac:dyDescent="0.25">
      <c r="A65" s="17" t="s">
        <v>128</v>
      </c>
      <c r="B65" s="17">
        <v>5</v>
      </c>
      <c r="C65" s="25">
        <f>VLOOKUP(B65,'Tabla Salarios'!$B$3:$D$13,3,0)</f>
        <v>2650000</v>
      </c>
      <c r="D65" s="16">
        <v>9</v>
      </c>
      <c r="E65" s="31">
        <f>C65/220*'Valores Vigentes'!$E$10*D65</f>
        <v>135511.36363636365</v>
      </c>
      <c r="F65" s="16">
        <v>8</v>
      </c>
      <c r="G65" s="31">
        <f>C65/220*'Valores Vigentes'!$E$11*F65</f>
        <v>168636.36363636365</v>
      </c>
      <c r="H65" s="16">
        <v>6</v>
      </c>
      <c r="I65" s="31">
        <f>C65/220*'Valores Vigentes'!$E$12*H65</f>
        <v>144545.45454545456</v>
      </c>
      <c r="J65" s="31">
        <f>C65/220*'Valores Vigentes'!$E$13*K65</f>
        <v>602272.72727272729</v>
      </c>
      <c r="K65" s="16">
        <v>20</v>
      </c>
      <c r="L65" s="16">
        <v>13</v>
      </c>
      <c r="M65" s="31">
        <f>C65/220*L65*'Valores Vigentes'!$E$14</f>
        <v>211397.72727272729</v>
      </c>
      <c r="N65" s="16">
        <f t="shared" si="0"/>
        <v>43</v>
      </c>
      <c r="O65" s="31">
        <f t="shared" si="1"/>
        <v>448693.18181818188</v>
      </c>
    </row>
    <row r="66" spans="1:15" ht="15.75" customHeight="1" x14ac:dyDescent="0.25">
      <c r="A66" s="17" t="s">
        <v>129</v>
      </c>
      <c r="B66" s="17">
        <v>2</v>
      </c>
      <c r="C66" s="25">
        <f>VLOOKUP(B66,'Tabla Salarios'!$B$3:$D$13,3,0)</f>
        <v>1626000</v>
      </c>
      <c r="D66" s="16">
        <v>28</v>
      </c>
      <c r="E66" s="31">
        <f>C66/220*'Valores Vigentes'!$E$10*D66</f>
        <v>258681.81818181818</v>
      </c>
      <c r="F66" s="16">
        <v>1</v>
      </c>
      <c r="G66" s="31">
        <f>C66/220*'Valores Vigentes'!$E$11*F66</f>
        <v>12934.09090909091</v>
      </c>
      <c r="H66" s="16">
        <v>13</v>
      </c>
      <c r="I66" s="31">
        <f>C66/220*'Valores Vigentes'!$E$12*H66</f>
        <v>192163.63636363635</v>
      </c>
      <c r="J66" s="31">
        <f>C66/220*'Valores Vigentes'!$E$13*K66</f>
        <v>480409.09090909094</v>
      </c>
      <c r="K66" s="16">
        <v>26</v>
      </c>
      <c r="L66" s="16">
        <v>4</v>
      </c>
      <c r="M66" s="31">
        <f>C66/220*L66*'Valores Vigentes'!$E$14</f>
        <v>39910.909090909096</v>
      </c>
      <c r="N66" s="16">
        <f t="shared" si="0"/>
        <v>68</v>
      </c>
      <c r="O66" s="31">
        <f t="shared" si="1"/>
        <v>463779.54545454541</v>
      </c>
    </row>
    <row r="67" spans="1:15" ht="15.75" customHeight="1" x14ac:dyDescent="0.25">
      <c r="A67" s="17" t="s">
        <v>130</v>
      </c>
      <c r="B67" s="17">
        <v>6</v>
      </c>
      <c r="C67" s="25">
        <f>VLOOKUP(B67,'Tabla Salarios'!$B$3:$D$13,3,0)</f>
        <v>2950000</v>
      </c>
      <c r="D67" s="16">
        <v>30</v>
      </c>
      <c r="E67" s="31">
        <f>C67/220*'Valores Vigentes'!$E$10*D67</f>
        <v>502840.90909090906</v>
      </c>
      <c r="F67" s="16">
        <v>4</v>
      </c>
      <c r="G67" s="31">
        <f>C67/220*'Valores Vigentes'!$E$11*F67</f>
        <v>93863.636363636368</v>
      </c>
      <c r="H67" s="16">
        <v>30</v>
      </c>
      <c r="I67" s="31">
        <f>C67/220*'Valores Vigentes'!$E$12*H67</f>
        <v>804545.45454545459</v>
      </c>
      <c r="J67" s="31">
        <f>C67/220*'Valores Vigentes'!$E$13*K67</f>
        <v>402272.72727272729</v>
      </c>
      <c r="K67" s="16">
        <v>12</v>
      </c>
      <c r="L67" s="16">
        <v>4</v>
      </c>
      <c r="M67" s="31">
        <f>C67/220*L67*'Valores Vigentes'!$E$14</f>
        <v>72409.090909090912</v>
      </c>
      <c r="N67" s="16">
        <f t="shared" si="0"/>
        <v>76</v>
      </c>
      <c r="O67" s="31">
        <f t="shared" si="1"/>
        <v>1401250</v>
      </c>
    </row>
    <row r="68" spans="1:15" ht="15.75" customHeight="1" x14ac:dyDescent="0.25">
      <c r="A68" s="17" t="s">
        <v>131</v>
      </c>
      <c r="B68" s="17">
        <v>7</v>
      </c>
      <c r="C68" s="25">
        <f>VLOOKUP(B68,'Tabla Salarios'!$B$3:$D$13,3,0)</f>
        <v>3250000</v>
      </c>
      <c r="D68" s="16">
        <v>15</v>
      </c>
      <c r="E68" s="31">
        <f>C68/220*'Valores Vigentes'!$E$10*D68</f>
        <v>276988.63636363635</v>
      </c>
      <c r="F68" s="16">
        <v>21</v>
      </c>
      <c r="G68" s="31">
        <f>C68/220*'Valores Vigentes'!$E$11*F68</f>
        <v>542897.72727272729</v>
      </c>
      <c r="H68" s="16">
        <v>3</v>
      </c>
      <c r="I68" s="31">
        <f>C68/220*'Valores Vigentes'!$E$12*H68</f>
        <v>88636.363636363632</v>
      </c>
      <c r="J68" s="31">
        <f>C68/220*'Valores Vigentes'!$E$13*K68</f>
        <v>1071022.7272727271</v>
      </c>
      <c r="K68" s="16">
        <v>29</v>
      </c>
      <c r="L68" s="16">
        <v>16</v>
      </c>
      <c r="M68" s="31">
        <f>C68/220*L68*'Valores Vigentes'!$E$14</f>
        <v>319090.90909090912</v>
      </c>
      <c r="N68" s="16">
        <f t="shared" ref="N68:N131" si="2">D68+F68+H68+K68</f>
        <v>68</v>
      </c>
      <c r="O68" s="31">
        <f t="shared" ref="O68:O131" si="3">E68+G68+I68</f>
        <v>908522.72727272729</v>
      </c>
    </row>
    <row r="69" spans="1:15" ht="15.75" customHeight="1" x14ac:dyDescent="0.25">
      <c r="A69" s="17" t="s">
        <v>132</v>
      </c>
      <c r="B69" s="17">
        <v>5</v>
      </c>
      <c r="C69" s="25">
        <f>VLOOKUP(B69,'Tabla Salarios'!$B$3:$D$13,3,0)</f>
        <v>2650000</v>
      </c>
      <c r="D69" s="16">
        <v>19</v>
      </c>
      <c r="E69" s="31">
        <f>C69/220*'Valores Vigentes'!$E$10*D69</f>
        <v>286079.54545454547</v>
      </c>
      <c r="F69" s="16">
        <v>0</v>
      </c>
      <c r="G69" s="31">
        <f>C69/220*'Valores Vigentes'!$E$11*F69</f>
        <v>0</v>
      </c>
      <c r="H69" s="16">
        <v>9</v>
      </c>
      <c r="I69" s="31">
        <f>C69/220*'Valores Vigentes'!$E$12*H69</f>
        <v>216818.18181818182</v>
      </c>
      <c r="J69" s="31">
        <f>C69/220*'Valores Vigentes'!$E$13*K69</f>
        <v>391477.27272727271</v>
      </c>
      <c r="K69" s="16">
        <v>13</v>
      </c>
      <c r="L69" s="16">
        <v>25</v>
      </c>
      <c r="M69" s="31">
        <f>C69/220*L69*'Valores Vigentes'!$E$14</f>
        <v>406534.09090909094</v>
      </c>
      <c r="N69" s="16">
        <f t="shared" si="2"/>
        <v>41</v>
      </c>
      <c r="O69" s="31">
        <f t="shared" si="3"/>
        <v>502897.72727272729</v>
      </c>
    </row>
    <row r="70" spans="1:15" ht="15.75" customHeight="1" x14ac:dyDescent="0.25">
      <c r="A70" s="17" t="s">
        <v>133</v>
      </c>
      <c r="B70" s="17">
        <v>2</v>
      </c>
      <c r="C70" s="25">
        <f>VLOOKUP(B70,'Tabla Salarios'!$B$3:$D$13,3,0)</f>
        <v>1626000</v>
      </c>
      <c r="D70" s="16">
        <v>8</v>
      </c>
      <c r="E70" s="31">
        <f>C70/220*'Valores Vigentes'!$E$10*D70</f>
        <v>73909.090909090912</v>
      </c>
      <c r="F70" s="16">
        <v>1</v>
      </c>
      <c r="G70" s="31">
        <f>C70/220*'Valores Vigentes'!$E$11*F70</f>
        <v>12934.09090909091</v>
      </c>
      <c r="H70" s="16">
        <v>0</v>
      </c>
      <c r="I70" s="31">
        <f>C70/220*'Valores Vigentes'!$E$12*H70</f>
        <v>0</v>
      </c>
      <c r="J70" s="31">
        <f>C70/220*'Valores Vigentes'!$E$13*K70</f>
        <v>295636.36363636365</v>
      </c>
      <c r="K70" s="16">
        <v>16</v>
      </c>
      <c r="L70" s="16">
        <v>21</v>
      </c>
      <c r="M70" s="31">
        <f>C70/220*L70*'Valores Vigentes'!$E$14</f>
        <v>209532.27272727274</v>
      </c>
      <c r="N70" s="16">
        <f t="shared" si="2"/>
        <v>25</v>
      </c>
      <c r="O70" s="31">
        <f t="shared" si="3"/>
        <v>86843.181818181823</v>
      </c>
    </row>
    <row r="71" spans="1:15" ht="15.75" customHeight="1" x14ac:dyDescent="0.25">
      <c r="A71" s="17" t="s">
        <v>134</v>
      </c>
      <c r="B71" s="17">
        <v>7</v>
      </c>
      <c r="C71" s="25">
        <f>VLOOKUP(B71,'Tabla Salarios'!$B$3:$D$13,3,0)</f>
        <v>3250000</v>
      </c>
      <c r="D71" s="16">
        <v>0</v>
      </c>
      <c r="E71" s="31">
        <f>C71/220*'Valores Vigentes'!$E$10*D71</f>
        <v>0</v>
      </c>
      <c r="F71" s="16">
        <v>1</v>
      </c>
      <c r="G71" s="31">
        <f>C71/220*'Valores Vigentes'!$E$11*F71</f>
        <v>25852.272727272728</v>
      </c>
      <c r="H71" s="16">
        <v>17</v>
      </c>
      <c r="I71" s="31">
        <f>C71/220*'Valores Vigentes'!$E$12*H71</f>
        <v>502272.72727272724</v>
      </c>
      <c r="J71" s="31">
        <f>C71/220*'Valores Vigentes'!$E$13*K71</f>
        <v>960227.27272727259</v>
      </c>
      <c r="K71" s="16">
        <v>26</v>
      </c>
      <c r="L71" s="16">
        <v>2</v>
      </c>
      <c r="M71" s="31">
        <f>C71/220*L71*'Valores Vigentes'!$E$14</f>
        <v>39886.36363636364</v>
      </c>
      <c r="N71" s="16">
        <f t="shared" si="2"/>
        <v>44</v>
      </c>
      <c r="O71" s="31">
        <f t="shared" si="3"/>
        <v>528125</v>
      </c>
    </row>
    <row r="72" spans="1:15" ht="15.75" customHeight="1" x14ac:dyDescent="0.25">
      <c r="A72" s="17" t="s">
        <v>135</v>
      </c>
      <c r="B72" s="17">
        <v>8</v>
      </c>
      <c r="C72" s="25">
        <f>VLOOKUP(B72,'Tabla Salarios'!$B$3:$D$13,3,0)</f>
        <v>3900000</v>
      </c>
      <c r="D72" s="16">
        <v>21</v>
      </c>
      <c r="E72" s="31">
        <f>C72/220*'Valores Vigentes'!$E$10*D72</f>
        <v>465340.90909090918</v>
      </c>
      <c r="F72" s="16">
        <v>16</v>
      </c>
      <c r="G72" s="31">
        <f>C72/220*'Valores Vigentes'!$E$11*F72</f>
        <v>496363.63636363635</v>
      </c>
      <c r="H72" s="16">
        <v>10</v>
      </c>
      <c r="I72" s="31">
        <f>C72/220*'Valores Vigentes'!$E$12*H72</f>
        <v>354545.45454545459</v>
      </c>
      <c r="J72" s="31">
        <f>C72/220*'Valores Vigentes'!$E$13*K72</f>
        <v>975000.00000000012</v>
      </c>
      <c r="K72" s="16">
        <v>22</v>
      </c>
      <c r="L72" s="16">
        <v>15</v>
      </c>
      <c r="M72" s="31">
        <f>C72/220*L72*'Valores Vigentes'!$E$14</f>
        <v>358977.27272727282</v>
      </c>
      <c r="N72" s="16">
        <f t="shared" si="2"/>
        <v>69</v>
      </c>
      <c r="O72" s="31">
        <f t="shared" si="3"/>
        <v>1316250</v>
      </c>
    </row>
    <row r="73" spans="1:15" ht="15.75" customHeight="1" x14ac:dyDescent="0.25">
      <c r="A73" s="17" t="s">
        <v>136</v>
      </c>
      <c r="B73" s="17">
        <v>3</v>
      </c>
      <c r="C73" s="25">
        <f>VLOOKUP(B73,'Tabla Salarios'!$B$3:$D$13,3,0)</f>
        <v>1813000</v>
      </c>
      <c r="D73" s="16">
        <v>14</v>
      </c>
      <c r="E73" s="31">
        <f>C73/220*'Valores Vigentes'!$E$10*D73</f>
        <v>144215.90909090906</v>
      </c>
      <c r="F73" s="16">
        <v>25</v>
      </c>
      <c r="G73" s="31">
        <f>C73/220*'Valores Vigentes'!$E$11*F73</f>
        <v>360539.77272727271</v>
      </c>
      <c r="H73" s="16">
        <v>11</v>
      </c>
      <c r="I73" s="31">
        <f>C73/220*'Valores Vigentes'!$E$12*H73</f>
        <v>181299.99999999997</v>
      </c>
      <c r="J73" s="31">
        <f>C73/220*'Valores Vigentes'!$E$13*K73</f>
        <v>391443.18181818177</v>
      </c>
      <c r="K73" s="16">
        <v>19</v>
      </c>
      <c r="L73" s="16">
        <v>5</v>
      </c>
      <c r="M73" s="31">
        <f>C73/220*L73*'Valores Vigentes'!$E$14</f>
        <v>55626.13636363636</v>
      </c>
      <c r="N73" s="16">
        <f t="shared" si="2"/>
        <v>69</v>
      </c>
      <c r="O73" s="31">
        <f t="shared" si="3"/>
        <v>686055.68181818177</v>
      </c>
    </row>
    <row r="74" spans="1:15" ht="15.75" customHeight="1" x14ac:dyDescent="0.25">
      <c r="A74" s="17" t="s">
        <v>137</v>
      </c>
      <c r="B74" s="17">
        <v>4</v>
      </c>
      <c r="C74" s="25">
        <f>VLOOKUP(B74,'Tabla Salarios'!$B$3:$D$13,3,0)</f>
        <v>2450000</v>
      </c>
      <c r="D74" s="16">
        <v>30</v>
      </c>
      <c r="E74" s="31">
        <f>C74/220*'Valores Vigentes'!$E$10*D74</f>
        <v>417613.63636363635</v>
      </c>
      <c r="F74" s="16">
        <v>18</v>
      </c>
      <c r="G74" s="31">
        <f>C74/220*'Valores Vigentes'!$E$11*F74</f>
        <v>350795.45454545453</v>
      </c>
      <c r="H74" s="16">
        <v>30</v>
      </c>
      <c r="I74" s="31">
        <f>C74/220*'Valores Vigentes'!$E$12*H74</f>
        <v>668181.81818181812</v>
      </c>
      <c r="J74" s="31">
        <f>C74/220*'Valores Vigentes'!$E$13*K74</f>
        <v>584659.09090909082</v>
      </c>
      <c r="K74" s="16">
        <v>21</v>
      </c>
      <c r="L74" s="16">
        <v>11</v>
      </c>
      <c r="M74" s="31">
        <f>C74/220*L74*'Valores Vigentes'!$E$14</f>
        <v>165375</v>
      </c>
      <c r="N74" s="16">
        <f t="shared" si="2"/>
        <v>99</v>
      </c>
      <c r="O74" s="31">
        <f t="shared" si="3"/>
        <v>1436590.9090909089</v>
      </c>
    </row>
    <row r="75" spans="1:15" ht="15.75" customHeight="1" x14ac:dyDescent="0.25">
      <c r="A75" s="17" t="s">
        <v>138</v>
      </c>
      <c r="B75" s="17">
        <v>8</v>
      </c>
      <c r="C75" s="25">
        <f>VLOOKUP(B75,'Tabla Salarios'!$B$3:$D$13,3,0)</f>
        <v>3900000</v>
      </c>
      <c r="D75" s="16">
        <v>15</v>
      </c>
      <c r="E75" s="31">
        <f>C75/220*'Valores Vigentes'!$E$10*D75</f>
        <v>332386.36363636365</v>
      </c>
      <c r="F75" s="16">
        <v>30</v>
      </c>
      <c r="G75" s="31">
        <f>C75/220*'Valores Vigentes'!$E$11*F75</f>
        <v>930681.81818181812</v>
      </c>
      <c r="H75" s="16">
        <v>6</v>
      </c>
      <c r="I75" s="31">
        <f>C75/220*'Valores Vigentes'!$E$12*H75</f>
        <v>212727.27272727274</v>
      </c>
      <c r="J75" s="31">
        <f>C75/220*'Valores Vigentes'!$E$13*K75</f>
        <v>88636.363636363647</v>
      </c>
      <c r="K75" s="16">
        <v>2</v>
      </c>
      <c r="L75" s="16">
        <v>15</v>
      </c>
      <c r="M75" s="31">
        <f>C75/220*L75*'Valores Vigentes'!$E$14</f>
        <v>358977.27272727282</v>
      </c>
      <c r="N75" s="16">
        <f t="shared" si="2"/>
        <v>53</v>
      </c>
      <c r="O75" s="31">
        <f t="shared" si="3"/>
        <v>1475795.4545454544</v>
      </c>
    </row>
    <row r="76" spans="1:15" ht="15.75" customHeight="1" x14ac:dyDescent="0.25">
      <c r="A76" s="17" t="s">
        <v>139</v>
      </c>
      <c r="B76" s="17">
        <v>8</v>
      </c>
      <c r="C76" s="25">
        <f>VLOOKUP(B76,'Tabla Salarios'!$B$3:$D$13,3,0)</f>
        <v>3900000</v>
      </c>
      <c r="D76" s="16">
        <v>22</v>
      </c>
      <c r="E76" s="31">
        <f>C76/220*'Valores Vigentes'!$E$10*D76</f>
        <v>487500.00000000006</v>
      </c>
      <c r="F76" s="16">
        <v>17</v>
      </c>
      <c r="G76" s="31">
        <f>C76/220*'Valores Vigentes'!$E$11*F76</f>
        <v>527386.36363636365</v>
      </c>
      <c r="H76" s="16">
        <v>6</v>
      </c>
      <c r="I76" s="31">
        <f>C76/220*'Valores Vigentes'!$E$12*H76</f>
        <v>212727.27272727274</v>
      </c>
      <c r="J76" s="31">
        <f>C76/220*'Valores Vigentes'!$E$13*K76</f>
        <v>620454.54545454553</v>
      </c>
      <c r="K76" s="16">
        <v>14</v>
      </c>
      <c r="L76" s="16">
        <v>12</v>
      </c>
      <c r="M76" s="31">
        <f>C76/220*L76*'Valores Vigentes'!$E$14</f>
        <v>287181.81818181823</v>
      </c>
      <c r="N76" s="16">
        <f t="shared" si="2"/>
        <v>59</v>
      </c>
      <c r="O76" s="31">
        <f t="shared" si="3"/>
        <v>1227613.6363636365</v>
      </c>
    </row>
    <row r="77" spans="1:15" ht="15.75" customHeight="1" x14ac:dyDescent="0.25">
      <c r="A77" s="17" t="s">
        <v>140</v>
      </c>
      <c r="B77" s="17">
        <v>3</v>
      </c>
      <c r="C77" s="25">
        <f>VLOOKUP(B77,'Tabla Salarios'!$B$3:$D$13,3,0)</f>
        <v>1813000</v>
      </c>
      <c r="D77" s="16">
        <v>16</v>
      </c>
      <c r="E77" s="31">
        <f>C77/220*'Valores Vigentes'!$E$10*D77</f>
        <v>164818.18181818179</v>
      </c>
      <c r="F77" s="16">
        <v>27</v>
      </c>
      <c r="G77" s="31">
        <f>C77/220*'Valores Vigentes'!$E$11*F77</f>
        <v>389382.95454545453</v>
      </c>
      <c r="H77" s="16">
        <v>6</v>
      </c>
      <c r="I77" s="31">
        <f>C77/220*'Valores Vigentes'!$E$12*H77</f>
        <v>98890.909090909088</v>
      </c>
      <c r="J77" s="31">
        <f>C77/220*'Valores Vigentes'!$E$13*K77</f>
        <v>41204.545454545449</v>
      </c>
      <c r="K77" s="16">
        <v>2</v>
      </c>
      <c r="L77" s="16">
        <v>8</v>
      </c>
      <c r="M77" s="31">
        <f>C77/220*L77*'Valores Vigentes'!$E$14</f>
        <v>89001.818181818177</v>
      </c>
      <c r="N77" s="16">
        <f t="shared" si="2"/>
        <v>51</v>
      </c>
      <c r="O77" s="31">
        <f t="shared" si="3"/>
        <v>653092.04545454541</v>
      </c>
    </row>
    <row r="78" spans="1:15" ht="15.75" customHeight="1" x14ac:dyDescent="0.25">
      <c r="A78" s="17" t="s">
        <v>141</v>
      </c>
      <c r="B78" s="17">
        <v>4</v>
      </c>
      <c r="C78" s="25">
        <f>VLOOKUP(B78,'Tabla Salarios'!$B$3:$D$13,3,0)</f>
        <v>2450000</v>
      </c>
      <c r="D78" s="16">
        <v>24</v>
      </c>
      <c r="E78" s="31">
        <f>C78/220*'Valores Vigentes'!$E$10*D78</f>
        <v>334090.90909090906</v>
      </c>
      <c r="F78" s="16">
        <v>18</v>
      </c>
      <c r="G78" s="31">
        <f>C78/220*'Valores Vigentes'!$E$11*F78</f>
        <v>350795.45454545453</v>
      </c>
      <c r="H78" s="16">
        <v>0</v>
      </c>
      <c r="I78" s="31">
        <f>C78/220*'Valores Vigentes'!$E$12*H78</f>
        <v>0</v>
      </c>
      <c r="J78" s="31">
        <f>C78/220*'Valores Vigentes'!$E$13*K78</f>
        <v>751704.54545454541</v>
      </c>
      <c r="K78" s="16">
        <v>27</v>
      </c>
      <c r="L78" s="16">
        <v>20</v>
      </c>
      <c r="M78" s="31">
        <f>C78/220*L78*'Valores Vigentes'!$E$14</f>
        <v>300681.81818181818</v>
      </c>
      <c r="N78" s="16">
        <f t="shared" si="2"/>
        <v>69</v>
      </c>
      <c r="O78" s="31">
        <f t="shared" si="3"/>
        <v>684886.36363636353</v>
      </c>
    </row>
    <row r="79" spans="1:15" ht="15.75" customHeight="1" x14ac:dyDescent="0.25">
      <c r="A79" s="17" t="s">
        <v>142</v>
      </c>
      <c r="B79" s="17">
        <v>2</v>
      </c>
      <c r="C79" s="25">
        <f>VLOOKUP(B79,'Tabla Salarios'!$B$3:$D$13,3,0)</f>
        <v>1626000</v>
      </c>
      <c r="D79" s="16">
        <v>25</v>
      </c>
      <c r="E79" s="31">
        <f>C79/220*'Valores Vigentes'!$E$10*D79</f>
        <v>230965.90909090909</v>
      </c>
      <c r="F79" s="16">
        <v>14</v>
      </c>
      <c r="G79" s="31">
        <f>C79/220*'Valores Vigentes'!$E$11*F79</f>
        <v>181077.27272727274</v>
      </c>
      <c r="H79" s="16">
        <v>15</v>
      </c>
      <c r="I79" s="31">
        <f>C79/220*'Valores Vigentes'!$E$12*H79</f>
        <v>221727.27272727274</v>
      </c>
      <c r="J79" s="31">
        <f>C79/220*'Valores Vigentes'!$E$13*K79</f>
        <v>295636.36363636365</v>
      </c>
      <c r="K79" s="16">
        <v>16</v>
      </c>
      <c r="L79" s="16">
        <v>27</v>
      </c>
      <c r="M79" s="31">
        <f>C79/220*L79*'Valores Vigentes'!$E$14</f>
        <v>269398.63636363641</v>
      </c>
      <c r="N79" s="16">
        <f t="shared" si="2"/>
        <v>70</v>
      </c>
      <c r="O79" s="31">
        <f t="shared" si="3"/>
        <v>633770.45454545459</v>
      </c>
    </row>
    <row r="80" spans="1:15" ht="15.75" customHeight="1" x14ac:dyDescent="0.25">
      <c r="A80" s="17" t="s">
        <v>143</v>
      </c>
      <c r="B80" s="17">
        <v>6</v>
      </c>
      <c r="C80" s="25">
        <f>VLOOKUP(B80,'Tabla Salarios'!$B$3:$D$13,3,0)</f>
        <v>2950000</v>
      </c>
      <c r="D80" s="16">
        <v>24</v>
      </c>
      <c r="E80" s="31">
        <f>C80/220*'Valores Vigentes'!$E$10*D80</f>
        <v>402272.72727272729</v>
      </c>
      <c r="F80" s="16">
        <v>15</v>
      </c>
      <c r="G80" s="31">
        <f>C80/220*'Valores Vigentes'!$E$11*F80</f>
        <v>351988.63636363635</v>
      </c>
      <c r="H80" s="16">
        <v>20</v>
      </c>
      <c r="I80" s="31">
        <f>C80/220*'Valores Vigentes'!$E$12*H80</f>
        <v>536363.63636363635</v>
      </c>
      <c r="J80" s="31">
        <f>C80/220*'Valores Vigentes'!$E$13*K80</f>
        <v>0</v>
      </c>
      <c r="K80" s="16">
        <v>0</v>
      </c>
      <c r="L80" s="16">
        <v>7</v>
      </c>
      <c r="M80" s="31">
        <f>C80/220*L80*'Valores Vigentes'!$E$14</f>
        <v>126715.9090909091</v>
      </c>
      <c r="N80" s="16">
        <f t="shared" si="2"/>
        <v>59</v>
      </c>
      <c r="O80" s="31">
        <f t="shared" si="3"/>
        <v>1290625</v>
      </c>
    </row>
    <row r="81" spans="1:15" ht="15.75" customHeight="1" x14ac:dyDescent="0.25">
      <c r="A81" s="17" t="s">
        <v>144</v>
      </c>
      <c r="B81" s="17">
        <v>3</v>
      </c>
      <c r="C81" s="25">
        <f>VLOOKUP(B81,'Tabla Salarios'!$B$3:$D$13,3,0)</f>
        <v>1813000</v>
      </c>
      <c r="D81" s="16">
        <v>12</v>
      </c>
      <c r="E81" s="31">
        <f>C81/220*'Valores Vigentes'!$E$10*D81</f>
        <v>123613.63636363635</v>
      </c>
      <c r="F81" s="16">
        <v>3</v>
      </c>
      <c r="G81" s="31">
        <f>C81/220*'Valores Vigentes'!$E$11*F81</f>
        <v>43264.772727272721</v>
      </c>
      <c r="H81" s="16">
        <v>7</v>
      </c>
      <c r="I81" s="31">
        <f>C81/220*'Valores Vigentes'!$E$12*H81</f>
        <v>115372.72727272726</v>
      </c>
      <c r="J81" s="31">
        <f>C81/220*'Valores Vigentes'!$E$13*K81</f>
        <v>556261.36363636353</v>
      </c>
      <c r="K81" s="16">
        <v>27</v>
      </c>
      <c r="L81" s="16">
        <v>19</v>
      </c>
      <c r="M81" s="31">
        <f>C81/220*L81*'Valores Vigentes'!$E$14</f>
        <v>211379.31818181818</v>
      </c>
      <c r="N81" s="16">
        <f t="shared" si="2"/>
        <v>49</v>
      </c>
      <c r="O81" s="31">
        <f t="shared" si="3"/>
        <v>282251.13636363635</v>
      </c>
    </row>
    <row r="82" spans="1:15" ht="15.75" customHeight="1" x14ac:dyDescent="0.25">
      <c r="A82" s="17" t="s">
        <v>145</v>
      </c>
      <c r="B82" s="17">
        <v>1</v>
      </c>
      <c r="C82" s="25">
        <f>VLOOKUP(B82,'Tabla Salarios'!$B$3:$D$13,3,0)</f>
        <v>1423500</v>
      </c>
      <c r="D82" s="16">
        <v>20</v>
      </c>
      <c r="E82" s="31">
        <f>C82/220*'Valores Vigentes'!$E$10*D82</f>
        <v>161761.36363636362</v>
      </c>
      <c r="F82" s="16">
        <v>17</v>
      </c>
      <c r="G82" s="31">
        <f>C82/220*'Valores Vigentes'!$E$11*F82</f>
        <v>192496.02272727271</v>
      </c>
      <c r="H82" s="16">
        <v>29</v>
      </c>
      <c r="I82" s="31">
        <f>C82/220*'Valores Vigentes'!$E$12*H82</f>
        <v>375286.36363636359</v>
      </c>
      <c r="J82" s="31">
        <f>C82/220*'Valores Vigentes'!$E$13*K82</f>
        <v>323522.72727272724</v>
      </c>
      <c r="K82" s="16">
        <v>20</v>
      </c>
      <c r="L82" s="16">
        <v>24</v>
      </c>
      <c r="M82" s="31">
        <f>C82/220*L82*'Valores Vigentes'!$E$14</f>
        <v>209642.72727272729</v>
      </c>
      <c r="N82" s="16">
        <f t="shared" si="2"/>
        <v>86</v>
      </c>
      <c r="O82" s="31">
        <f t="shared" si="3"/>
        <v>729543.75</v>
      </c>
    </row>
    <row r="83" spans="1:15" ht="15.75" customHeight="1" x14ac:dyDescent="0.25">
      <c r="A83" s="17" t="s">
        <v>146</v>
      </c>
      <c r="B83" s="17">
        <v>2</v>
      </c>
      <c r="C83" s="25">
        <f>VLOOKUP(B83,'Tabla Salarios'!$B$3:$D$13,3,0)</f>
        <v>1626000</v>
      </c>
      <c r="D83" s="16">
        <v>12</v>
      </c>
      <c r="E83" s="31">
        <f>C83/220*'Valores Vigentes'!$E$10*D83</f>
        <v>110863.63636363637</v>
      </c>
      <c r="F83" s="16">
        <v>28</v>
      </c>
      <c r="G83" s="31">
        <f>C83/220*'Valores Vigentes'!$E$11*F83</f>
        <v>362154.54545454547</v>
      </c>
      <c r="H83" s="16">
        <v>19</v>
      </c>
      <c r="I83" s="31">
        <f>C83/220*'Valores Vigentes'!$E$12*H83</f>
        <v>280854.54545454547</v>
      </c>
      <c r="J83" s="31">
        <f>C83/220*'Valores Vigentes'!$E$13*K83</f>
        <v>184772.72727272729</v>
      </c>
      <c r="K83" s="16">
        <v>10</v>
      </c>
      <c r="L83" s="16">
        <v>24</v>
      </c>
      <c r="M83" s="31">
        <f>C83/220*L83*'Valores Vigentes'!$E$14</f>
        <v>239465.45454545456</v>
      </c>
      <c r="N83" s="16">
        <f t="shared" si="2"/>
        <v>69</v>
      </c>
      <c r="O83" s="31">
        <f t="shared" si="3"/>
        <v>753872.72727272729</v>
      </c>
    </row>
    <row r="84" spans="1:15" ht="15.75" customHeight="1" x14ac:dyDescent="0.25">
      <c r="A84" s="17" t="s">
        <v>147</v>
      </c>
      <c r="B84" s="17">
        <v>1</v>
      </c>
      <c r="C84" s="25">
        <f>VLOOKUP(B84,'Tabla Salarios'!$B$3:$D$13,3,0)</f>
        <v>1423500</v>
      </c>
      <c r="D84" s="16">
        <v>28</v>
      </c>
      <c r="E84" s="31">
        <f>C84/220*'Valores Vigentes'!$E$10*D84</f>
        <v>226465.90909090906</v>
      </c>
      <c r="F84" s="16">
        <v>28</v>
      </c>
      <c r="G84" s="31">
        <f>C84/220*'Valores Vigentes'!$E$11*F84</f>
        <v>317052.27272727271</v>
      </c>
      <c r="H84" s="16">
        <v>21</v>
      </c>
      <c r="I84" s="31">
        <f>C84/220*'Valores Vigentes'!$E$12*H84</f>
        <v>271759.09090909088</v>
      </c>
      <c r="J84" s="31">
        <f>C84/220*'Valores Vigentes'!$E$13*K84</f>
        <v>355874.99999999994</v>
      </c>
      <c r="K84" s="16">
        <v>22</v>
      </c>
      <c r="L84" s="16">
        <v>21</v>
      </c>
      <c r="M84" s="31">
        <f>C84/220*L84*'Valores Vigentes'!$E$14</f>
        <v>183437.38636363635</v>
      </c>
      <c r="N84" s="16">
        <f t="shared" si="2"/>
        <v>99</v>
      </c>
      <c r="O84" s="31">
        <f t="shared" si="3"/>
        <v>815277.27272727271</v>
      </c>
    </row>
    <row r="85" spans="1:15" ht="15.75" customHeight="1" x14ac:dyDescent="0.25">
      <c r="A85" s="17" t="s">
        <v>148</v>
      </c>
      <c r="B85" s="17">
        <v>4</v>
      </c>
      <c r="C85" s="25">
        <f>VLOOKUP(B85,'Tabla Salarios'!$B$3:$D$13,3,0)</f>
        <v>2450000</v>
      </c>
      <c r="D85" s="16">
        <v>11</v>
      </c>
      <c r="E85" s="31">
        <f>C85/220*'Valores Vigentes'!$E$10*D85</f>
        <v>153125</v>
      </c>
      <c r="F85" s="16">
        <v>26</v>
      </c>
      <c r="G85" s="31">
        <f>C85/220*'Valores Vigentes'!$E$11*F85</f>
        <v>506704.54545454547</v>
      </c>
      <c r="H85" s="16">
        <v>8</v>
      </c>
      <c r="I85" s="31">
        <f>C85/220*'Valores Vigentes'!$E$12*H85</f>
        <v>178181.81818181818</v>
      </c>
      <c r="J85" s="31">
        <f>C85/220*'Valores Vigentes'!$E$13*K85</f>
        <v>222727.27272727271</v>
      </c>
      <c r="K85" s="16">
        <v>8</v>
      </c>
      <c r="L85" s="16">
        <v>27</v>
      </c>
      <c r="M85" s="31">
        <f>C85/220*L85*'Valores Vigentes'!$E$14</f>
        <v>405920.45454545459</v>
      </c>
      <c r="N85" s="16">
        <f t="shared" si="2"/>
        <v>53</v>
      </c>
      <c r="O85" s="31">
        <f t="shared" si="3"/>
        <v>838011.36363636353</v>
      </c>
    </row>
    <row r="86" spans="1:15" ht="15.75" customHeight="1" x14ac:dyDescent="0.25">
      <c r="A86" s="17" t="s">
        <v>149</v>
      </c>
      <c r="B86" s="17">
        <v>4</v>
      </c>
      <c r="C86" s="25">
        <f>VLOOKUP(B86,'Tabla Salarios'!$B$3:$D$13,3,0)</f>
        <v>2450000</v>
      </c>
      <c r="D86" s="16">
        <v>6</v>
      </c>
      <c r="E86" s="31">
        <f>C86/220*'Valores Vigentes'!$E$10*D86</f>
        <v>83522.727272727265</v>
      </c>
      <c r="F86" s="16">
        <v>20</v>
      </c>
      <c r="G86" s="31">
        <f>C86/220*'Valores Vigentes'!$E$11*F86</f>
        <v>389772.72727272729</v>
      </c>
      <c r="H86" s="16">
        <v>14</v>
      </c>
      <c r="I86" s="31">
        <f>C86/220*'Valores Vigentes'!$E$12*H86</f>
        <v>311818.18181818182</v>
      </c>
      <c r="J86" s="31">
        <f>C86/220*'Valores Vigentes'!$E$13*K86</f>
        <v>417613.63636363635</v>
      </c>
      <c r="K86" s="16">
        <v>15</v>
      </c>
      <c r="L86" s="16">
        <v>13</v>
      </c>
      <c r="M86" s="31">
        <f>C86/220*L86*'Valores Vigentes'!$E$14</f>
        <v>195443.18181818182</v>
      </c>
      <c r="N86" s="16">
        <f t="shared" si="2"/>
        <v>55</v>
      </c>
      <c r="O86" s="31">
        <f t="shared" si="3"/>
        <v>785113.63636363647</v>
      </c>
    </row>
    <row r="87" spans="1:15" ht="15.75" customHeight="1" x14ac:dyDescent="0.25">
      <c r="A87" s="17" t="s">
        <v>150</v>
      </c>
      <c r="B87" s="17">
        <v>8</v>
      </c>
      <c r="C87" s="25">
        <f>VLOOKUP(B87,'Tabla Salarios'!$B$3:$D$13,3,0)</f>
        <v>3900000</v>
      </c>
      <c r="D87" s="16">
        <v>3</v>
      </c>
      <c r="E87" s="31">
        <f>C87/220*'Valores Vigentes'!$E$10*D87</f>
        <v>66477.272727272735</v>
      </c>
      <c r="F87" s="16">
        <v>20</v>
      </c>
      <c r="G87" s="31">
        <f>C87/220*'Valores Vigentes'!$E$11*F87</f>
        <v>620454.54545454541</v>
      </c>
      <c r="H87" s="16">
        <v>20</v>
      </c>
      <c r="I87" s="31">
        <f>C87/220*'Valores Vigentes'!$E$12*H87</f>
        <v>709090.90909090918</v>
      </c>
      <c r="J87" s="31">
        <f>C87/220*'Valores Vigentes'!$E$13*K87</f>
        <v>398863.63636363641</v>
      </c>
      <c r="K87" s="16">
        <v>9</v>
      </c>
      <c r="L87" s="16">
        <v>0</v>
      </c>
      <c r="M87" s="31">
        <f>C87/220*L87*'Valores Vigentes'!$E$14</f>
        <v>0</v>
      </c>
      <c r="N87" s="16">
        <f t="shared" si="2"/>
        <v>52</v>
      </c>
      <c r="O87" s="31">
        <f t="shared" si="3"/>
        <v>1396022.7272727273</v>
      </c>
    </row>
    <row r="88" spans="1:15" ht="15.75" customHeight="1" x14ac:dyDescent="0.25">
      <c r="A88" s="17" t="s">
        <v>151</v>
      </c>
      <c r="B88" s="17">
        <v>6</v>
      </c>
      <c r="C88" s="25">
        <f>VLOOKUP(B88,'Tabla Salarios'!$B$3:$D$13,3,0)</f>
        <v>2950000</v>
      </c>
      <c r="D88" s="16">
        <v>16</v>
      </c>
      <c r="E88" s="31">
        <f>C88/220*'Valores Vigentes'!$E$10*D88</f>
        <v>268181.81818181818</v>
      </c>
      <c r="F88" s="16">
        <v>6</v>
      </c>
      <c r="G88" s="31">
        <f>C88/220*'Valores Vigentes'!$E$11*F88</f>
        <v>140795.45454545456</v>
      </c>
      <c r="H88" s="16">
        <v>24</v>
      </c>
      <c r="I88" s="31">
        <f>C88/220*'Valores Vigentes'!$E$12*H88</f>
        <v>643636.36363636365</v>
      </c>
      <c r="J88" s="31">
        <f>C88/220*'Valores Vigentes'!$E$13*K88</f>
        <v>636931.81818181812</v>
      </c>
      <c r="K88" s="16">
        <v>19</v>
      </c>
      <c r="L88" s="16">
        <v>9</v>
      </c>
      <c r="M88" s="31">
        <f>C88/220*L88*'Valores Vigentes'!$E$14</f>
        <v>162920.45454545456</v>
      </c>
      <c r="N88" s="16">
        <f t="shared" si="2"/>
        <v>65</v>
      </c>
      <c r="O88" s="31">
        <f t="shared" si="3"/>
        <v>1052613.6363636362</v>
      </c>
    </row>
    <row r="89" spans="1:15" ht="15.75" customHeight="1" x14ac:dyDescent="0.25">
      <c r="A89" s="17" t="s">
        <v>152</v>
      </c>
      <c r="B89" s="17">
        <v>1</v>
      </c>
      <c r="C89" s="25">
        <f>VLOOKUP(B89,'Tabla Salarios'!$B$3:$D$13,3,0)</f>
        <v>1423500</v>
      </c>
      <c r="D89" s="16">
        <v>8</v>
      </c>
      <c r="E89" s="31">
        <f>C89/220*'Valores Vigentes'!$E$10*D89</f>
        <v>64704.545454545449</v>
      </c>
      <c r="F89" s="16">
        <v>20</v>
      </c>
      <c r="G89" s="31">
        <f>C89/220*'Valores Vigentes'!$E$11*F89</f>
        <v>226465.90909090909</v>
      </c>
      <c r="H89" s="16">
        <v>3</v>
      </c>
      <c r="I89" s="31">
        <f>C89/220*'Valores Vigentes'!$E$12*H89</f>
        <v>38822.727272727272</v>
      </c>
      <c r="J89" s="31">
        <f>C89/220*'Valores Vigentes'!$E$13*K89</f>
        <v>48528.409090909088</v>
      </c>
      <c r="K89" s="16">
        <v>3</v>
      </c>
      <c r="L89" s="16">
        <v>0</v>
      </c>
      <c r="M89" s="31">
        <f>C89/220*L89*'Valores Vigentes'!$E$14</f>
        <v>0</v>
      </c>
      <c r="N89" s="16">
        <f t="shared" si="2"/>
        <v>34</v>
      </c>
      <c r="O89" s="31">
        <f t="shared" si="3"/>
        <v>329993.18181818182</v>
      </c>
    </row>
    <row r="90" spans="1:15" ht="15.75" customHeight="1" x14ac:dyDescent="0.25">
      <c r="A90" s="17" t="s">
        <v>153</v>
      </c>
      <c r="B90" s="17">
        <v>5</v>
      </c>
      <c r="C90" s="25">
        <f>VLOOKUP(B90,'Tabla Salarios'!$B$3:$D$13,3,0)</f>
        <v>2650000</v>
      </c>
      <c r="D90" s="16">
        <v>24</v>
      </c>
      <c r="E90" s="31">
        <f>C90/220*'Valores Vigentes'!$E$10*D90</f>
        <v>361363.63636363635</v>
      </c>
      <c r="F90" s="16">
        <v>15</v>
      </c>
      <c r="G90" s="31">
        <f>C90/220*'Valores Vigentes'!$E$11*F90</f>
        <v>316193.18181818182</v>
      </c>
      <c r="H90" s="16">
        <v>28</v>
      </c>
      <c r="I90" s="31">
        <f>C90/220*'Valores Vigentes'!$E$12*H90</f>
        <v>674545.45454545459</v>
      </c>
      <c r="J90" s="31">
        <f>C90/220*'Valores Vigentes'!$E$13*K90</f>
        <v>481818.18181818182</v>
      </c>
      <c r="K90" s="16">
        <v>16</v>
      </c>
      <c r="L90" s="16">
        <v>10</v>
      </c>
      <c r="M90" s="31">
        <f>C90/220*L90*'Valores Vigentes'!$E$14</f>
        <v>162613.63636363638</v>
      </c>
      <c r="N90" s="16">
        <f t="shared" si="2"/>
        <v>83</v>
      </c>
      <c r="O90" s="31">
        <f t="shared" si="3"/>
        <v>1352102.2727272727</v>
      </c>
    </row>
    <row r="91" spans="1:15" ht="15.75" customHeight="1" x14ac:dyDescent="0.25">
      <c r="A91" s="17" t="s">
        <v>154</v>
      </c>
      <c r="B91" s="17">
        <v>5</v>
      </c>
      <c r="C91" s="25">
        <f>VLOOKUP(B91,'Tabla Salarios'!$B$3:$D$13,3,0)</f>
        <v>2650000</v>
      </c>
      <c r="D91" s="16">
        <v>3</v>
      </c>
      <c r="E91" s="31">
        <f>C91/220*'Valores Vigentes'!$E$10*D91</f>
        <v>45170.454545454544</v>
      </c>
      <c r="F91" s="16">
        <v>13</v>
      </c>
      <c r="G91" s="31">
        <f>C91/220*'Valores Vigentes'!$E$11*F91</f>
        <v>274034.09090909094</v>
      </c>
      <c r="H91" s="16">
        <v>15</v>
      </c>
      <c r="I91" s="31">
        <f>C91/220*'Valores Vigentes'!$E$12*H91</f>
        <v>361363.63636363635</v>
      </c>
      <c r="J91" s="31">
        <f>C91/220*'Valores Vigentes'!$E$13*K91</f>
        <v>722727.27272727271</v>
      </c>
      <c r="K91" s="16">
        <v>24</v>
      </c>
      <c r="L91" s="16">
        <v>6</v>
      </c>
      <c r="M91" s="31">
        <f>C91/220*L91*'Valores Vigentes'!$E$14</f>
        <v>97568.181818181838</v>
      </c>
      <c r="N91" s="16">
        <f t="shared" si="2"/>
        <v>55</v>
      </c>
      <c r="O91" s="31">
        <f t="shared" si="3"/>
        <v>680568.18181818188</v>
      </c>
    </row>
    <row r="92" spans="1:15" ht="15.75" customHeight="1" x14ac:dyDescent="0.25">
      <c r="A92" s="17" t="s">
        <v>155</v>
      </c>
      <c r="B92" s="17">
        <v>7</v>
      </c>
      <c r="C92" s="25">
        <f>VLOOKUP(B92,'Tabla Salarios'!$B$3:$D$13,3,0)</f>
        <v>3250000</v>
      </c>
      <c r="D92" s="16">
        <v>10</v>
      </c>
      <c r="E92" s="31">
        <f>C92/220*'Valores Vigentes'!$E$10*D92</f>
        <v>184659.09090909088</v>
      </c>
      <c r="F92" s="16">
        <v>16</v>
      </c>
      <c r="G92" s="31">
        <f>C92/220*'Valores Vigentes'!$E$11*F92</f>
        <v>413636.36363636365</v>
      </c>
      <c r="H92" s="16">
        <v>0</v>
      </c>
      <c r="I92" s="31">
        <f>C92/220*'Valores Vigentes'!$E$12*H92</f>
        <v>0</v>
      </c>
      <c r="J92" s="31">
        <f>C92/220*'Valores Vigentes'!$E$13*K92</f>
        <v>590909.09090909082</v>
      </c>
      <c r="K92" s="16">
        <v>16</v>
      </c>
      <c r="L92" s="16">
        <v>0</v>
      </c>
      <c r="M92" s="31">
        <f>C92/220*L92*'Valores Vigentes'!$E$14</f>
        <v>0</v>
      </c>
      <c r="N92" s="16">
        <f t="shared" si="2"/>
        <v>42</v>
      </c>
      <c r="O92" s="31">
        <f t="shared" si="3"/>
        <v>598295.45454545459</v>
      </c>
    </row>
    <row r="93" spans="1:15" ht="15.75" customHeight="1" x14ac:dyDescent="0.25">
      <c r="A93" s="17" t="s">
        <v>156</v>
      </c>
      <c r="B93" s="17">
        <v>7</v>
      </c>
      <c r="C93" s="25">
        <f>VLOOKUP(B93,'Tabla Salarios'!$B$3:$D$13,3,0)</f>
        <v>3250000</v>
      </c>
      <c r="D93" s="16">
        <v>3</v>
      </c>
      <c r="E93" s="31">
        <f>C93/220*'Valores Vigentes'!$E$10*D93</f>
        <v>55397.727272727265</v>
      </c>
      <c r="F93" s="16">
        <v>19</v>
      </c>
      <c r="G93" s="31">
        <f>C93/220*'Valores Vigentes'!$E$11*F93</f>
        <v>491193.18181818182</v>
      </c>
      <c r="H93" s="16">
        <v>30</v>
      </c>
      <c r="I93" s="31">
        <f>C93/220*'Valores Vigentes'!$E$12*H93</f>
        <v>886363.63636363635</v>
      </c>
      <c r="J93" s="31">
        <f>C93/220*'Valores Vigentes'!$E$13*K93</f>
        <v>332386.36363636359</v>
      </c>
      <c r="K93" s="16">
        <v>9</v>
      </c>
      <c r="L93" s="16">
        <v>12</v>
      </c>
      <c r="M93" s="31">
        <f>C93/220*L93*'Valores Vigentes'!$E$14</f>
        <v>239318.18181818182</v>
      </c>
      <c r="N93" s="16">
        <f t="shared" si="2"/>
        <v>61</v>
      </c>
      <c r="O93" s="31">
        <f t="shared" si="3"/>
        <v>1432954.5454545454</v>
      </c>
    </row>
    <row r="94" spans="1:15" ht="15.75" customHeight="1" x14ac:dyDescent="0.25">
      <c r="A94" s="17" t="s">
        <v>157</v>
      </c>
      <c r="B94" s="17">
        <v>6</v>
      </c>
      <c r="C94" s="25">
        <f>VLOOKUP(B94,'Tabla Salarios'!$B$3:$D$13,3,0)</f>
        <v>2950000</v>
      </c>
      <c r="D94" s="16">
        <v>30</v>
      </c>
      <c r="E94" s="31">
        <f>C94/220*'Valores Vigentes'!$E$10*D94</f>
        <v>502840.90909090906</v>
      </c>
      <c r="F94" s="16">
        <v>25</v>
      </c>
      <c r="G94" s="31">
        <f>C94/220*'Valores Vigentes'!$E$11*F94</f>
        <v>586647.72727272729</v>
      </c>
      <c r="H94" s="16">
        <v>2</v>
      </c>
      <c r="I94" s="31">
        <f>C94/220*'Valores Vigentes'!$E$12*H94</f>
        <v>53636.36363636364</v>
      </c>
      <c r="J94" s="31">
        <f>C94/220*'Valores Vigentes'!$E$13*K94</f>
        <v>301704.54545454547</v>
      </c>
      <c r="K94" s="16">
        <v>9</v>
      </c>
      <c r="L94" s="16">
        <v>18</v>
      </c>
      <c r="M94" s="31">
        <f>C94/220*L94*'Valores Vigentes'!$E$14</f>
        <v>325840.90909090912</v>
      </c>
      <c r="N94" s="16">
        <f t="shared" si="2"/>
        <v>66</v>
      </c>
      <c r="O94" s="31">
        <f t="shared" si="3"/>
        <v>1143124.9999999998</v>
      </c>
    </row>
    <row r="95" spans="1:15" ht="15.75" customHeight="1" x14ac:dyDescent="0.25">
      <c r="A95" s="17" t="s">
        <v>158</v>
      </c>
      <c r="B95" s="17">
        <v>3</v>
      </c>
      <c r="C95" s="25">
        <f>VLOOKUP(B95,'Tabla Salarios'!$B$3:$D$13,3,0)</f>
        <v>1813000</v>
      </c>
      <c r="D95" s="16">
        <v>10</v>
      </c>
      <c r="E95" s="31">
        <f>C95/220*'Valores Vigentes'!$E$10*D95</f>
        <v>103011.36363636362</v>
      </c>
      <c r="F95" s="16">
        <v>8</v>
      </c>
      <c r="G95" s="31">
        <f>C95/220*'Valores Vigentes'!$E$11*F95</f>
        <v>115372.72727272726</v>
      </c>
      <c r="H95" s="16">
        <v>13</v>
      </c>
      <c r="I95" s="31">
        <f>C95/220*'Valores Vigentes'!$E$12*H95</f>
        <v>214263.63636363635</v>
      </c>
      <c r="J95" s="31">
        <f>C95/220*'Valores Vigentes'!$E$13*K95</f>
        <v>309034.09090909088</v>
      </c>
      <c r="K95" s="16">
        <v>15</v>
      </c>
      <c r="L95" s="16">
        <v>2</v>
      </c>
      <c r="M95" s="31">
        <f>C95/220*L95*'Valores Vigentes'!$E$14</f>
        <v>22250.454545454544</v>
      </c>
      <c r="N95" s="16">
        <f t="shared" si="2"/>
        <v>46</v>
      </c>
      <c r="O95" s="31">
        <f t="shared" si="3"/>
        <v>432647.72727272724</v>
      </c>
    </row>
    <row r="96" spans="1:15" ht="15.75" customHeight="1" x14ac:dyDescent="0.25">
      <c r="A96" s="17" t="s">
        <v>159</v>
      </c>
      <c r="B96" s="17">
        <v>1</v>
      </c>
      <c r="C96" s="25">
        <f>VLOOKUP(B96,'Tabla Salarios'!$B$3:$D$13,3,0)</f>
        <v>1423500</v>
      </c>
      <c r="D96" s="16">
        <v>6</v>
      </c>
      <c r="E96" s="31">
        <f>C96/220*'Valores Vigentes'!$E$10*D96</f>
        <v>48528.409090909088</v>
      </c>
      <c r="F96" s="16">
        <v>22</v>
      </c>
      <c r="G96" s="31">
        <f>C96/220*'Valores Vigentes'!$E$11*F96</f>
        <v>249112.5</v>
      </c>
      <c r="H96" s="16">
        <v>4</v>
      </c>
      <c r="I96" s="31">
        <f>C96/220*'Valores Vigentes'!$E$12*H96</f>
        <v>51763.63636363636</v>
      </c>
      <c r="J96" s="31">
        <f>C96/220*'Valores Vigentes'!$E$13*K96</f>
        <v>226465.90909090906</v>
      </c>
      <c r="K96" s="16">
        <v>14</v>
      </c>
      <c r="L96" s="16">
        <v>14</v>
      </c>
      <c r="M96" s="31">
        <f>C96/220*L96*'Valores Vigentes'!$E$14</f>
        <v>122291.59090909091</v>
      </c>
      <c r="N96" s="16">
        <f t="shared" si="2"/>
        <v>46</v>
      </c>
      <c r="O96" s="31">
        <f t="shared" si="3"/>
        <v>349404.54545454541</v>
      </c>
    </row>
    <row r="97" spans="1:15" ht="15.75" customHeight="1" x14ac:dyDescent="0.25">
      <c r="A97" s="17" t="s">
        <v>160</v>
      </c>
      <c r="B97" s="17">
        <v>1</v>
      </c>
      <c r="C97" s="25">
        <f>VLOOKUP(B97,'Tabla Salarios'!$B$3:$D$13,3,0)</f>
        <v>1423500</v>
      </c>
      <c r="D97" s="16">
        <v>0</v>
      </c>
      <c r="E97" s="31">
        <f>C97/220*'Valores Vigentes'!$E$10*D97</f>
        <v>0</v>
      </c>
      <c r="F97" s="16">
        <v>21</v>
      </c>
      <c r="G97" s="31">
        <f>C97/220*'Valores Vigentes'!$E$11*F97</f>
        <v>237789.20454545453</v>
      </c>
      <c r="H97" s="16">
        <v>17</v>
      </c>
      <c r="I97" s="31">
        <f>C97/220*'Valores Vigentes'!$E$12*H97</f>
        <v>219995.45454545453</v>
      </c>
      <c r="J97" s="31">
        <f>C97/220*'Valores Vigentes'!$E$13*K97</f>
        <v>485284.09090909088</v>
      </c>
      <c r="K97" s="16">
        <v>30</v>
      </c>
      <c r="L97" s="16">
        <v>30</v>
      </c>
      <c r="M97" s="31">
        <f>C97/220*L97*'Valores Vigentes'!$E$14</f>
        <v>262053.40909090909</v>
      </c>
      <c r="N97" s="16">
        <f t="shared" si="2"/>
        <v>68</v>
      </c>
      <c r="O97" s="31">
        <f t="shared" si="3"/>
        <v>457784.65909090906</v>
      </c>
    </row>
    <row r="98" spans="1:15" ht="15.75" customHeight="1" x14ac:dyDescent="0.25">
      <c r="A98" s="17" t="s">
        <v>161</v>
      </c>
      <c r="B98" s="17">
        <v>8</v>
      </c>
      <c r="C98" s="25">
        <f>VLOOKUP(B98,'Tabla Salarios'!$B$3:$D$13,3,0)</f>
        <v>3900000</v>
      </c>
      <c r="D98" s="16">
        <v>21</v>
      </c>
      <c r="E98" s="31">
        <f>C98/220*'Valores Vigentes'!$E$10*D98</f>
        <v>465340.90909090918</v>
      </c>
      <c r="F98" s="16">
        <v>9</v>
      </c>
      <c r="G98" s="31">
        <f>C98/220*'Valores Vigentes'!$E$11*F98</f>
        <v>279204.54545454547</v>
      </c>
      <c r="H98" s="16">
        <v>27</v>
      </c>
      <c r="I98" s="31">
        <f>C98/220*'Valores Vigentes'!$E$12*H98</f>
        <v>957272.72727272729</v>
      </c>
      <c r="J98" s="31">
        <f>C98/220*'Valores Vigentes'!$E$13*K98</f>
        <v>354545.45454545459</v>
      </c>
      <c r="K98" s="16">
        <v>8</v>
      </c>
      <c r="L98" s="16">
        <v>10</v>
      </c>
      <c r="M98" s="31">
        <f>C98/220*L98*'Valores Vigentes'!$E$14</f>
        <v>239318.18181818185</v>
      </c>
      <c r="N98" s="16">
        <f t="shared" si="2"/>
        <v>65</v>
      </c>
      <c r="O98" s="31">
        <f t="shared" si="3"/>
        <v>1701818.1818181819</v>
      </c>
    </row>
    <row r="99" spans="1:15" ht="15.75" customHeight="1" x14ac:dyDescent="0.25">
      <c r="A99" s="17" t="s">
        <v>162</v>
      </c>
      <c r="B99" s="17">
        <v>7</v>
      </c>
      <c r="C99" s="25">
        <f>VLOOKUP(B99,'Tabla Salarios'!$B$3:$D$13,3,0)</f>
        <v>3250000</v>
      </c>
      <c r="D99" s="16">
        <v>18</v>
      </c>
      <c r="E99" s="31">
        <f>C99/220*'Valores Vigentes'!$E$10*D99</f>
        <v>332386.36363636359</v>
      </c>
      <c r="F99" s="16">
        <v>27</v>
      </c>
      <c r="G99" s="31">
        <f>C99/220*'Valores Vigentes'!$E$11*F99</f>
        <v>698011.36363636365</v>
      </c>
      <c r="H99" s="16">
        <v>19</v>
      </c>
      <c r="I99" s="31">
        <f>C99/220*'Valores Vigentes'!$E$12*H99</f>
        <v>561363.63636363635</v>
      </c>
      <c r="J99" s="31">
        <f>C99/220*'Valores Vigentes'!$E$13*K99</f>
        <v>443181.81818181812</v>
      </c>
      <c r="K99" s="16">
        <v>12</v>
      </c>
      <c r="L99" s="16">
        <v>23</v>
      </c>
      <c r="M99" s="31">
        <f>C99/220*L99*'Valores Vigentes'!$E$14</f>
        <v>458693.18181818182</v>
      </c>
      <c r="N99" s="16">
        <f t="shared" si="2"/>
        <v>76</v>
      </c>
      <c r="O99" s="31">
        <f t="shared" si="3"/>
        <v>1591761.3636363638</v>
      </c>
    </row>
    <row r="100" spans="1:15" ht="15.75" customHeight="1" x14ac:dyDescent="0.25">
      <c r="A100" s="17" t="s">
        <v>163</v>
      </c>
      <c r="B100" s="17">
        <v>4</v>
      </c>
      <c r="C100" s="25">
        <f>VLOOKUP(B100,'Tabla Salarios'!$B$3:$D$13,3,0)</f>
        <v>2450000</v>
      </c>
      <c r="D100" s="16">
        <v>27</v>
      </c>
      <c r="E100" s="31">
        <f>C100/220*'Valores Vigentes'!$E$10*D100</f>
        <v>375852.27272727271</v>
      </c>
      <c r="F100" s="16">
        <v>4</v>
      </c>
      <c r="G100" s="31">
        <f>C100/220*'Valores Vigentes'!$E$11*F100</f>
        <v>77954.545454545456</v>
      </c>
      <c r="H100" s="16">
        <v>7</v>
      </c>
      <c r="I100" s="31">
        <f>C100/220*'Valores Vigentes'!$E$12*H100</f>
        <v>155909.09090909091</v>
      </c>
      <c r="J100" s="31">
        <f>C100/220*'Valores Vigentes'!$E$13*K100</f>
        <v>83522.727272727265</v>
      </c>
      <c r="K100" s="16">
        <v>3</v>
      </c>
      <c r="L100" s="16">
        <v>3</v>
      </c>
      <c r="M100" s="31">
        <f>C100/220*L100*'Valores Vigentes'!$E$14</f>
        <v>45102.272727272735</v>
      </c>
      <c r="N100" s="16">
        <f t="shared" si="2"/>
        <v>41</v>
      </c>
      <c r="O100" s="31">
        <f t="shared" si="3"/>
        <v>609715.90909090906</v>
      </c>
    </row>
    <row r="101" spans="1:15" ht="15.75" customHeight="1" x14ac:dyDescent="0.25">
      <c r="A101" s="17" t="s">
        <v>164</v>
      </c>
      <c r="B101" s="17">
        <v>7</v>
      </c>
      <c r="C101" s="25">
        <f>VLOOKUP(B101,'Tabla Salarios'!$B$3:$D$13,3,0)</f>
        <v>3250000</v>
      </c>
      <c r="D101" s="16">
        <v>18</v>
      </c>
      <c r="E101" s="31">
        <f>C101/220*'Valores Vigentes'!$E$10*D101</f>
        <v>332386.36363636359</v>
      </c>
      <c r="F101" s="16">
        <v>26</v>
      </c>
      <c r="G101" s="31">
        <f>C101/220*'Valores Vigentes'!$E$11*F101</f>
        <v>672159.09090909094</v>
      </c>
      <c r="H101" s="16">
        <v>27</v>
      </c>
      <c r="I101" s="31">
        <f>C101/220*'Valores Vigentes'!$E$12*H101</f>
        <v>797727.27272727271</v>
      </c>
      <c r="J101" s="31">
        <f>C101/220*'Valores Vigentes'!$E$13*K101</f>
        <v>480113.63636363629</v>
      </c>
      <c r="K101" s="16">
        <v>13</v>
      </c>
      <c r="L101" s="16">
        <v>0</v>
      </c>
      <c r="M101" s="31">
        <f>C101/220*L101*'Valores Vigentes'!$E$14</f>
        <v>0</v>
      </c>
      <c r="N101" s="16">
        <f t="shared" si="2"/>
        <v>84</v>
      </c>
      <c r="O101" s="31">
        <f t="shared" si="3"/>
        <v>1802272.7272727273</v>
      </c>
    </row>
    <row r="102" spans="1:15" ht="15.75" customHeight="1" x14ac:dyDescent="0.25">
      <c r="A102" s="17" t="s">
        <v>165</v>
      </c>
      <c r="B102" s="17">
        <v>7</v>
      </c>
      <c r="C102" s="25">
        <f>VLOOKUP(B102,'Tabla Salarios'!$B$3:$D$13,3,0)</f>
        <v>3250000</v>
      </c>
      <c r="D102" s="16">
        <v>0</v>
      </c>
      <c r="E102" s="31">
        <f>C102/220*'Valores Vigentes'!$E$10*D102</f>
        <v>0</v>
      </c>
      <c r="F102" s="16">
        <v>21</v>
      </c>
      <c r="G102" s="31">
        <f>C102/220*'Valores Vigentes'!$E$11*F102</f>
        <v>542897.72727272729</v>
      </c>
      <c r="H102" s="16">
        <v>14</v>
      </c>
      <c r="I102" s="31">
        <f>C102/220*'Valores Vigentes'!$E$12*H102</f>
        <v>413636.36363636365</v>
      </c>
      <c r="J102" s="31">
        <f>C102/220*'Valores Vigentes'!$E$13*K102</f>
        <v>332386.36363636359</v>
      </c>
      <c r="K102" s="16">
        <v>9</v>
      </c>
      <c r="L102" s="16">
        <v>22</v>
      </c>
      <c r="M102" s="31">
        <f>C102/220*L102*'Valores Vigentes'!$E$14</f>
        <v>438750</v>
      </c>
      <c r="N102" s="16">
        <f t="shared" si="2"/>
        <v>44</v>
      </c>
      <c r="O102" s="31">
        <f t="shared" si="3"/>
        <v>956534.09090909094</v>
      </c>
    </row>
    <row r="103" spans="1:15" ht="15.75" customHeight="1" x14ac:dyDescent="0.25">
      <c r="A103" s="17" t="s">
        <v>166</v>
      </c>
      <c r="B103" s="17">
        <v>1</v>
      </c>
      <c r="C103" s="25">
        <f>VLOOKUP(B103,'Tabla Salarios'!$B$3:$D$13,3,0)</f>
        <v>1423500</v>
      </c>
      <c r="D103" s="16">
        <v>21</v>
      </c>
      <c r="E103" s="31">
        <f>C103/220*'Valores Vigentes'!$E$10*D103</f>
        <v>169849.43181818179</v>
      </c>
      <c r="F103" s="16">
        <v>3</v>
      </c>
      <c r="G103" s="31">
        <f>C103/220*'Valores Vigentes'!$E$11*F103</f>
        <v>33969.88636363636</v>
      </c>
      <c r="H103" s="16">
        <v>5</v>
      </c>
      <c r="I103" s="31">
        <f>C103/220*'Valores Vigentes'!$E$12*H103</f>
        <v>64704.545454545449</v>
      </c>
      <c r="J103" s="31">
        <f>C103/220*'Valores Vigentes'!$E$13*K103</f>
        <v>80880.681818181809</v>
      </c>
      <c r="K103" s="16">
        <v>5</v>
      </c>
      <c r="L103" s="16">
        <v>28</v>
      </c>
      <c r="M103" s="31">
        <f>C103/220*L103*'Valores Vigentes'!$E$14</f>
        <v>244583.18181818182</v>
      </c>
      <c r="N103" s="16">
        <f t="shared" si="2"/>
        <v>34</v>
      </c>
      <c r="O103" s="31">
        <f t="shared" si="3"/>
        <v>268523.86363636359</v>
      </c>
    </row>
    <row r="104" spans="1:15" ht="15.75" customHeight="1" x14ac:dyDescent="0.25">
      <c r="A104" s="17" t="s">
        <v>167</v>
      </c>
      <c r="B104" s="17">
        <v>1</v>
      </c>
      <c r="C104" s="25">
        <f>VLOOKUP(B104,'Tabla Salarios'!$B$3:$D$13,3,0)</f>
        <v>1423500</v>
      </c>
      <c r="D104" s="16">
        <v>2</v>
      </c>
      <c r="E104" s="31">
        <f>C104/220*'Valores Vigentes'!$E$10*D104</f>
        <v>16176.136363636362</v>
      </c>
      <c r="F104" s="16">
        <v>28</v>
      </c>
      <c r="G104" s="31">
        <f>C104/220*'Valores Vigentes'!$E$11*F104</f>
        <v>317052.27272727271</v>
      </c>
      <c r="H104" s="16">
        <v>14</v>
      </c>
      <c r="I104" s="31">
        <f>C104/220*'Valores Vigentes'!$E$12*H104</f>
        <v>181172.72727272726</v>
      </c>
      <c r="J104" s="31">
        <f>C104/220*'Valores Vigentes'!$E$13*K104</f>
        <v>32352.272727272724</v>
      </c>
      <c r="K104" s="16">
        <v>2</v>
      </c>
      <c r="L104" s="16">
        <v>9</v>
      </c>
      <c r="M104" s="31">
        <f>C104/220*L104*'Valores Vigentes'!$E$14</f>
        <v>78616.022727272721</v>
      </c>
      <c r="N104" s="16">
        <f t="shared" si="2"/>
        <v>46</v>
      </c>
      <c r="O104" s="31">
        <f t="shared" si="3"/>
        <v>514401.13636363635</v>
      </c>
    </row>
    <row r="105" spans="1:15" ht="15.75" customHeight="1" x14ac:dyDescent="0.25">
      <c r="A105" s="17" t="s">
        <v>168</v>
      </c>
      <c r="B105" s="17">
        <v>6</v>
      </c>
      <c r="C105" s="25">
        <f>VLOOKUP(B105,'Tabla Salarios'!$B$3:$D$13,3,0)</f>
        <v>2950000</v>
      </c>
      <c r="D105" s="16">
        <v>1</v>
      </c>
      <c r="E105" s="31">
        <f>C105/220*'Valores Vigentes'!$E$10*D105</f>
        <v>16761.363636363636</v>
      </c>
      <c r="F105" s="16">
        <v>7</v>
      </c>
      <c r="G105" s="31">
        <f>C105/220*'Valores Vigentes'!$E$11*F105</f>
        <v>164261.36363636365</v>
      </c>
      <c r="H105" s="16">
        <v>16</v>
      </c>
      <c r="I105" s="31">
        <f>C105/220*'Valores Vigentes'!$E$12*H105</f>
        <v>429090.90909090912</v>
      </c>
      <c r="J105" s="31">
        <f>C105/220*'Valores Vigentes'!$E$13*K105</f>
        <v>603409.09090909094</v>
      </c>
      <c r="K105" s="16">
        <v>18</v>
      </c>
      <c r="L105" s="16">
        <v>30</v>
      </c>
      <c r="M105" s="31">
        <f>C105/220*L105*'Valores Vigentes'!$E$14</f>
        <v>543068.18181818188</v>
      </c>
      <c r="N105" s="16">
        <f t="shared" si="2"/>
        <v>42</v>
      </c>
      <c r="O105" s="31">
        <f t="shared" si="3"/>
        <v>610113.63636363647</v>
      </c>
    </row>
    <row r="106" spans="1:15" ht="15.75" customHeight="1" x14ac:dyDescent="0.25">
      <c r="A106" s="17" t="s">
        <v>169</v>
      </c>
      <c r="B106" s="17">
        <v>5</v>
      </c>
      <c r="C106" s="25">
        <f>VLOOKUP(B106,'Tabla Salarios'!$B$3:$D$13,3,0)</f>
        <v>2650000</v>
      </c>
      <c r="D106" s="16">
        <v>20</v>
      </c>
      <c r="E106" s="31">
        <f>C106/220*'Valores Vigentes'!$E$10*D106</f>
        <v>301136.36363636365</v>
      </c>
      <c r="F106" s="16">
        <v>30</v>
      </c>
      <c r="G106" s="31">
        <f>C106/220*'Valores Vigentes'!$E$11*F106</f>
        <v>632386.36363636365</v>
      </c>
      <c r="H106" s="16">
        <v>5</v>
      </c>
      <c r="I106" s="31">
        <f>C106/220*'Valores Vigentes'!$E$12*H106</f>
        <v>120454.54545454546</v>
      </c>
      <c r="J106" s="31">
        <f>C106/220*'Valores Vigentes'!$E$13*K106</f>
        <v>752840.90909090906</v>
      </c>
      <c r="K106" s="16">
        <v>25</v>
      </c>
      <c r="L106" s="16">
        <v>20</v>
      </c>
      <c r="M106" s="31">
        <f>C106/220*L106*'Valores Vigentes'!$E$14</f>
        <v>325227.27272727276</v>
      </c>
      <c r="N106" s="16">
        <f t="shared" si="2"/>
        <v>80</v>
      </c>
      <c r="O106" s="31">
        <f t="shared" si="3"/>
        <v>1053977.2727272727</v>
      </c>
    </row>
    <row r="107" spans="1:15" ht="15.75" customHeight="1" x14ac:dyDescent="0.25">
      <c r="A107" s="17" t="s">
        <v>170</v>
      </c>
      <c r="B107" s="17">
        <v>1</v>
      </c>
      <c r="C107" s="25">
        <f>VLOOKUP(B107,'Tabla Salarios'!$B$3:$D$13,3,0)</f>
        <v>1423500</v>
      </c>
      <c r="D107" s="16">
        <v>20</v>
      </c>
      <c r="E107" s="31">
        <f>C107/220*'Valores Vigentes'!$E$10*D107</f>
        <v>161761.36363636362</v>
      </c>
      <c r="F107" s="16">
        <v>12</v>
      </c>
      <c r="G107" s="31">
        <f>C107/220*'Valores Vigentes'!$E$11*F107</f>
        <v>135879.54545454544</v>
      </c>
      <c r="H107" s="16">
        <v>27</v>
      </c>
      <c r="I107" s="31">
        <f>C107/220*'Valores Vigentes'!$E$12*H107</f>
        <v>349404.54545454541</v>
      </c>
      <c r="J107" s="31">
        <f>C107/220*'Valores Vigentes'!$E$13*K107</f>
        <v>485284.09090909088</v>
      </c>
      <c r="K107" s="16">
        <v>30</v>
      </c>
      <c r="L107" s="16">
        <v>26</v>
      </c>
      <c r="M107" s="31">
        <f>C107/220*L107*'Valores Vigentes'!$E$14</f>
        <v>227112.95454545456</v>
      </c>
      <c r="N107" s="16">
        <f t="shared" si="2"/>
        <v>89</v>
      </c>
      <c r="O107" s="31">
        <f t="shared" si="3"/>
        <v>647045.45454545447</v>
      </c>
    </row>
    <row r="108" spans="1:15" ht="15.75" customHeight="1" x14ac:dyDescent="0.25">
      <c r="A108" s="17" t="s">
        <v>171</v>
      </c>
      <c r="B108" s="17">
        <v>7</v>
      </c>
      <c r="C108" s="25">
        <f>VLOOKUP(B108,'Tabla Salarios'!$B$3:$D$13,3,0)</f>
        <v>3250000</v>
      </c>
      <c r="D108" s="16">
        <v>5</v>
      </c>
      <c r="E108" s="31">
        <f>C108/220*'Valores Vigentes'!$E$10*D108</f>
        <v>92329.545454545441</v>
      </c>
      <c r="F108" s="16">
        <v>17</v>
      </c>
      <c r="G108" s="31">
        <f>C108/220*'Valores Vigentes'!$E$11*F108</f>
        <v>439488.63636363635</v>
      </c>
      <c r="H108" s="16">
        <v>0</v>
      </c>
      <c r="I108" s="31">
        <f>C108/220*'Valores Vigentes'!$E$12*H108</f>
        <v>0</v>
      </c>
      <c r="J108" s="31">
        <f>C108/220*'Valores Vigentes'!$E$13*K108</f>
        <v>923295.45454545435</v>
      </c>
      <c r="K108" s="16">
        <v>25</v>
      </c>
      <c r="L108" s="16">
        <v>0</v>
      </c>
      <c r="M108" s="31">
        <f>C108/220*L108*'Valores Vigentes'!$E$14</f>
        <v>0</v>
      </c>
      <c r="N108" s="16">
        <f t="shared" si="2"/>
        <v>47</v>
      </c>
      <c r="O108" s="31">
        <f t="shared" si="3"/>
        <v>531818.18181818177</v>
      </c>
    </row>
    <row r="109" spans="1:15" ht="15.75" customHeight="1" x14ac:dyDescent="0.25">
      <c r="A109" s="17" t="s">
        <v>172</v>
      </c>
      <c r="B109" s="17">
        <v>5</v>
      </c>
      <c r="C109" s="25">
        <f>VLOOKUP(B109,'Tabla Salarios'!$B$3:$D$13,3,0)</f>
        <v>2650000</v>
      </c>
      <c r="D109" s="16">
        <v>7</v>
      </c>
      <c r="E109" s="31">
        <f>C109/220*'Valores Vigentes'!$E$10*D109</f>
        <v>105397.72727272728</v>
      </c>
      <c r="F109" s="16">
        <v>21</v>
      </c>
      <c r="G109" s="31">
        <f>C109/220*'Valores Vigentes'!$E$11*F109</f>
        <v>442670.45454545459</v>
      </c>
      <c r="H109" s="16">
        <v>15</v>
      </c>
      <c r="I109" s="31">
        <f>C109/220*'Valores Vigentes'!$E$12*H109</f>
        <v>361363.63636363635</v>
      </c>
      <c r="J109" s="31">
        <f>C109/220*'Valores Vigentes'!$E$13*K109</f>
        <v>391477.27272727271</v>
      </c>
      <c r="K109" s="16">
        <v>13</v>
      </c>
      <c r="L109" s="16">
        <v>2</v>
      </c>
      <c r="M109" s="31">
        <f>C109/220*L109*'Valores Vigentes'!$E$14</f>
        <v>32522.727272727276</v>
      </c>
      <c r="N109" s="16">
        <f t="shared" si="2"/>
        <v>56</v>
      </c>
      <c r="O109" s="31">
        <f t="shared" si="3"/>
        <v>909431.81818181823</v>
      </c>
    </row>
    <row r="110" spans="1:15" ht="15.75" customHeight="1" x14ac:dyDescent="0.25">
      <c r="A110" s="17" t="s">
        <v>173</v>
      </c>
      <c r="B110" s="17">
        <v>1</v>
      </c>
      <c r="C110" s="25">
        <f>VLOOKUP(B110,'Tabla Salarios'!$B$3:$D$13,3,0)</f>
        <v>1423500</v>
      </c>
      <c r="D110" s="16">
        <v>15</v>
      </c>
      <c r="E110" s="31">
        <f>C110/220*'Valores Vigentes'!$E$10*D110</f>
        <v>121321.02272727272</v>
      </c>
      <c r="F110" s="16">
        <v>24</v>
      </c>
      <c r="G110" s="31">
        <f>C110/220*'Valores Vigentes'!$E$11*F110</f>
        <v>271759.09090909088</v>
      </c>
      <c r="H110" s="16">
        <v>6</v>
      </c>
      <c r="I110" s="31">
        <f>C110/220*'Valores Vigentes'!$E$12*H110</f>
        <v>77645.454545454544</v>
      </c>
      <c r="J110" s="31">
        <f>C110/220*'Valores Vigentes'!$E$13*K110</f>
        <v>274994.31818181818</v>
      </c>
      <c r="K110" s="16">
        <v>17</v>
      </c>
      <c r="L110" s="16">
        <v>13</v>
      </c>
      <c r="M110" s="31">
        <f>C110/220*L110*'Valores Vigentes'!$E$14</f>
        <v>113556.47727272728</v>
      </c>
      <c r="N110" s="16">
        <f t="shared" si="2"/>
        <v>62</v>
      </c>
      <c r="O110" s="31">
        <f t="shared" si="3"/>
        <v>470725.56818181812</v>
      </c>
    </row>
    <row r="111" spans="1:15" ht="15.75" customHeight="1" x14ac:dyDescent="0.25">
      <c r="A111" s="17" t="s">
        <v>174</v>
      </c>
      <c r="B111" s="17">
        <v>3</v>
      </c>
      <c r="C111" s="25">
        <f>VLOOKUP(B111,'Tabla Salarios'!$B$3:$D$13,3,0)</f>
        <v>1813000</v>
      </c>
      <c r="D111" s="16">
        <v>25</v>
      </c>
      <c r="E111" s="31">
        <f>C111/220*'Valores Vigentes'!$E$10*D111</f>
        <v>257528.40909090906</v>
      </c>
      <c r="F111" s="16">
        <v>6</v>
      </c>
      <c r="G111" s="31">
        <f>C111/220*'Valores Vigentes'!$E$11*F111</f>
        <v>86529.545454545441</v>
      </c>
      <c r="H111" s="16">
        <v>7</v>
      </c>
      <c r="I111" s="31">
        <f>C111/220*'Valores Vigentes'!$E$12*H111</f>
        <v>115372.72727272726</v>
      </c>
      <c r="J111" s="31">
        <f>C111/220*'Valores Vigentes'!$E$13*K111</f>
        <v>473852.27272727265</v>
      </c>
      <c r="K111" s="16">
        <v>23</v>
      </c>
      <c r="L111" s="16">
        <v>24</v>
      </c>
      <c r="M111" s="31">
        <f>C111/220*L111*'Valores Vigentes'!$E$14</f>
        <v>267005.45454545453</v>
      </c>
      <c r="N111" s="16">
        <f t="shared" si="2"/>
        <v>61</v>
      </c>
      <c r="O111" s="31">
        <f t="shared" si="3"/>
        <v>459430.68181818177</v>
      </c>
    </row>
    <row r="112" spans="1:15" ht="15.75" customHeight="1" x14ac:dyDescent="0.25">
      <c r="A112" s="17" t="s">
        <v>175</v>
      </c>
      <c r="B112" s="17">
        <v>7</v>
      </c>
      <c r="C112" s="25">
        <f>VLOOKUP(B112,'Tabla Salarios'!$B$3:$D$13,3,0)</f>
        <v>3250000</v>
      </c>
      <c r="D112" s="16">
        <v>26</v>
      </c>
      <c r="E112" s="31">
        <f>C112/220*'Valores Vigentes'!$E$10*D112</f>
        <v>480113.63636363629</v>
      </c>
      <c r="F112" s="16">
        <v>8</v>
      </c>
      <c r="G112" s="31">
        <f>C112/220*'Valores Vigentes'!$E$11*F112</f>
        <v>206818.18181818182</v>
      </c>
      <c r="H112" s="16">
        <v>5</v>
      </c>
      <c r="I112" s="31">
        <f>C112/220*'Valores Vigentes'!$E$12*H112</f>
        <v>147727.27272727271</v>
      </c>
      <c r="J112" s="31">
        <f>C112/220*'Valores Vigentes'!$E$13*K112</f>
        <v>1107954.5454545454</v>
      </c>
      <c r="K112" s="16">
        <v>30</v>
      </c>
      <c r="L112" s="16">
        <v>9</v>
      </c>
      <c r="M112" s="31">
        <f>C112/220*L112*'Valores Vigentes'!$E$14</f>
        <v>179488.63636363635</v>
      </c>
      <c r="N112" s="16">
        <f t="shared" si="2"/>
        <v>69</v>
      </c>
      <c r="O112" s="31">
        <f t="shared" si="3"/>
        <v>834659.09090909082</v>
      </c>
    </row>
    <row r="113" spans="1:15" ht="15.75" customHeight="1" x14ac:dyDescent="0.25">
      <c r="A113" s="17" t="s">
        <v>176</v>
      </c>
      <c r="B113" s="17">
        <v>2</v>
      </c>
      <c r="C113" s="25">
        <f>VLOOKUP(B113,'Tabla Salarios'!$B$3:$D$13,3,0)</f>
        <v>1626000</v>
      </c>
      <c r="D113" s="16">
        <v>0</v>
      </c>
      <c r="E113" s="31">
        <f>C113/220*'Valores Vigentes'!$E$10*D113</f>
        <v>0</v>
      </c>
      <c r="F113" s="16">
        <v>17</v>
      </c>
      <c r="G113" s="31">
        <f>C113/220*'Valores Vigentes'!$E$11*F113</f>
        <v>219879.54545454547</v>
      </c>
      <c r="H113" s="16">
        <v>23</v>
      </c>
      <c r="I113" s="31">
        <f>C113/220*'Valores Vigentes'!$E$12*H113</f>
        <v>339981.81818181818</v>
      </c>
      <c r="J113" s="31">
        <f>C113/220*'Valores Vigentes'!$E$13*K113</f>
        <v>406500</v>
      </c>
      <c r="K113" s="16">
        <v>22</v>
      </c>
      <c r="L113" s="16">
        <v>16</v>
      </c>
      <c r="M113" s="31">
        <f>C113/220*L113*'Valores Vigentes'!$E$14</f>
        <v>159643.63636363638</v>
      </c>
      <c r="N113" s="16">
        <f t="shared" si="2"/>
        <v>62</v>
      </c>
      <c r="O113" s="31">
        <f t="shared" si="3"/>
        <v>559861.36363636365</v>
      </c>
    </row>
    <row r="114" spans="1:15" ht="15.75" customHeight="1" x14ac:dyDescent="0.25">
      <c r="A114" s="17" t="s">
        <v>177</v>
      </c>
      <c r="B114" s="17">
        <v>6</v>
      </c>
      <c r="C114" s="25">
        <f>VLOOKUP(B114,'Tabla Salarios'!$B$3:$D$13,3,0)</f>
        <v>2950000</v>
      </c>
      <c r="D114" s="16">
        <v>10</v>
      </c>
      <c r="E114" s="31">
        <f>C114/220*'Valores Vigentes'!$E$10*D114</f>
        <v>167613.63636363635</v>
      </c>
      <c r="F114" s="16">
        <v>15</v>
      </c>
      <c r="G114" s="31">
        <f>C114/220*'Valores Vigentes'!$E$11*F114</f>
        <v>351988.63636363635</v>
      </c>
      <c r="H114" s="16">
        <v>4</v>
      </c>
      <c r="I114" s="31">
        <f>C114/220*'Valores Vigentes'!$E$12*H114</f>
        <v>107272.72727272728</v>
      </c>
      <c r="J114" s="31">
        <f>C114/220*'Valores Vigentes'!$E$13*K114</f>
        <v>838068.18181818177</v>
      </c>
      <c r="K114" s="16">
        <v>25</v>
      </c>
      <c r="L114" s="16">
        <v>19</v>
      </c>
      <c r="M114" s="31">
        <f>C114/220*L114*'Valores Vigentes'!$E$14</f>
        <v>343943.18181818188</v>
      </c>
      <c r="N114" s="16">
        <f t="shared" si="2"/>
        <v>54</v>
      </c>
      <c r="O114" s="31">
        <f t="shared" si="3"/>
        <v>626875</v>
      </c>
    </row>
    <row r="115" spans="1:15" ht="15.75" customHeight="1" x14ac:dyDescent="0.25">
      <c r="A115" s="17" t="s">
        <v>178</v>
      </c>
      <c r="B115" s="17">
        <v>5</v>
      </c>
      <c r="C115" s="25">
        <f>VLOOKUP(B115,'Tabla Salarios'!$B$3:$D$13,3,0)</f>
        <v>2650000</v>
      </c>
      <c r="D115" s="16">
        <v>21</v>
      </c>
      <c r="E115" s="31">
        <f>C115/220*'Valores Vigentes'!$E$10*D115</f>
        <v>316193.18181818182</v>
      </c>
      <c r="F115" s="16">
        <v>16</v>
      </c>
      <c r="G115" s="31">
        <f>C115/220*'Valores Vigentes'!$E$11*F115</f>
        <v>337272.72727272729</v>
      </c>
      <c r="H115" s="16">
        <v>1</v>
      </c>
      <c r="I115" s="31">
        <f>C115/220*'Valores Vigentes'!$E$12*H115</f>
        <v>24090.909090909092</v>
      </c>
      <c r="J115" s="31">
        <f>C115/220*'Valores Vigentes'!$E$13*K115</f>
        <v>752840.90909090906</v>
      </c>
      <c r="K115" s="16">
        <v>25</v>
      </c>
      <c r="L115" s="16">
        <v>13</v>
      </c>
      <c r="M115" s="31">
        <f>C115/220*L115*'Valores Vigentes'!$E$14</f>
        <v>211397.72727272729</v>
      </c>
      <c r="N115" s="16">
        <f t="shared" si="2"/>
        <v>63</v>
      </c>
      <c r="O115" s="31">
        <f t="shared" si="3"/>
        <v>677556.81818181823</v>
      </c>
    </row>
    <row r="116" spans="1:15" ht="15.75" customHeight="1" x14ac:dyDescent="0.25">
      <c r="A116" s="17" t="s">
        <v>179</v>
      </c>
      <c r="B116" s="17">
        <v>6</v>
      </c>
      <c r="C116" s="25">
        <f>VLOOKUP(B116,'Tabla Salarios'!$B$3:$D$13,3,0)</f>
        <v>2950000</v>
      </c>
      <c r="D116" s="16">
        <v>19</v>
      </c>
      <c r="E116" s="31">
        <f>C116/220*'Valores Vigentes'!$E$10*D116</f>
        <v>318465.90909090906</v>
      </c>
      <c r="F116" s="16">
        <v>14</v>
      </c>
      <c r="G116" s="31">
        <f>C116/220*'Valores Vigentes'!$E$11*F116</f>
        <v>328522.72727272729</v>
      </c>
      <c r="H116" s="16">
        <v>30</v>
      </c>
      <c r="I116" s="31">
        <f>C116/220*'Valores Vigentes'!$E$12*H116</f>
        <v>804545.45454545459</v>
      </c>
      <c r="J116" s="31">
        <f>C116/220*'Valores Vigentes'!$E$13*K116</f>
        <v>435795.45454545453</v>
      </c>
      <c r="K116" s="16">
        <v>13</v>
      </c>
      <c r="L116" s="16">
        <v>7</v>
      </c>
      <c r="M116" s="31">
        <f>C116/220*L116*'Valores Vigentes'!$E$14</f>
        <v>126715.9090909091</v>
      </c>
      <c r="N116" s="16">
        <f t="shared" si="2"/>
        <v>76</v>
      </c>
      <c r="O116" s="31">
        <f t="shared" si="3"/>
        <v>1451534.0909090908</v>
      </c>
    </row>
    <row r="117" spans="1:15" ht="15.75" customHeight="1" x14ac:dyDescent="0.25">
      <c r="A117" s="17" t="s">
        <v>180</v>
      </c>
      <c r="B117" s="17">
        <v>8</v>
      </c>
      <c r="C117" s="25">
        <f>VLOOKUP(B117,'Tabla Salarios'!$B$3:$D$13,3,0)</f>
        <v>3900000</v>
      </c>
      <c r="D117" s="16">
        <v>29</v>
      </c>
      <c r="E117" s="31">
        <f>C117/220*'Valores Vigentes'!$E$10*D117</f>
        <v>642613.63636363647</v>
      </c>
      <c r="F117" s="16">
        <v>2</v>
      </c>
      <c r="G117" s="31">
        <f>C117/220*'Valores Vigentes'!$E$11*F117</f>
        <v>62045.454545454544</v>
      </c>
      <c r="H117" s="16">
        <v>17</v>
      </c>
      <c r="I117" s="31">
        <f>C117/220*'Valores Vigentes'!$E$12*H117</f>
        <v>602727.27272727271</v>
      </c>
      <c r="J117" s="31">
        <f>C117/220*'Valores Vigentes'!$E$13*K117</f>
        <v>842045.45454545459</v>
      </c>
      <c r="K117" s="16">
        <v>19</v>
      </c>
      <c r="L117" s="16">
        <v>10</v>
      </c>
      <c r="M117" s="31">
        <f>C117/220*L117*'Valores Vigentes'!$E$14</f>
        <v>239318.18181818185</v>
      </c>
      <c r="N117" s="16">
        <f t="shared" si="2"/>
        <v>67</v>
      </c>
      <c r="O117" s="31">
        <f t="shared" si="3"/>
        <v>1307386.3636363638</v>
      </c>
    </row>
    <row r="118" spans="1:15" ht="15.75" customHeight="1" x14ac:dyDescent="0.25">
      <c r="A118" s="17" t="s">
        <v>181</v>
      </c>
      <c r="B118" s="17">
        <v>3</v>
      </c>
      <c r="C118" s="25">
        <f>VLOOKUP(B118,'Tabla Salarios'!$B$3:$D$13,3,0)</f>
        <v>1813000</v>
      </c>
      <c r="D118" s="16">
        <v>25</v>
      </c>
      <c r="E118" s="31">
        <f>C118/220*'Valores Vigentes'!$E$10*D118</f>
        <v>257528.40909090906</v>
      </c>
      <c r="F118" s="16">
        <v>4</v>
      </c>
      <c r="G118" s="31">
        <f>C118/220*'Valores Vigentes'!$E$11*F118</f>
        <v>57686.363636363632</v>
      </c>
      <c r="H118" s="16">
        <v>14</v>
      </c>
      <c r="I118" s="31">
        <f>C118/220*'Valores Vigentes'!$E$12*H118</f>
        <v>230745.45454545453</v>
      </c>
      <c r="J118" s="31">
        <f>C118/220*'Valores Vigentes'!$E$13*K118</f>
        <v>226624.99999999997</v>
      </c>
      <c r="K118" s="16">
        <v>11</v>
      </c>
      <c r="L118" s="16">
        <v>2</v>
      </c>
      <c r="M118" s="31">
        <f>C118/220*L118*'Valores Vigentes'!$E$14</f>
        <v>22250.454545454544</v>
      </c>
      <c r="N118" s="16">
        <f t="shared" si="2"/>
        <v>54</v>
      </c>
      <c r="O118" s="31">
        <f t="shared" si="3"/>
        <v>545960.22727272729</v>
      </c>
    </row>
    <row r="119" spans="1:15" ht="15.75" customHeight="1" x14ac:dyDescent="0.25">
      <c r="A119" s="17" t="s">
        <v>182</v>
      </c>
      <c r="B119" s="17">
        <v>2</v>
      </c>
      <c r="C119" s="25">
        <f>VLOOKUP(B119,'Tabla Salarios'!$B$3:$D$13,3,0)</f>
        <v>1626000</v>
      </c>
      <c r="D119" s="16">
        <v>5</v>
      </c>
      <c r="E119" s="31">
        <f>C119/220*'Valores Vigentes'!$E$10*D119</f>
        <v>46193.181818181823</v>
      </c>
      <c r="F119" s="16">
        <v>12</v>
      </c>
      <c r="G119" s="31">
        <f>C119/220*'Valores Vigentes'!$E$11*F119</f>
        <v>155209.09090909091</v>
      </c>
      <c r="H119" s="16">
        <v>15</v>
      </c>
      <c r="I119" s="31">
        <f>C119/220*'Valores Vigentes'!$E$12*H119</f>
        <v>221727.27272727274</v>
      </c>
      <c r="J119" s="31">
        <f>C119/220*'Valores Vigentes'!$E$13*K119</f>
        <v>203250</v>
      </c>
      <c r="K119" s="16">
        <v>11</v>
      </c>
      <c r="L119" s="16">
        <v>5</v>
      </c>
      <c r="M119" s="31">
        <f>C119/220*L119*'Valores Vigentes'!$E$14</f>
        <v>49888.636363636368</v>
      </c>
      <c r="N119" s="16">
        <f t="shared" si="2"/>
        <v>43</v>
      </c>
      <c r="O119" s="31">
        <f t="shared" si="3"/>
        <v>423129.54545454547</v>
      </c>
    </row>
    <row r="120" spans="1:15" ht="15.75" customHeight="1" x14ac:dyDescent="0.25">
      <c r="A120" s="17" t="s">
        <v>183</v>
      </c>
      <c r="B120" s="17">
        <v>1</v>
      </c>
      <c r="C120" s="25">
        <f>VLOOKUP(B120,'Tabla Salarios'!$B$3:$D$13,3,0)</f>
        <v>1423500</v>
      </c>
      <c r="D120" s="16">
        <v>3</v>
      </c>
      <c r="E120" s="31">
        <f>C120/220*'Valores Vigentes'!$E$10*D120</f>
        <v>24264.204545454544</v>
      </c>
      <c r="F120" s="16">
        <v>25</v>
      </c>
      <c r="G120" s="31">
        <f>C120/220*'Valores Vigentes'!$E$11*F120</f>
        <v>283082.38636363635</v>
      </c>
      <c r="H120" s="16">
        <v>1</v>
      </c>
      <c r="I120" s="31">
        <f>C120/220*'Valores Vigentes'!$E$12*H120</f>
        <v>12940.90909090909</v>
      </c>
      <c r="J120" s="31">
        <f>C120/220*'Valores Vigentes'!$E$13*K120</f>
        <v>32352.272727272724</v>
      </c>
      <c r="K120" s="16">
        <v>2</v>
      </c>
      <c r="L120" s="16">
        <v>5</v>
      </c>
      <c r="M120" s="31">
        <f>C120/220*L120*'Valores Vigentes'!$E$14</f>
        <v>43675.568181818184</v>
      </c>
      <c r="N120" s="16">
        <f t="shared" si="2"/>
        <v>31</v>
      </c>
      <c r="O120" s="31">
        <f t="shared" si="3"/>
        <v>320287.5</v>
      </c>
    </row>
    <row r="121" spans="1:15" ht="15.75" customHeight="1" x14ac:dyDescent="0.25">
      <c r="A121" s="17" t="s">
        <v>184</v>
      </c>
      <c r="B121" s="17">
        <v>5</v>
      </c>
      <c r="C121" s="25">
        <f>VLOOKUP(B121,'Tabla Salarios'!$B$3:$D$13,3,0)</f>
        <v>2650000</v>
      </c>
      <c r="D121" s="16">
        <v>12</v>
      </c>
      <c r="E121" s="31">
        <f>C121/220*'Valores Vigentes'!$E$10*D121</f>
        <v>180681.81818181818</v>
      </c>
      <c r="F121" s="16">
        <v>26</v>
      </c>
      <c r="G121" s="31">
        <f>C121/220*'Valores Vigentes'!$E$11*F121</f>
        <v>548068.18181818188</v>
      </c>
      <c r="H121" s="16">
        <v>24</v>
      </c>
      <c r="I121" s="31">
        <f>C121/220*'Valores Vigentes'!$E$12*H121</f>
        <v>578181.81818181823</v>
      </c>
      <c r="J121" s="31">
        <f>C121/220*'Valores Vigentes'!$E$13*K121</f>
        <v>903409.09090909094</v>
      </c>
      <c r="K121" s="16">
        <v>30</v>
      </c>
      <c r="L121" s="16">
        <v>30</v>
      </c>
      <c r="M121" s="31">
        <f>C121/220*L121*'Valores Vigentes'!$E$14</f>
        <v>487840.90909090912</v>
      </c>
      <c r="N121" s="16">
        <f t="shared" si="2"/>
        <v>92</v>
      </c>
      <c r="O121" s="31">
        <f t="shared" si="3"/>
        <v>1306931.8181818184</v>
      </c>
    </row>
    <row r="122" spans="1:15" ht="15.75" customHeight="1" x14ac:dyDescent="0.25">
      <c r="A122" s="17" t="s">
        <v>185</v>
      </c>
      <c r="B122" s="17">
        <v>7</v>
      </c>
      <c r="C122" s="25">
        <f>VLOOKUP(B122,'Tabla Salarios'!$B$3:$D$13,3,0)</f>
        <v>3250000</v>
      </c>
      <c r="D122" s="16">
        <v>24</v>
      </c>
      <c r="E122" s="31">
        <f>C122/220*'Valores Vigentes'!$E$10*D122</f>
        <v>443181.81818181812</v>
      </c>
      <c r="F122" s="16">
        <v>0</v>
      </c>
      <c r="G122" s="31">
        <f>C122/220*'Valores Vigentes'!$E$11*F122</f>
        <v>0</v>
      </c>
      <c r="H122" s="16">
        <v>7</v>
      </c>
      <c r="I122" s="31">
        <f>C122/220*'Valores Vigentes'!$E$12*H122</f>
        <v>206818.18181818182</v>
      </c>
      <c r="J122" s="31">
        <f>C122/220*'Valores Vigentes'!$E$13*K122</f>
        <v>886363.63636363624</v>
      </c>
      <c r="K122" s="16">
        <v>24</v>
      </c>
      <c r="L122" s="16">
        <v>4</v>
      </c>
      <c r="M122" s="31">
        <f>C122/220*L122*'Valores Vigentes'!$E$14</f>
        <v>79772.727272727279</v>
      </c>
      <c r="N122" s="16">
        <f t="shared" si="2"/>
        <v>55</v>
      </c>
      <c r="O122" s="31">
        <f t="shared" si="3"/>
        <v>650000</v>
      </c>
    </row>
    <row r="123" spans="1:15" ht="15.75" customHeight="1" x14ac:dyDescent="0.25">
      <c r="A123" s="17" t="s">
        <v>186</v>
      </c>
      <c r="B123" s="17">
        <v>4</v>
      </c>
      <c r="C123" s="25">
        <f>VLOOKUP(B123,'Tabla Salarios'!$B$3:$D$13,3,0)</f>
        <v>2450000</v>
      </c>
      <c r="D123" s="16">
        <v>29</v>
      </c>
      <c r="E123" s="31">
        <f>C123/220*'Valores Vigentes'!$E$10*D123</f>
        <v>403693.18181818177</v>
      </c>
      <c r="F123" s="16">
        <v>29</v>
      </c>
      <c r="G123" s="31">
        <f>C123/220*'Valores Vigentes'!$E$11*F123</f>
        <v>565170.45454545459</v>
      </c>
      <c r="H123" s="16">
        <v>5</v>
      </c>
      <c r="I123" s="31">
        <f>C123/220*'Valores Vigentes'!$E$12*H123</f>
        <v>111363.63636363635</v>
      </c>
      <c r="J123" s="31">
        <f>C123/220*'Valores Vigentes'!$E$13*K123</f>
        <v>668181.81818181812</v>
      </c>
      <c r="K123" s="16">
        <v>24</v>
      </c>
      <c r="L123" s="16">
        <v>7</v>
      </c>
      <c r="M123" s="31">
        <f>C123/220*L123*'Valores Vigentes'!$E$14</f>
        <v>105238.63636363637</v>
      </c>
      <c r="N123" s="16">
        <f t="shared" si="2"/>
        <v>87</v>
      </c>
      <c r="O123" s="31">
        <f t="shared" si="3"/>
        <v>1080227.2727272727</v>
      </c>
    </row>
    <row r="124" spans="1:15" ht="15.75" customHeight="1" x14ac:dyDescent="0.25">
      <c r="A124" s="17" t="s">
        <v>187</v>
      </c>
      <c r="B124" s="17">
        <v>3</v>
      </c>
      <c r="C124" s="25">
        <f>VLOOKUP(B124,'Tabla Salarios'!$B$3:$D$13,3,0)</f>
        <v>1813000</v>
      </c>
      <c r="D124" s="16">
        <v>30</v>
      </c>
      <c r="E124" s="31">
        <f>C124/220*'Valores Vigentes'!$E$10*D124</f>
        <v>309034.09090909088</v>
      </c>
      <c r="F124" s="16">
        <v>18</v>
      </c>
      <c r="G124" s="31">
        <f>C124/220*'Valores Vigentes'!$E$11*F124</f>
        <v>259588.63636363635</v>
      </c>
      <c r="H124" s="16">
        <v>2</v>
      </c>
      <c r="I124" s="31">
        <f>C124/220*'Valores Vigentes'!$E$12*H124</f>
        <v>32963.63636363636</v>
      </c>
      <c r="J124" s="31">
        <f>C124/220*'Valores Vigentes'!$E$13*K124</f>
        <v>412045.45454545447</v>
      </c>
      <c r="K124" s="16">
        <v>20</v>
      </c>
      <c r="L124" s="16">
        <v>23</v>
      </c>
      <c r="M124" s="31">
        <f>C124/220*L124*'Valores Vigentes'!$E$14</f>
        <v>255880.22727272724</v>
      </c>
      <c r="N124" s="16">
        <f t="shared" si="2"/>
        <v>70</v>
      </c>
      <c r="O124" s="31">
        <f t="shared" si="3"/>
        <v>601586.36363636365</v>
      </c>
    </row>
    <row r="125" spans="1:15" ht="15.75" customHeight="1" x14ac:dyDescent="0.25">
      <c r="A125" s="17" t="s">
        <v>188</v>
      </c>
      <c r="B125" s="17">
        <v>7</v>
      </c>
      <c r="C125" s="25">
        <f>VLOOKUP(B125,'Tabla Salarios'!$B$3:$D$13,3,0)</f>
        <v>3250000</v>
      </c>
      <c r="D125" s="16">
        <v>13</v>
      </c>
      <c r="E125" s="31">
        <f>C125/220*'Valores Vigentes'!$E$10*D125</f>
        <v>240056.81818181815</v>
      </c>
      <c r="F125" s="16">
        <v>18</v>
      </c>
      <c r="G125" s="31">
        <f>C125/220*'Valores Vigentes'!$E$11*F125</f>
        <v>465340.90909090912</v>
      </c>
      <c r="H125" s="16">
        <v>4</v>
      </c>
      <c r="I125" s="31">
        <f>C125/220*'Valores Vigentes'!$E$12*H125</f>
        <v>118181.81818181818</v>
      </c>
      <c r="J125" s="31">
        <f>C125/220*'Valores Vigentes'!$E$13*K125</f>
        <v>221590.90909090906</v>
      </c>
      <c r="K125" s="16">
        <v>6</v>
      </c>
      <c r="L125" s="16">
        <v>5</v>
      </c>
      <c r="M125" s="31">
        <f>C125/220*L125*'Valores Vigentes'!$E$14</f>
        <v>99715.909090909088</v>
      </c>
      <c r="N125" s="16">
        <f t="shared" si="2"/>
        <v>41</v>
      </c>
      <c r="O125" s="31">
        <f t="shared" si="3"/>
        <v>823579.54545454541</v>
      </c>
    </row>
    <row r="126" spans="1:15" ht="15.75" customHeight="1" x14ac:dyDescent="0.25">
      <c r="A126" s="17" t="s">
        <v>189</v>
      </c>
      <c r="B126" s="17">
        <v>3</v>
      </c>
      <c r="C126" s="25">
        <f>VLOOKUP(B126,'Tabla Salarios'!$B$3:$D$13,3,0)</f>
        <v>1813000</v>
      </c>
      <c r="D126" s="16">
        <v>27</v>
      </c>
      <c r="E126" s="31">
        <f>C126/220*'Valores Vigentes'!$E$10*D126</f>
        <v>278130.68181818177</v>
      </c>
      <c r="F126" s="16">
        <v>9</v>
      </c>
      <c r="G126" s="31">
        <f>C126/220*'Valores Vigentes'!$E$11*F126</f>
        <v>129794.31818181818</v>
      </c>
      <c r="H126" s="16">
        <v>19</v>
      </c>
      <c r="I126" s="31">
        <f>C126/220*'Valores Vigentes'!$E$12*H126</f>
        <v>313154.54545454541</v>
      </c>
      <c r="J126" s="31">
        <f>C126/220*'Valores Vigentes'!$E$13*K126</f>
        <v>82409.090909090897</v>
      </c>
      <c r="K126" s="16">
        <v>4</v>
      </c>
      <c r="L126" s="16">
        <v>10</v>
      </c>
      <c r="M126" s="31">
        <f>C126/220*L126*'Valores Vigentes'!$E$14</f>
        <v>111252.27272727272</v>
      </c>
      <c r="N126" s="16">
        <f t="shared" si="2"/>
        <v>59</v>
      </c>
      <c r="O126" s="31">
        <f t="shared" si="3"/>
        <v>721079.54545454541</v>
      </c>
    </row>
    <row r="127" spans="1:15" ht="15.75" customHeight="1" x14ac:dyDescent="0.25">
      <c r="A127" s="17" t="s">
        <v>190</v>
      </c>
      <c r="B127" s="17">
        <v>3</v>
      </c>
      <c r="C127" s="25">
        <f>VLOOKUP(B127,'Tabla Salarios'!$B$3:$D$13,3,0)</f>
        <v>1813000</v>
      </c>
      <c r="D127" s="16">
        <v>16</v>
      </c>
      <c r="E127" s="31">
        <f>C127/220*'Valores Vigentes'!$E$10*D127</f>
        <v>164818.18181818179</v>
      </c>
      <c r="F127" s="16">
        <v>21</v>
      </c>
      <c r="G127" s="31">
        <f>C127/220*'Valores Vigentes'!$E$11*F127</f>
        <v>302853.40909090906</v>
      </c>
      <c r="H127" s="16">
        <v>14</v>
      </c>
      <c r="I127" s="31">
        <f>C127/220*'Valores Vigentes'!$E$12*H127</f>
        <v>230745.45454545453</v>
      </c>
      <c r="J127" s="31">
        <f>C127/220*'Valores Vigentes'!$E$13*K127</f>
        <v>123613.63636363635</v>
      </c>
      <c r="K127" s="16">
        <v>6</v>
      </c>
      <c r="L127" s="16">
        <v>17</v>
      </c>
      <c r="M127" s="31">
        <f>C127/220*L127*'Valores Vigentes'!$E$14</f>
        <v>189128.86363636362</v>
      </c>
      <c r="N127" s="16">
        <f t="shared" si="2"/>
        <v>57</v>
      </c>
      <c r="O127" s="31">
        <f t="shared" si="3"/>
        <v>698417.04545454541</v>
      </c>
    </row>
    <row r="128" spans="1:15" ht="15.75" customHeight="1" x14ac:dyDescent="0.25">
      <c r="A128" s="17" t="s">
        <v>191</v>
      </c>
      <c r="B128" s="17">
        <v>6</v>
      </c>
      <c r="C128" s="25">
        <f>VLOOKUP(B128,'Tabla Salarios'!$B$3:$D$13,3,0)</f>
        <v>2950000</v>
      </c>
      <c r="D128" s="16">
        <v>3</v>
      </c>
      <c r="E128" s="31">
        <f>C128/220*'Valores Vigentes'!$E$10*D128</f>
        <v>50284.090909090912</v>
      </c>
      <c r="F128" s="16">
        <v>16</v>
      </c>
      <c r="G128" s="31">
        <f>C128/220*'Valores Vigentes'!$E$11*F128</f>
        <v>375454.54545454547</v>
      </c>
      <c r="H128" s="16">
        <v>27</v>
      </c>
      <c r="I128" s="31">
        <f>C128/220*'Valores Vigentes'!$E$12*H128</f>
        <v>724090.90909090918</v>
      </c>
      <c r="J128" s="31">
        <f>C128/220*'Valores Vigentes'!$E$13*K128</f>
        <v>905113.63636363635</v>
      </c>
      <c r="K128" s="16">
        <v>27</v>
      </c>
      <c r="L128" s="16">
        <v>2</v>
      </c>
      <c r="M128" s="31">
        <f>C128/220*L128*'Valores Vigentes'!$E$14</f>
        <v>36204.545454545456</v>
      </c>
      <c r="N128" s="16">
        <f t="shared" si="2"/>
        <v>73</v>
      </c>
      <c r="O128" s="31">
        <f t="shared" si="3"/>
        <v>1149829.5454545454</v>
      </c>
    </row>
    <row r="129" spans="1:15" ht="15.75" customHeight="1" x14ac:dyDescent="0.25">
      <c r="A129" s="17" t="s">
        <v>192</v>
      </c>
      <c r="B129" s="17">
        <v>5</v>
      </c>
      <c r="C129" s="25">
        <f>VLOOKUP(B129,'Tabla Salarios'!$B$3:$D$13,3,0)</f>
        <v>2650000</v>
      </c>
      <c r="D129" s="16">
        <v>0</v>
      </c>
      <c r="E129" s="31">
        <f>C129/220*'Valores Vigentes'!$E$10*D129</f>
        <v>0</v>
      </c>
      <c r="F129" s="16">
        <v>26</v>
      </c>
      <c r="G129" s="31">
        <f>C129/220*'Valores Vigentes'!$E$11*F129</f>
        <v>548068.18181818188</v>
      </c>
      <c r="H129" s="16">
        <v>17</v>
      </c>
      <c r="I129" s="31">
        <f>C129/220*'Valores Vigentes'!$E$12*H129</f>
        <v>409545.45454545459</v>
      </c>
      <c r="J129" s="31">
        <f>C129/220*'Valores Vigentes'!$E$13*K129</f>
        <v>301136.36363636365</v>
      </c>
      <c r="K129" s="16">
        <v>10</v>
      </c>
      <c r="L129" s="16">
        <v>9</v>
      </c>
      <c r="M129" s="31">
        <f>C129/220*L129*'Valores Vigentes'!$E$14</f>
        <v>146352.27272727274</v>
      </c>
      <c r="N129" s="16">
        <f t="shared" si="2"/>
        <v>53</v>
      </c>
      <c r="O129" s="31">
        <f t="shared" si="3"/>
        <v>957613.63636363647</v>
      </c>
    </row>
    <row r="130" spans="1:15" ht="15.75" customHeight="1" x14ac:dyDescent="0.25">
      <c r="A130" s="17" t="s">
        <v>193</v>
      </c>
      <c r="B130" s="17">
        <v>1</v>
      </c>
      <c r="C130" s="25">
        <f>VLOOKUP(B130,'Tabla Salarios'!$B$3:$D$13,3,0)</f>
        <v>1423500</v>
      </c>
      <c r="D130" s="16">
        <v>20</v>
      </c>
      <c r="E130" s="31">
        <f>C130/220*'Valores Vigentes'!$E$10*D130</f>
        <v>161761.36363636362</v>
      </c>
      <c r="F130" s="16">
        <v>16</v>
      </c>
      <c r="G130" s="31">
        <f>C130/220*'Valores Vigentes'!$E$11*F130</f>
        <v>181172.72727272726</v>
      </c>
      <c r="H130" s="16">
        <v>4</v>
      </c>
      <c r="I130" s="31">
        <f>C130/220*'Valores Vigentes'!$E$12*H130</f>
        <v>51763.63636363636</v>
      </c>
      <c r="J130" s="31">
        <f>C130/220*'Valores Vigentes'!$E$13*K130</f>
        <v>80880.681818181809</v>
      </c>
      <c r="K130" s="16">
        <v>5</v>
      </c>
      <c r="L130" s="16">
        <v>8</v>
      </c>
      <c r="M130" s="31">
        <f>C130/220*L130*'Valores Vigentes'!$E$14</f>
        <v>69880.909090909088</v>
      </c>
      <c r="N130" s="16">
        <f t="shared" si="2"/>
        <v>45</v>
      </c>
      <c r="O130" s="31">
        <f t="shared" si="3"/>
        <v>394697.72727272724</v>
      </c>
    </row>
    <row r="131" spans="1:15" ht="15.75" customHeight="1" x14ac:dyDescent="0.25">
      <c r="A131" s="17" t="s">
        <v>194</v>
      </c>
      <c r="B131" s="17">
        <v>7</v>
      </c>
      <c r="C131" s="25">
        <f>VLOOKUP(B131,'Tabla Salarios'!$B$3:$D$13,3,0)</f>
        <v>3250000</v>
      </c>
      <c r="D131" s="16">
        <v>13</v>
      </c>
      <c r="E131" s="31">
        <f>C131/220*'Valores Vigentes'!$E$10*D131</f>
        <v>240056.81818181815</v>
      </c>
      <c r="F131" s="16">
        <v>7</v>
      </c>
      <c r="G131" s="31">
        <f>C131/220*'Valores Vigentes'!$E$11*F131</f>
        <v>180965.90909090909</v>
      </c>
      <c r="H131" s="16">
        <v>16</v>
      </c>
      <c r="I131" s="31">
        <f>C131/220*'Valores Vigentes'!$E$12*H131</f>
        <v>472727.27272727271</v>
      </c>
      <c r="J131" s="31">
        <f>C131/220*'Valores Vigentes'!$E$13*K131</f>
        <v>960227.27272727259</v>
      </c>
      <c r="K131" s="16">
        <v>26</v>
      </c>
      <c r="L131" s="16">
        <v>27</v>
      </c>
      <c r="M131" s="31">
        <f>C131/220*L131*'Valores Vigentes'!$E$14</f>
        <v>538465.90909090906</v>
      </c>
      <c r="N131" s="16">
        <f t="shared" si="2"/>
        <v>62</v>
      </c>
      <c r="O131" s="31">
        <f t="shared" si="3"/>
        <v>893750</v>
      </c>
    </row>
    <row r="132" spans="1:15" ht="15.75" customHeight="1" x14ac:dyDescent="0.25">
      <c r="A132" s="17" t="s">
        <v>195</v>
      </c>
      <c r="B132" s="17">
        <v>4</v>
      </c>
      <c r="C132" s="25">
        <f>VLOOKUP(B132,'Tabla Salarios'!$B$3:$D$13,3,0)</f>
        <v>2450000</v>
      </c>
      <c r="D132" s="16">
        <v>12</v>
      </c>
      <c r="E132" s="31">
        <f>C132/220*'Valores Vigentes'!$E$10*D132</f>
        <v>167045.45454545453</v>
      </c>
      <c r="F132" s="16">
        <v>28</v>
      </c>
      <c r="G132" s="31">
        <f>C132/220*'Valores Vigentes'!$E$11*F132</f>
        <v>545681.81818181823</v>
      </c>
      <c r="H132" s="16">
        <v>24</v>
      </c>
      <c r="I132" s="31">
        <f>C132/220*'Valores Vigentes'!$E$12*H132</f>
        <v>534545.45454545459</v>
      </c>
      <c r="J132" s="31">
        <f>C132/220*'Valores Vigentes'!$E$13*K132</f>
        <v>389772.72727272724</v>
      </c>
      <c r="K132" s="16">
        <v>14</v>
      </c>
      <c r="L132" s="16">
        <v>6</v>
      </c>
      <c r="M132" s="31">
        <f>C132/220*L132*'Valores Vigentes'!$E$14</f>
        <v>90204.54545454547</v>
      </c>
      <c r="N132" s="16">
        <f t="shared" ref="N132:N175" si="4">D132+F132+H132+K132</f>
        <v>78</v>
      </c>
      <c r="O132" s="31">
        <f t="shared" ref="O132:O175" si="5">E132+G132+I132</f>
        <v>1247272.7272727273</v>
      </c>
    </row>
    <row r="133" spans="1:15" ht="15.75" customHeight="1" x14ac:dyDescent="0.25">
      <c r="A133" s="17" t="s">
        <v>196</v>
      </c>
      <c r="B133" s="17">
        <v>3</v>
      </c>
      <c r="C133" s="25">
        <f>VLOOKUP(B133,'Tabla Salarios'!$B$3:$D$13,3,0)</f>
        <v>1813000</v>
      </c>
      <c r="D133" s="16">
        <v>11</v>
      </c>
      <c r="E133" s="31">
        <f>C133/220*'Valores Vigentes'!$E$10*D133</f>
        <v>113312.49999999999</v>
      </c>
      <c r="F133" s="16">
        <v>2</v>
      </c>
      <c r="G133" s="31">
        <f>C133/220*'Valores Vigentes'!$E$11*F133</f>
        <v>28843.181818181816</v>
      </c>
      <c r="H133" s="16">
        <v>8</v>
      </c>
      <c r="I133" s="31">
        <f>C133/220*'Valores Vigentes'!$E$12*H133</f>
        <v>131854.54545454544</v>
      </c>
      <c r="J133" s="31">
        <f>C133/220*'Valores Vigentes'!$E$13*K133</f>
        <v>226624.99999999997</v>
      </c>
      <c r="K133" s="16">
        <v>11</v>
      </c>
      <c r="L133" s="16">
        <v>15</v>
      </c>
      <c r="M133" s="31">
        <f>C133/220*L133*'Valores Vigentes'!$E$14</f>
        <v>166878.40909090909</v>
      </c>
      <c r="N133" s="16">
        <f t="shared" si="4"/>
        <v>32</v>
      </c>
      <c r="O133" s="31">
        <f t="shared" si="5"/>
        <v>274010.22727272724</v>
      </c>
    </row>
    <row r="134" spans="1:15" ht="15.75" customHeight="1" x14ac:dyDescent="0.25">
      <c r="A134" s="17" t="s">
        <v>197</v>
      </c>
      <c r="B134" s="17">
        <v>2</v>
      </c>
      <c r="C134" s="25">
        <f>VLOOKUP(B134,'Tabla Salarios'!$B$3:$D$13,3,0)</f>
        <v>1626000</v>
      </c>
      <c r="D134" s="16">
        <v>29</v>
      </c>
      <c r="E134" s="31">
        <f>C134/220*'Valores Vigentes'!$E$10*D134</f>
        <v>267920.45454545453</v>
      </c>
      <c r="F134" s="16">
        <v>3</v>
      </c>
      <c r="G134" s="31">
        <f>C134/220*'Valores Vigentes'!$E$11*F134</f>
        <v>38802.272727272728</v>
      </c>
      <c r="H134" s="16">
        <v>27</v>
      </c>
      <c r="I134" s="31">
        <f>C134/220*'Valores Vigentes'!$E$12*H134</f>
        <v>399109.09090909094</v>
      </c>
      <c r="J134" s="31">
        <f>C134/220*'Valores Vigentes'!$E$13*K134</f>
        <v>369545.45454545459</v>
      </c>
      <c r="K134" s="16">
        <v>20</v>
      </c>
      <c r="L134" s="16">
        <v>30</v>
      </c>
      <c r="M134" s="31">
        <f>C134/220*L134*'Valores Vigentes'!$E$14</f>
        <v>299331.81818181823</v>
      </c>
      <c r="N134" s="16">
        <f t="shared" si="4"/>
        <v>79</v>
      </c>
      <c r="O134" s="31">
        <f t="shared" si="5"/>
        <v>705831.81818181812</v>
      </c>
    </row>
    <row r="135" spans="1:15" ht="15.75" customHeight="1" x14ac:dyDescent="0.25">
      <c r="A135" s="17" t="s">
        <v>198</v>
      </c>
      <c r="B135" s="17">
        <v>2</v>
      </c>
      <c r="C135" s="25">
        <f>VLOOKUP(B135,'Tabla Salarios'!$B$3:$D$13,3,0)</f>
        <v>1626000</v>
      </c>
      <c r="D135" s="16">
        <v>25</v>
      </c>
      <c r="E135" s="31">
        <f>C135/220*'Valores Vigentes'!$E$10*D135</f>
        <v>230965.90909090909</v>
      </c>
      <c r="F135" s="16">
        <v>30</v>
      </c>
      <c r="G135" s="31">
        <f>C135/220*'Valores Vigentes'!$E$11*F135</f>
        <v>388022.72727272729</v>
      </c>
      <c r="H135" s="16">
        <v>7</v>
      </c>
      <c r="I135" s="31">
        <f>C135/220*'Valores Vigentes'!$E$12*H135</f>
        <v>103472.72727272728</v>
      </c>
      <c r="J135" s="31">
        <f>C135/220*'Valores Vigentes'!$E$13*K135</f>
        <v>73909.090909090912</v>
      </c>
      <c r="K135" s="16">
        <v>4</v>
      </c>
      <c r="L135" s="16">
        <v>0</v>
      </c>
      <c r="M135" s="31">
        <f>C135/220*L135*'Valores Vigentes'!$E$14</f>
        <v>0</v>
      </c>
      <c r="N135" s="16">
        <f t="shared" si="4"/>
        <v>66</v>
      </c>
      <c r="O135" s="31">
        <f t="shared" si="5"/>
        <v>722461.36363636365</v>
      </c>
    </row>
    <row r="136" spans="1:15" ht="15.75" customHeight="1" x14ac:dyDescent="0.25">
      <c r="A136" s="17" t="s">
        <v>199</v>
      </c>
      <c r="B136" s="17">
        <v>8</v>
      </c>
      <c r="C136" s="25">
        <f>VLOOKUP(B136,'Tabla Salarios'!$B$3:$D$13,3,0)</f>
        <v>3900000</v>
      </c>
      <c r="D136" s="16">
        <v>1</v>
      </c>
      <c r="E136" s="31">
        <f>C136/220*'Valores Vigentes'!$E$10*D136</f>
        <v>22159.090909090912</v>
      </c>
      <c r="F136" s="16">
        <v>5</v>
      </c>
      <c r="G136" s="31">
        <f>C136/220*'Valores Vigentes'!$E$11*F136</f>
        <v>155113.63636363635</v>
      </c>
      <c r="H136" s="16">
        <v>7</v>
      </c>
      <c r="I136" s="31">
        <f>C136/220*'Valores Vigentes'!$E$12*H136</f>
        <v>248181.81818181818</v>
      </c>
      <c r="J136" s="31">
        <f>C136/220*'Valores Vigentes'!$E$13*K136</f>
        <v>354545.45454545459</v>
      </c>
      <c r="K136" s="16">
        <v>8</v>
      </c>
      <c r="L136" s="16">
        <v>21</v>
      </c>
      <c r="M136" s="31">
        <f>C136/220*L136*'Valores Vigentes'!$E$14</f>
        <v>502568.18181818188</v>
      </c>
      <c r="N136" s="16">
        <f t="shared" si="4"/>
        <v>21</v>
      </c>
      <c r="O136" s="31">
        <f t="shared" si="5"/>
        <v>425454.54545454541</v>
      </c>
    </row>
    <row r="137" spans="1:15" ht="15.75" customHeight="1" x14ac:dyDescent="0.25">
      <c r="A137" s="17" t="s">
        <v>200</v>
      </c>
      <c r="B137" s="17">
        <v>2</v>
      </c>
      <c r="C137" s="25">
        <f>VLOOKUP(B137,'Tabla Salarios'!$B$3:$D$13,3,0)</f>
        <v>1626000</v>
      </c>
      <c r="D137" s="16">
        <v>9</v>
      </c>
      <c r="E137" s="31">
        <f>C137/220*'Valores Vigentes'!$E$10*D137</f>
        <v>83147.727272727279</v>
      </c>
      <c r="F137" s="16">
        <v>28</v>
      </c>
      <c r="G137" s="31">
        <f>C137/220*'Valores Vigentes'!$E$11*F137</f>
        <v>362154.54545454547</v>
      </c>
      <c r="H137" s="16">
        <v>8</v>
      </c>
      <c r="I137" s="31">
        <f>C137/220*'Valores Vigentes'!$E$12*H137</f>
        <v>118254.54545454546</v>
      </c>
      <c r="J137" s="31">
        <f>C137/220*'Valores Vigentes'!$E$13*K137</f>
        <v>258681.81818181818</v>
      </c>
      <c r="K137" s="16">
        <v>14</v>
      </c>
      <c r="L137" s="16">
        <v>4</v>
      </c>
      <c r="M137" s="31">
        <f>C137/220*L137*'Valores Vigentes'!$E$14</f>
        <v>39910.909090909096</v>
      </c>
      <c r="N137" s="16">
        <f t="shared" si="4"/>
        <v>59</v>
      </c>
      <c r="O137" s="31">
        <f t="shared" si="5"/>
        <v>563556.81818181823</v>
      </c>
    </row>
    <row r="138" spans="1:15" ht="15.75" customHeight="1" x14ac:dyDescent="0.25">
      <c r="A138" s="17" t="s">
        <v>201</v>
      </c>
      <c r="B138" s="17">
        <v>5</v>
      </c>
      <c r="C138" s="25">
        <f>VLOOKUP(B138,'Tabla Salarios'!$B$3:$D$13,3,0)</f>
        <v>2650000</v>
      </c>
      <c r="D138" s="16">
        <v>26</v>
      </c>
      <c r="E138" s="31">
        <f>C138/220*'Valores Vigentes'!$E$10*D138</f>
        <v>391477.27272727271</v>
      </c>
      <c r="F138" s="16">
        <v>27</v>
      </c>
      <c r="G138" s="31">
        <f>C138/220*'Valores Vigentes'!$E$11*F138</f>
        <v>569147.72727272729</v>
      </c>
      <c r="H138" s="16">
        <v>25</v>
      </c>
      <c r="I138" s="31">
        <f>C138/220*'Valores Vigentes'!$E$12*H138</f>
        <v>602272.72727272729</v>
      </c>
      <c r="J138" s="31">
        <f>C138/220*'Valores Vigentes'!$E$13*K138</f>
        <v>271022.72727272729</v>
      </c>
      <c r="K138" s="16">
        <v>9</v>
      </c>
      <c r="L138" s="16">
        <v>5</v>
      </c>
      <c r="M138" s="31">
        <f>C138/220*L138*'Valores Vigentes'!$E$14</f>
        <v>81306.818181818191</v>
      </c>
      <c r="N138" s="16">
        <f t="shared" si="4"/>
        <v>87</v>
      </c>
      <c r="O138" s="31">
        <f t="shared" si="5"/>
        <v>1562897.7272727273</v>
      </c>
    </row>
    <row r="139" spans="1:15" ht="15.75" customHeight="1" x14ac:dyDescent="0.25">
      <c r="A139" s="17" t="s">
        <v>202</v>
      </c>
      <c r="B139" s="17">
        <v>8</v>
      </c>
      <c r="C139" s="25">
        <f>VLOOKUP(B139,'Tabla Salarios'!$B$3:$D$13,3,0)</f>
        <v>3900000</v>
      </c>
      <c r="D139" s="16">
        <v>12</v>
      </c>
      <c r="E139" s="31">
        <f>C139/220*'Valores Vigentes'!$E$10*D139</f>
        <v>265909.09090909094</v>
      </c>
      <c r="F139" s="16">
        <v>5</v>
      </c>
      <c r="G139" s="31">
        <f>C139/220*'Valores Vigentes'!$E$11*F139</f>
        <v>155113.63636363635</v>
      </c>
      <c r="H139" s="16">
        <v>7</v>
      </c>
      <c r="I139" s="31">
        <f>C139/220*'Valores Vigentes'!$E$12*H139</f>
        <v>248181.81818181818</v>
      </c>
      <c r="J139" s="31">
        <f>C139/220*'Valores Vigentes'!$E$13*K139</f>
        <v>1107954.5454545456</v>
      </c>
      <c r="K139" s="16">
        <v>25</v>
      </c>
      <c r="L139" s="16">
        <v>12</v>
      </c>
      <c r="M139" s="31">
        <f>C139/220*L139*'Valores Vigentes'!$E$14</f>
        <v>287181.81818181823</v>
      </c>
      <c r="N139" s="16">
        <f t="shared" si="4"/>
        <v>49</v>
      </c>
      <c r="O139" s="31">
        <f t="shared" si="5"/>
        <v>669204.54545454541</v>
      </c>
    </row>
    <row r="140" spans="1:15" ht="15.75" customHeight="1" x14ac:dyDescent="0.25">
      <c r="A140" s="17" t="s">
        <v>203</v>
      </c>
      <c r="B140" s="17">
        <v>4</v>
      </c>
      <c r="C140" s="25">
        <f>VLOOKUP(B140,'Tabla Salarios'!$B$3:$D$13,3,0)</f>
        <v>2450000</v>
      </c>
      <c r="D140" s="16">
        <v>21</v>
      </c>
      <c r="E140" s="31">
        <f>C140/220*'Valores Vigentes'!$E$10*D140</f>
        <v>292329.54545454541</v>
      </c>
      <c r="F140" s="16">
        <v>20</v>
      </c>
      <c r="G140" s="31">
        <f>C140/220*'Valores Vigentes'!$E$11*F140</f>
        <v>389772.72727272729</v>
      </c>
      <c r="H140" s="16">
        <v>24</v>
      </c>
      <c r="I140" s="31">
        <f>C140/220*'Valores Vigentes'!$E$12*H140</f>
        <v>534545.45454545459</v>
      </c>
      <c r="J140" s="31">
        <f>C140/220*'Valores Vigentes'!$E$13*K140</f>
        <v>584659.09090909082</v>
      </c>
      <c r="K140" s="16">
        <v>21</v>
      </c>
      <c r="L140" s="16">
        <v>11</v>
      </c>
      <c r="M140" s="31">
        <f>C140/220*L140*'Valores Vigentes'!$E$14</f>
        <v>165375</v>
      </c>
      <c r="N140" s="16">
        <f t="shared" si="4"/>
        <v>86</v>
      </c>
      <c r="O140" s="31">
        <f t="shared" si="5"/>
        <v>1216647.7272727273</v>
      </c>
    </row>
    <row r="141" spans="1:15" ht="15.75" customHeight="1" x14ac:dyDescent="0.25">
      <c r="A141" s="17" t="s">
        <v>204</v>
      </c>
      <c r="B141" s="17">
        <v>4</v>
      </c>
      <c r="C141" s="25">
        <f>VLOOKUP(B141,'Tabla Salarios'!$B$3:$D$13,3,0)</f>
        <v>2450000</v>
      </c>
      <c r="D141" s="16">
        <v>28</v>
      </c>
      <c r="E141" s="31">
        <f>C141/220*'Valores Vigentes'!$E$10*D141</f>
        <v>389772.72727272724</v>
      </c>
      <c r="F141" s="16">
        <v>14</v>
      </c>
      <c r="G141" s="31">
        <f>C141/220*'Valores Vigentes'!$E$11*F141</f>
        <v>272840.90909090912</v>
      </c>
      <c r="H141" s="16">
        <v>5</v>
      </c>
      <c r="I141" s="31">
        <f>C141/220*'Valores Vigentes'!$E$12*H141</f>
        <v>111363.63636363635</v>
      </c>
      <c r="J141" s="31">
        <f>C141/220*'Valores Vigentes'!$E$13*K141</f>
        <v>751704.54545454541</v>
      </c>
      <c r="K141" s="16">
        <v>27</v>
      </c>
      <c r="L141" s="16">
        <v>2</v>
      </c>
      <c r="M141" s="31">
        <f>C141/220*L141*'Valores Vigentes'!$E$14</f>
        <v>30068.18181818182</v>
      </c>
      <c r="N141" s="16">
        <f t="shared" si="4"/>
        <v>74</v>
      </c>
      <c r="O141" s="31">
        <f t="shared" si="5"/>
        <v>773977.27272727271</v>
      </c>
    </row>
    <row r="142" spans="1:15" ht="15.75" customHeight="1" x14ac:dyDescent="0.25">
      <c r="A142" s="17" t="s">
        <v>205</v>
      </c>
      <c r="B142" s="17">
        <v>2</v>
      </c>
      <c r="C142" s="25">
        <f>VLOOKUP(B142,'Tabla Salarios'!$B$3:$D$13,3,0)</f>
        <v>1626000</v>
      </c>
      <c r="D142" s="16">
        <v>20</v>
      </c>
      <c r="E142" s="31">
        <f>C142/220*'Valores Vigentes'!$E$10*D142</f>
        <v>184772.72727272729</v>
      </c>
      <c r="F142" s="16">
        <v>8</v>
      </c>
      <c r="G142" s="31">
        <f>C142/220*'Valores Vigentes'!$E$11*F142</f>
        <v>103472.72727272728</v>
      </c>
      <c r="H142" s="16">
        <v>14</v>
      </c>
      <c r="I142" s="31">
        <f>C142/220*'Valores Vigentes'!$E$12*H142</f>
        <v>206945.45454545456</v>
      </c>
      <c r="J142" s="31">
        <f>C142/220*'Valores Vigentes'!$E$13*K142</f>
        <v>73909.090909090912</v>
      </c>
      <c r="K142" s="16">
        <v>4</v>
      </c>
      <c r="L142" s="16">
        <v>0</v>
      </c>
      <c r="M142" s="31">
        <f>C142/220*L142*'Valores Vigentes'!$E$14</f>
        <v>0</v>
      </c>
      <c r="N142" s="16">
        <f t="shared" si="4"/>
        <v>46</v>
      </c>
      <c r="O142" s="31">
        <f t="shared" si="5"/>
        <v>495190.90909090918</v>
      </c>
    </row>
    <row r="143" spans="1:15" ht="15.75" customHeight="1" x14ac:dyDescent="0.25">
      <c r="A143" s="17" t="s">
        <v>206</v>
      </c>
      <c r="B143" s="17">
        <v>2</v>
      </c>
      <c r="C143" s="25">
        <f>VLOOKUP(B143,'Tabla Salarios'!$B$3:$D$13,3,0)</f>
        <v>1626000</v>
      </c>
      <c r="D143" s="16">
        <v>13</v>
      </c>
      <c r="E143" s="31">
        <f>C143/220*'Valores Vigentes'!$E$10*D143</f>
        <v>120102.27272727274</v>
      </c>
      <c r="F143" s="16">
        <v>17</v>
      </c>
      <c r="G143" s="31">
        <f>C143/220*'Valores Vigentes'!$E$11*F143</f>
        <v>219879.54545454547</v>
      </c>
      <c r="H143" s="16">
        <v>16</v>
      </c>
      <c r="I143" s="31">
        <f>C143/220*'Valores Vigentes'!$E$12*H143</f>
        <v>236509.09090909091</v>
      </c>
      <c r="J143" s="31">
        <f>C143/220*'Valores Vigentes'!$E$13*K143</f>
        <v>55431.818181818184</v>
      </c>
      <c r="K143" s="16">
        <v>3</v>
      </c>
      <c r="L143" s="16">
        <v>26</v>
      </c>
      <c r="M143" s="31">
        <f>C143/220*L143*'Valores Vigentes'!$E$14</f>
        <v>259420.90909090909</v>
      </c>
      <c r="N143" s="16">
        <f t="shared" si="4"/>
        <v>49</v>
      </c>
      <c r="O143" s="31">
        <f t="shared" si="5"/>
        <v>576490.90909090918</v>
      </c>
    </row>
    <row r="144" spans="1:15" ht="15.75" customHeight="1" x14ac:dyDescent="0.25">
      <c r="A144" s="17" t="s">
        <v>207</v>
      </c>
      <c r="B144" s="17">
        <v>2</v>
      </c>
      <c r="C144" s="25">
        <f>VLOOKUP(B144,'Tabla Salarios'!$B$3:$D$13,3,0)</f>
        <v>1626000</v>
      </c>
      <c r="D144" s="16">
        <v>28</v>
      </c>
      <c r="E144" s="31">
        <f>C144/220*'Valores Vigentes'!$E$10*D144</f>
        <v>258681.81818181818</v>
      </c>
      <c r="F144" s="16">
        <v>15</v>
      </c>
      <c r="G144" s="31">
        <f>C144/220*'Valores Vigentes'!$E$11*F144</f>
        <v>194011.36363636365</v>
      </c>
      <c r="H144" s="16">
        <v>30</v>
      </c>
      <c r="I144" s="31">
        <f>C144/220*'Valores Vigentes'!$E$12*H144</f>
        <v>443454.54545454547</v>
      </c>
      <c r="J144" s="31">
        <f>C144/220*'Valores Vigentes'!$E$13*K144</f>
        <v>277159.09090909094</v>
      </c>
      <c r="K144" s="16">
        <v>15</v>
      </c>
      <c r="L144" s="16">
        <v>30</v>
      </c>
      <c r="M144" s="31">
        <f>C144/220*L144*'Valores Vigentes'!$E$14</f>
        <v>299331.81818181823</v>
      </c>
      <c r="N144" s="16">
        <f t="shared" si="4"/>
        <v>88</v>
      </c>
      <c r="O144" s="31">
        <f t="shared" si="5"/>
        <v>896147.72727272729</v>
      </c>
    </row>
    <row r="145" spans="1:15" ht="15.75" customHeight="1" x14ac:dyDescent="0.25">
      <c r="A145" s="17" t="s">
        <v>208</v>
      </c>
      <c r="B145" s="17">
        <v>7</v>
      </c>
      <c r="C145" s="25">
        <f>VLOOKUP(B145,'Tabla Salarios'!$B$3:$D$13,3,0)</f>
        <v>3250000</v>
      </c>
      <c r="D145" s="16">
        <v>23</v>
      </c>
      <c r="E145" s="31">
        <f>C145/220*'Valores Vigentes'!$E$10*D145</f>
        <v>424715.90909090906</v>
      </c>
      <c r="F145" s="16">
        <v>2</v>
      </c>
      <c r="G145" s="31">
        <f>C145/220*'Valores Vigentes'!$E$11*F145</f>
        <v>51704.545454545456</v>
      </c>
      <c r="H145" s="16">
        <v>3</v>
      </c>
      <c r="I145" s="31">
        <f>C145/220*'Valores Vigentes'!$E$12*H145</f>
        <v>88636.363636363632</v>
      </c>
      <c r="J145" s="31">
        <f>C145/220*'Valores Vigentes'!$E$13*K145</f>
        <v>886363.63636363624</v>
      </c>
      <c r="K145" s="16">
        <v>24</v>
      </c>
      <c r="L145" s="16">
        <v>10</v>
      </c>
      <c r="M145" s="31">
        <f>C145/220*L145*'Valores Vigentes'!$E$14</f>
        <v>199431.81818181818</v>
      </c>
      <c r="N145" s="16">
        <f t="shared" si="4"/>
        <v>52</v>
      </c>
      <c r="O145" s="31">
        <f t="shared" si="5"/>
        <v>565056.81818181812</v>
      </c>
    </row>
    <row r="146" spans="1:15" ht="15.75" customHeight="1" x14ac:dyDescent="0.25">
      <c r="A146" s="17" t="s">
        <v>209</v>
      </c>
      <c r="B146" s="17">
        <v>1</v>
      </c>
      <c r="C146" s="25">
        <f>VLOOKUP(B146,'Tabla Salarios'!$B$3:$D$13,3,0)</f>
        <v>1423500</v>
      </c>
      <c r="D146" s="16">
        <v>27</v>
      </c>
      <c r="E146" s="31">
        <f>C146/220*'Valores Vigentes'!$E$10*D146</f>
        <v>218377.84090909088</v>
      </c>
      <c r="F146" s="16">
        <v>11</v>
      </c>
      <c r="G146" s="31">
        <f>C146/220*'Valores Vigentes'!$E$11*F146</f>
        <v>124556.25</v>
      </c>
      <c r="H146" s="16">
        <v>24</v>
      </c>
      <c r="I146" s="31">
        <f>C146/220*'Valores Vigentes'!$E$12*H146</f>
        <v>310581.81818181818</v>
      </c>
      <c r="J146" s="31">
        <f>C146/220*'Valores Vigentes'!$E$13*K146</f>
        <v>16176.136363636362</v>
      </c>
      <c r="K146" s="16">
        <v>1</v>
      </c>
      <c r="L146" s="16">
        <v>16</v>
      </c>
      <c r="M146" s="31">
        <f>C146/220*L146*'Valores Vigentes'!$E$14</f>
        <v>139761.81818181818</v>
      </c>
      <c r="N146" s="16">
        <f t="shared" si="4"/>
        <v>63</v>
      </c>
      <c r="O146" s="31">
        <f t="shared" si="5"/>
        <v>653515.90909090906</v>
      </c>
    </row>
    <row r="147" spans="1:15" ht="15.75" customHeight="1" x14ac:dyDescent="0.25">
      <c r="A147" s="17" t="s">
        <v>210</v>
      </c>
      <c r="B147" s="17">
        <v>3</v>
      </c>
      <c r="C147" s="25">
        <f>VLOOKUP(B147,'Tabla Salarios'!$B$3:$D$13,3,0)</f>
        <v>1813000</v>
      </c>
      <c r="D147" s="16">
        <v>4</v>
      </c>
      <c r="E147" s="31">
        <f>C147/220*'Valores Vigentes'!$E$10*D147</f>
        <v>41204.545454545449</v>
      </c>
      <c r="F147" s="16">
        <v>15</v>
      </c>
      <c r="G147" s="31">
        <f>C147/220*'Valores Vigentes'!$E$11*F147</f>
        <v>216323.86363636362</v>
      </c>
      <c r="H147" s="16">
        <v>23</v>
      </c>
      <c r="I147" s="31">
        <f>C147/220*'Valores Vigentes'!$E$12*H147</f>
        <v>379081.81818181812</v>
      </c>
      <c r="J147" s="31">
        <f>C147/220*'Valores Vigentes'!$E$13*K147</f>
        <v>185420.45454545453</v>
      </c>
      <c r="K147" s="16">
        <v>9</v>
      </c>
      <c r="L147" s="16">
        <v>18</v>
      </c>
      <c r="M147" s="31">
        <f>C147/220*L147*'Valores Vigentes'!$E$14</f>
        <v>200254.09090909091</v>
      </c>
      <c r="N147" s="16">
        <f t="shared" si="4"/>
        <v>51</v>
      </c>
      <c r="O147" s="31">
        <f t="shared" si="5"/>
        <v>636610.22727272718</v>
      </c>
    </row>
    <row r="148" spans="1:15" ht="15.75" customHeight="1" x14ac:dyDescent="0.25">
      <c r="A148" s="17" t="s">
        <v>211</v>
      </c>
      <c r="B148" s="17">
        <v>2</v>
      </c>
      <c r="C148" s="25">
        <f>VLOOKUP(B148,'Tabla Salarios'!$B$3:$D$13,3,0)</f>
        <v>1626000</v>
      </c>
      <c r="D148" s="16">
        <v>30</v>
      </c>
      <c r="E148" s="31">
        <f>C148/220*'Valores Vigentes'!$E$10*D148</f>
        <v>277159.09090909094</v>
      </c>
      <c r="F148" s="16">
        <v>16</v>
      </c>
      <c r="G148" s="31">
        <f>C148/220*'Valores Vigentes'!$E$11*F148</f>
        <v>206945.45454545456</v>
      </c>
      <c r="H148" s="16">
        <v>23</v>
      </c>
      <c r="I148" s="31">
        <f>C148/220*'Valores Vigentes'!$E$12*H148</f>
        <v>339981.81818181818</v>
      </c>
      <c r="J148" s="31">
        <f>C148/220*'Valores Vigentes'!$E$13*K148</f>
        <v>166295.45454545456</v>
      </c>
      <c r="K148" s="16">
        <v>9</v>
      </c>
      <c r="L148" s="16">
        <v>4</v>
      </c>
      <c r="M148" s="31">
        <f>C148/220*L148*'Valores Vigentes'!$E$14</f>
        <v>39910.909090909096</v>
      </c>
      <c r="N148" s="16">
        <f t="shared" si="4"/>
        <v>78</v>
      </c>
      <c r="O148" s="31">
        <f t="shared" si="5"/>
        <v>824086.36363636376</v>
      </c>
    </row>
    <row r="149" spans="1:15" ht="15.75" customHeight="1" x14ac:dyDescent="0.25">
      <c r="A149" s="17" t="s">
        <v>212</v>
      </c>
      <c r="B149" s="17">
        <v>4</v>
      </c>
      <c r="C149" s="25">
        <f>VLOOKUP(B149,'Tabla Salarios'!$B$3:$D$13,3,0)</f>
        <v>2450000</v>
      </c>
      <c r="D149" s="16">
        <v>13</v>
      </c>
      <c r="E149" s="31">
        <f>C149/220*'Valores Vigentes'!$E$10*D149</f>
        <v>180965.90909090906</v>
      </c>
      <c r="F149" s="16">
        <v>19</v>
      </c>
      <c r="G149" s="31">
        <f>C149/220*'Valores Vigentes'!$E$11*F149</f>
        <v>370284.09090909094</v>
      </c>
      <c r="H149" s="16">
        <v>6</v>
      </c>
      <c r="I149" s="31">
        <f>C149/220*'Valores Vigentes'!$E$12*H149</f>
        <v>133636.36363636365</v>
      </c>
      <c r="J149" s="31">
        <f>C149/220*'Valores Vigentes'!$E$13*K149</f>
        <v>807386.36363636353</v>
      </c>
      <c r="K149" s="16">
        <v>29</v>
      </c>
      <c r="L149" s="16">
        <v>15</v>
      </c>
      <c r="M149" s="31">
        <f>C149/220*L149*'Valores Vigentes'!$E$14</f>
        <v>225511.36363636362</v>
      </c>
      <c r="N149" s="16">
        <f t="shared" si="4"/>
        <v>67</v>
      </c>
      <c r="O149" s="31">
        <f t="shared" si="5"/>
        <v>684886.36363636365</v>
      </c>
    </row>
    <row r="150" spans="1:15" ht="15.75" customHeight="1" x14ac:dyDescent="0.25">
      <c r="A150" s="17" t="s">
        <v>213</v>
      </c>
      <c r="B150" s="17">
        <v>6</v>
      </c>
      <c r="C150" s="25">
        <f>VLOOKUP(B150,'Tabla Salarios'!$B$3:$D$13,3,0)</f>
        <v>2950000</v>
      </c>
      <c r="D150" s="16">
        <v>25</v>
      </c>
      <c r="E150" s="31">
        <f>C150/220*'Valores Vigentes'!$E$10*D150</f>
        <v>419034.09090909088</v>
      </c>
      <c r="F150" s="16">
        <v>12</v>
      </c>
      <c r="G150" s="31">
        <f>C150/220*'Valores Vigentes'!$E$11*F150</f>
        <v>281590.90909090912</v>
      </c>
      <c r="H150" s="16">
        <v>10</v>
      </c>
      <c r="I150" s="31">
        <f>C150/220*'Valores Vigentes'!$E$12*H150</f>
        <v>268181.81818181818</v>
      </c>
      <c r="J150" s="31">
        <f>C150/220*'Valores Vigentes'!$E$13*K150</f>
        <v>1005681.8181818181</v>
      </c>
      <c r="K150" s="16">
        <v>30</v>
      </c>
      <c r="L150" s="16">
        <v>1</v>
      </c>
      <c r="M150" s="31">
        <f>C150/220*L150*'Valores Vigentes'!$E$14</f>
        <v>18102.272727272728</v>
      </c>
      <c r="N150" s="16">
        <f t="shared" si="4"/>
        <v>77</v>
      </c>
      <c r="O150" s="31">
        <f t="shared" si="5"/>
        <v>968806.81818181812</v>
      </c>
    </row>
    <row r="151" spans="1:15" ht="15.75" customHeight="1" x14ac:dyDescent="0.25">
      <c r="A151" s="17" t="s">
        <v>214</v>
      </c>
      <c r="B151" s="17">
        <v>1</v>
      </c>
      <c r="C151" s="25">
        <f>VLOOKUP(B151,'Tabla Salarios'!$B$3:$D$13,3,0)</f>
        <v>1423500</v>
      </c>
      <c r="D151" s="16">
        <v>13</v>
      </c>
      <c r="E151" s="31">
        <f>C151/220*'Valores Vigentes'!$E$10*D151</f>
        <v>105144.88636363635</v>
      </c>
      <c r="F151" s="16">
        <v>8</v>
      </c>
      <c r="G151" s="31">
        <f>C151/220*'Valores Vigentes'!$E$11*F151</f>
        <v>90586.363636363632</v>
      </c>
      <c r="H151" s="16">
        <v>24</v>
      </c>
      <c r="I151" s="31">
        <f>C151/220*'Valores Vigentes'!$E$12*H151</f>
        <v>310581.81818181818</v>
      </c>
      <c r="J151" s="31">
        <f>C151/220*'Valores Vigentes'!$E$13*K151</f>
        <v>452931.81818181812</v>
      </c>
      <c r="K151" s="16">
        <v>28</v>
      </c>
      <c r="L151" s="16">
        <v>17</v>
      </c>
      <c r="M151" s="31">
        <f>C151/220*L151*'Valores Vigentes'!$E$14</f>
        <v>148496.93181818182</v>
      </c>
      <c r="N151" s="16">
        <f t="shared" si="4"/>
        <v>73</v>
      </c>
      <c r="O151" s="31">
        <f t="shared" si="5"/>
        <v>506313.06818181818</v>
      </c>
    </row>
    <row r="152" spans="1:15" ht="15.75" customHeight="1" x14ac:dyDescent="0.25">
      <c r="A152" s="17" t="s">
        <v>215</v>
      </c>
      <c r="B152" s="17">
        <v>6</v>
      </c>
      <c r="C152" s="25">
        <f>VLOOKUP(B152,'Tabla Salarios'!$B$3:$D$13,3,0)</f>
        <v>2950000</v>
      </c>
      <c r="D152" s="16">
        <v>11</v>
      </c>
      <c r="E152" s="31">
        <f>C152/220*'Valores Vigentes'!$E$10*D152</f>
        <v>184375</v>
      </c>
      <c r="F152" s="16">
        <v>27</v>
      </c>
      <c r="G152" s="31">
        <f>C152/220*'Valores Vigentes'!$E$11*F152</f>
        <v>633579.54545454553</v>
      </c>
      <c r="H152" s="16">
        <v>24</v>
      </c>
      <c r="I152" s="31">
        <f>C152/220*'Valores Vigentes'!$E$12*H152</f>
        <v>643636.36363636365</v>
      </c>
      <c r="J152" s="31">
        <f>C152/220*'Valores Vigentes'!$E$13*K152</f>
        <v>0</v>
      </c>
      <c r="K152" s="16">
        <v>0</v>
      </c>
      <c r="L152" s="16">
        <v>30</v>
      </c>
      <c r="M152" s="31">
        <f>C152/220*L152*'Valores Vigentes'!$E$14</f>
        <v>543068.18181818188</v>
      </c>
      <c r="N152" s="16">
        <f t="shared" si="4"/>
        <v>62</v>
      </c>
      <c r="O152" s="31">
        <f t="shared" si="5"/>
        <v>1461590.9090909092</v>
      </c>
    </row>
    <row r="153" spans="1:15" ht="15.75" customHeight="1" x14ac:dyDescent="0.25">
      <c r="A153" s="17" t="s">
        <v>216</v>
      </c>
      <c r="B153" s="17">
        <v>6</v>
      </c>
      <c r="C153" s="25">
        <f>VLOOKUP(B153,'Tabla Salarios'!$B$3:$D$13,3,0)</f>
        <v>2950000</v>
      </c>
      <c r="D153" s="16">
        <v>27</v>
      </c>
      <c r="E153" s="31">
        <f>C153/220*'Valores Vigentes'!$E$10*D153</f>
        <v>452556.81818181818</v>
      </c>
      <c r="F153" s="16">
        <v>2</v>
      </c>
      <c r="G153" s="31">
        <f>C153/220*'Valores Vigentes'!$E$11*F153</f>
        <v>46931.818181818184</v>
      </c>
      <c r="H153" s="16">
        <v>25</v>
      </c>
      <c r="I153" s="31">
        <f>C153/220*'Valores Vigentes'!$E$12*H153</f>
        <v>670454.54545454553</v>
      </c>
      <c r="J153" s="31">
        <f>C153/220*'Valores Vigentes'!$E$13*K153</f>
        <v>502840.90909090906</v>
      </c>
      <c r="K153" s="16">
        <v>15</v>
      </c>
      <c r="L153" s="16">
        <v>27</v>
      </c>
      <c r="M153" s="31">
        <f>C153/220*L153*'Valores Vigentes'!$E$14</f>
        <v>488761.36363636371</v>
      </c>
      <c r="N153" s="16">
        <f t="shared" si="4"/>
        <v>69</v>
      </c>
      <c r="O153" s="31">
        <f t="shared" si="5"/>
        <v>1169943.1818181819</v>
      </c>
    </row>
    <row r="154" spans="1:15" ht="15.75" customHeight="1" x14ac:dyDescent="0.25">
      <c r="A154" s="17" t="s">
        <v>217</v>
      </c>
      <c r="B154" s="17">
        <v>7</v>
      </c>
      <c r="C154" s="25">
        <f>VLOOKUP(B154,'Tabla Salarios'!$B$3:$D$13,3,0)</f>
        <v>3250000</v>
      </c>
      <c r="D154" s="16">
        <v>0</v>
      </c>
      <c r="E154" s="31">
        <f>C154/220*'Valores Vigentes'!$E$10*D154</f>
        <v>0</v>
      </c>
      <c r="F154" s="16">
        <v>18</v>
      </c>
      <c r="G154" s="31">
        <f>C154/220*'Valores Vigentes'!$E$11*F154</f>
        <v>465340.90909090912</v>
      </c>
      <c r="H154" s="16">
        <v>11</v>
      </c>
      <c r="I154" s="31">
        <f>C154/220*'Valores Vigentes'!$E$12*H154</f>
        <v>325000</v>
      </c>
      <c r="J154" s="31">
        <f>C154/220*'Valores Vigentes'!$E$13*K154</f>
        <v>664772.72727272718</v>
      </c>
      <c r="K154" s="16">
        <v>18</v>
      </c>
      <c r="L154" s="16">
        <v>2</v>
      </c>
      <c r="M154" s="31">
        <f>C154/220*L154*'Valores Vigentes'!$E$14</f>
        <v>39886.36363636364</v>
      </c>
      <c r="N154" s="16">
        <f t="shared" si="4"/>
        <v>47</v>
      </c>
      <c r="O154" s="31">
        <f t="shared" si="5"/>
        <v>790340.90909090918</v>
      </c>
    </row>
    <row r="155" spans="1:15" ht="15.75" customHeight="1" x14ac:dyDescent="0.25">
      <c r="A155" s="17" t="s">
        <v>218</v>
      </c>
      <c r="B155" s="17">
        <v>7</v>
      </c>
      <c r="C155" s="25">
        <f>VLOOKUP(B155,'Tabla Salarios'!$B$3:$D$13,3,0)</f>
        <v>3250000</v>
      </c>
      <c r="D155" s="16">
        <v>0</v>
      </c>
      <c r="E155" s="31">
        <f>C155/220*'Valores Vigentes'!$E$10*D155</f>
        <v>0</v>
      </c>
      <c r="F155" s="16">
        <v>5</v>
      </c>
      <c r="G155" s="31">
        <f>C155/220*'Valores Vigentes'!$E$11*F155</f>
        <v>129261.36363636365</v>
      </c>
      <c r="H155" s="16">
        <v>17</v>
      </c>
      <c r="I155" s="31">
        <f>C155/220*'Valores Vigentes'!$E$12*H155</f>
        <v>502272.72727272724</v>
      </c>
      <c r="J155" s="31">
        <f>C155/220*'Valores Vigentes'!$E$13*K155</f>
        <v>886363.63636363624</v>
      </c>
      <c r="K155" s="16">
        <v>24</v>
      </c>
      <c r="L155" s="16">
        <v>20</v>
      </c>
      <c r="M155" s="31">
        <f>C155/220*L155*'Valores Vigentes'!$E$14</f>
        <v>398863.63636363635</v>
      </c>
      <c r="N155" s="16">
        <f t="shared" si="4"/>
        <v>46</v>
      </c>
      <c r="O155" s="31">
        <f t="shared" si="5"/>
        <v>631534.09090909082</v>
      </c>
    </row>
    <row r="156" spans="1:15" ht="15.75" customHeight="1" x14ac:dyDescent="0.25">
      <c r="A156" s="17" t="s">
        <v>219</v>
      </c>
      <c r="B156" s="17">
        <v>4</v>
      </c>
      <c r="C156" s="25">
        <f>VLOOKUP(B156,'Tabla Salarios'!$B$3:$D$13,3,0)</f>
        <v>2450000</v>
      </c>
      <c r="D156" s="16">
        <v>11</v>
      </c>
      <c r="E156" s="31">
        <f>C156/220*'Valores Vigentes'!$E$10*D156</f>
        <v>153125</v>
      </c>
      <c r="F156" s="16">
        <v>18</v>
      </c>
      <c r="G156" s="31">
        <f>C156/220*'Valores Vigentes'!$E$11*F156</f>
        <v>350795.45454545453</v>
      </c>
      <c r="H156" s="16">
        <v>7</v>
      </c>
      <c r="I156" s="31">
        <f>C156/220*'Valores Vigentes'!$E$12*H156</f>
        <v>155909.09090909091</v>
      </c>
      <c r="J156" s="31">
        <f>C156/220*'Valores Vigentes'!$E$13*K156</f>
        <v>27840.909090909088</v>
      </c>
      <c r="K156" s="16">
        <v>1</v>
      </c>
      <c r="L156" s="16">
        <v>1</v>
      </c>
      <c r="M156" s="31">
        <f>C156/220*L156*'Valores Vigentes'!$E$14</f>
        <v>15034.09090909091</v>
      </c>
      <c r="N156" s="16">
        <f t="shared" si="4"/>
        <v>37</v>
      </c>
      <c r="O156" s="31">
        <f t="shared" si="5"/>
        <v>659829.54545454541</v>
      </c>
    </row>
    <row r="157" spans="1:15" ht="15.75" customHeight="1" x14ac:dyDescent="0.25">
      <c r="A157" s="17" t="s">
        <v>220</v>
      </c>
      <c r="B157" s="17">
        <v>2</v>
      </c>
      <c r="C157" s="25">
        <f>VLOOKUP(B157,'Tabla Salarios'!$B$3:$D$13,3,0)</f>
        <v>1626000</v>
      </c>
      <c r="D157" s="16">
        <v>11</v>
      </c>
      <c r="E157" s="31">
        <f>C157/220*'Valores Vigentes'!$E$10*D157</f>
        <v>101625</v>
      </c>
      <c r="F157" s="16">
        <v>24</v>
      </c>
      <c r="G157" s="31">
        <f>C157/220*'Valores Vigentes'!$E$11*F157</f>
        <v>310418.18181818182</v>
      </c>
      <c r="H157" s="16">
        <v>21</v>
      </c>
      <c r="I157" s="31">
        <f>C157/220*'Valores Vigentes'!$E$12*H157</f>
        <v>310418.18181818182</v>
      </c>
      <c r="J157" s="31">
        <f>C157/220*'Valores Vigentes'!$E$13*K157</f>
        <v>424977.27272727276</v>
      </c>
      <c r="K157" s="16">
        <v>23</v>
      </c>
      <c r="L157" s="16">
        <v>10</v>
      </c>
      <c r="M157" s="31">
        <f>C157/220*L157*'Valores Vigentes'!$E$14</f>
        <v>99777.272727272735</v>
      </c>
      <c r="N157" s="16">
        <f t="shared" si="4"/>
        <v>79</v>
      </c>
      <c r="O157" s="31">
        <f t="shared" si="5"/>
        <v>722461.36363636365</v>
      </c>
    </row>
    <row r="158" spans="1:15" ht="15.75" customHeight="1" x14ac:dyDescent="0.25">
      <c r="A158" s="17" t="s">
        <v>221</v>
      </c>
      <c r="B158" s="17">
        <v>7</v>
      </c>
      <c r="C158" s="25">
        <f>VLOOKUP(B158,'Tabla Salarios'!$B$3:$D$13,3,0)</f>
        <v>3250000</v>
      </c>
      <c r="D158" s="16">
        <v>6</v>
      </c>
      <c r="E158" s="31">
        <f>C158/220*'Valores Vigentes'!$E$10*D158</f>
        <v>110795.45454545453</v>
      </c>
      <c r="F158" s="16">
        <v>30</v>
      </c>
      <c r="G158" s="31">
        <f>C158/220*'Valores Vigentes'!$E$11*F158</f>
        <v>775568.18181818188</v>
      </c>
      <c r="H158" s="16">
        <v>0</v>
      </c>
      <c r="I158" s="31">
        <f>C158/220*'Valores Vigentes'!$E$12*H158</f>
        <v>0</v>
      </c>
      <c r="J158" s="31">
        <f>C158/220*'Valores Vigentes'!$E$13*K158</f>
        <v>886363.63636363624</v>
      </c>
      <c r="K158" s="16">
        <v>24</v>
      </c>
      <c r="L158" s="16">
        <v>21</v>
      </c>
      <c r="M158" s="31">
        <f>C158/220*L158*'Valores Vigentes'!$E$14</f>
        <v>418806.81818181818</v>
      </c>
      <c r="N158" s="16">
        <f t="shared" si="4"/>
        <v>60</v>
      </c>
      <c r="O158" s="31">
        <f t="shared" si="5"/>
        <v>886363.63636363647</v>
      </c>
    </row>
    <row r="159" spans="1:15" ht="15.75" customHeight="1" x14ac:dyDescent="0.25">
      <c r="A159" s="17" t="s">
        <v>222</v>
      </c>
      <c r="B159" s="17">
        <v>7</v>
      </c>
      <c r="C159" s="25">
        <f>VLOOKUP(B159,'Tabla Salarios'!$B$3:$D$13,3,0)</f>
        <v>3250000</v>
      </c>
      <c r="D159" s="16">
        <v>28</v>
      </c>
      <c r="E159" s="31">
        <f>C159/220*'Valores Vigentes'!$E$10*D159</f>
        <v>517045.45454545447</v>
      </c>
      <c r="F159" s="16">
        <v>25</v>
      </c>
      <c r="G159" s="31">
        <f>C159/220*'Valores Vigentes'!$E$11*F159</f>
        <v>646306.81818181823</v>
      </c>
      <c r="H159" s="16">
        <v>25</v>
      </c>
      <c r="I159" s="31">
        <f>C159/220*'Valores Vigentes'!$E$12*H159</f>
        <v>738636.36363636365</v>
      </c>
      <c r="J159" s="31">
        <f>C159/220*'Valores Vigentes'!$E$13*K159</f>
        <v>590909.09090909082</v>
      </c>
      <c r="K159" s="16">
        <v>16</v>
      </c>
      <c r="L159" s="16">
        <v>8</v>
      </c>
      <c r="M159" s="31">
        <f>C159/220*L159*'Valores Vigentes'!$E$14</f>
        <v>159545.45454545456</v>
      </c>
      <c r="N159" s="16">
        <f t="shared" si="4"/>
        <v>94</v>
      </c>
      <c r="O159" s="31">
        <f t="shared" si="5"/>
        <v>1901988.6363636362</v>
      </c>
    </row>
    <row r="160" spans="1:15" ht="15.75" customHeight="1" x14ac:dyDescent="0.25">
      <c r="A160" s="17" t="s">
        <v>223</v>
      </c>
      <c r="B160" s="17">
        <v>8</v>
      </c>
      <c r="C160" s="25">
        <f>VLOOKUP(B160,'Tabla Salarios'!$B$3:$D$13,3,0)</f>
        <v>3900000</v>
      </c>
      <c r="D160" s="16">
        <v>21</v>
      </c>
      <c r="E160" s="31">
        <f>C160/220*'Valores Vigentes'!$E$10*D160</f>
        <v>465340.90909090918</v>
      </c>
      <c r="F160" s="16">
        <v>10</v>
      </c>
      <c r="G160" s="31">
        <f>C160/220*'Valores Vigentes'!$E$11*F160</f>
        <v>310227.27272727271</v>
      </c>
      <c r="H160" s="16">
        <v>23</v>
      </c>
      <c r="I160" s="31">
        <f>C160/220*'Valores Vigentes'!$E$12*H160</f>
        <v>815454.54545454553</v>
      </c>
      <c r="J160" s="31">
        <f>C160/220*'Valores Vigentes'!$E$13*K160</f>
        <v>132954.54545454547</v>
      </c>
      <c r="K160" s="16">
        <v>3</v>
      </c>
      <c r="L160" s="16">
        <v>27</v>
      </c>
      <c r="M160" s="31">
        <f>C160/220*L160*'Valores Vigentes'!$E$14</f>
        <v>646159.09090909094</v>
      </c>
      <c r="N160" s="16">
        <f t="shared" si="4"/>
        <v>57</v>
      </c>
      <c r="O160" s="31">
        <f t="shared" si="5"/>
        <v>1591022.7272727275</v>
      </c>
    </row>
    <row r="161" spans="1:15" ht="15.75" customHeight="1" x14ac:dyDescent="0.25">
      <c r="A161" s="17" t="s">
        <v>224</v>
      </c>
      <c r="B161" s="17">
        <v>3</v>
      </c>
      <c r="C161" s="25">
        <f>VLOOKUP(B161,'Tabla Salarios'!$B$3:$D$13,3,0)</f>
        <v>1813000</v>
      </c>
      <c r="D161" s="16">
        <v>27</v>
      </c>
      <c r="E161" s="31">
        <f>C161/220*'Valores Vigentes'!$E$10*D161</f>
        <v>278130.68181818177</v>
      </c>
      <c r="F161" s="16">
        <v>22</v>
      </c>
      <c r="G161" s="31">
        <f>C161/220*'Valores Vigentes'!$E$11*F161</f>
        <v>317275</v>
      </c>
      <c r="H161" s="16">
        <v>16</v>
      </c>
      <c r="I161" s="31">
        <f>C161/220*'Valores Vigentes'!$E$12*H161</f>
        <v>263709.09090909088</v>
      </c>
      <c r="J161" s="31">
        <f>C161/220*'Valores Vigentes'!$E$13*K161</f>
        <v>412045.45454545447</v>
      </c>
      <c r="K161" s="16">
        <v>20</v>
      </c>
      <c r="L161" s="16">
        <v>13</v>
      </c>
      <c r="M161" s="31">
        <f>C161/220*L161*'Valores Vigentes'!$E$14</f>
        <v>144627.95454545456</v>
      </c>
      <c r="N161" s="16">
        <f t="shared" si="4"/>
        <v>85</v>
      </c>
      <c r="O161" s="31">
        <f t="shared" si="5"/>
        <v>859114.77272727271</v>
      </c>
    </row>
    <row r="162" spans="1:15" ht="15.75" customHeight="1" x14ac:dyDescent="0.25">
      <c r="A162" s="17" t="s">
        <v>225</v>
      </c>
      <c r="B162" s="17">
        <v>7</v>
      </c>
      <c r="C162" s="25">
        <f>VLOOKUP(B162,'Tabla Salarios'!$B$3:$D$13,3,0)</f>
        <v>3250000</v>
      </c>
      <c r="D162" s="16">
        <v>23</v>
      </c>
      <c r="E162" s="31">
        <f>C162/220*'Valores Vigentes'!$E$10*D162</f>
        <v>424715.90909090906</v>
      </c>
      <c r="F162" s="16">
        <v>27</v>
      </c>
      <c r="G162" s="31">
        <f>C162/220*'Valores Vigentes'!$E$11*F162</f>
        <v>698011.36363636365</v>
      </c>
      <c r="H162" s="16">
        <v>15</v>
      </c>
      <c r="I162" s="31">
        <f>C162/220*'Valores Vigentes'!$E$12*H162</f>
        <v>443181.81818181818</v>
      </c>
      <c r="J162" s="31">
        <f>C162/220*'Valores Vigentes'!$E$13*K162</f>
        <v>627840.90909090894</v>
      </c>
      <c r="K162" s="16">
        <v>17</v>
      </c>
      <c r="L162" s="16">
        <v>13</v>
      </c>
      <c r="M162" s="31">
        <f>C162/220*L162*'Valores Vigentes'!$E$14</f>
        <v>259261.36363636362</v>
      </c>
      <c r="N162" s="16">
        <f t="shared" si="4"/>
        <v>82</v>
      </c>
      <c r="O162" s="31">
        <f t="shared" si="5"/>
        <v>1565909.0909090908</v>
      </c>
    </row>
    <row r="163" spans="1:15" ht="15.75" customHeight="1" x14ac:dyDescent="0.25">
      <c r="A163" s="17" t="s">
        <v>226</v>
      </c>
      <c r="B163" s="17">
        <v>8</v>
      </c>
      <c r="C163" s="25">
        <f>VLOOKUP(B163,'Tabla Salarios'!$B$3:$D$13,3,0)</f>
        <v>3900000</v>
      </c>
      <c r="D163" s="16">
        <v>18</v>
      </c>
      <c r="E163" s="31">
        <f>C163/220*'Valores Vigentes'!$E$10*D163</f>
        <v>398863.63636363641</v>
      </c>
      <c r="F163" s="16">
        <v>22</v>
      </c>
      <c r="G163" s="31">
        <f>C163/220*'Valores Vigentes'!$E$11*F163</f>
        <v>682500</v>
      </c>
      <c r="H163" s="16">
        <v>25</v>
      </c>
      <c r="I163" s="31">
        <f>C163/220*'Valores Vigentes'!$E$12*H163</f>
        <v>886363.63636363635</v>
      </c>
      <c r="J163" s="31">
        <f>C163/220*'Valores Vigentes'!$E$13*K163</f>
        <v>177272.72727272729</v>
      </c>
      <c r="K163" s="16">
        <v>4</v>
      </c>
      <c r="L163" s="16">
        <v>14</v>
      </c>
      <c r="M163" s="31">
        <f>C163/220*L163*'Valores Vigentes'!$E$14</f>
        <v>335045.45454545459</v>
      </c>
      <c r="N163" s="16">
        <f t="shared" si="4"/>
        <v>69</v>
      </c>
      <c r="O163" s="31">
        <f t="shared" si="5"/>
        <v>1967727.2727272729</v>
      </c>
    </row>
    <row r="164" spans="1:15" ht="15.75" customHeight="1" x14ac:dyDescent="0.25">
      <c r="A164" s="17" t="s">
        <v>227</v>
      </c>
      <c r="B164" s="17">
        <v>3</v>
      </c>
      <c r="C164" s="25">
        <f>VLOOKUP(B164,'Tabla Salarios'!$B$3:$D$13,3,0)</f>
        <v>1813000</v>
      </c>
      <c r="D164" s="16">
        <v>16</v>
      </c>
      <c r="E164" s="31">
        <f>C164/220*'Valores Vigentes'!$E$10*D164</f>
        <v>164818.18181818179</v>
      </c>
      <c r="F164" s="16">
        <v>4</v>
      </c>
      <c r="G164" s="31">
        <f>C164/220*'Valores Vigentes'!$E$11*F164</f>
        <v>57686.363636363632</v>
      </c>
      <c r="H164" s="16">
        <v>5</v>
      </c>
      <c r="I164" s="31">
        <f>C164/220*'Valores Vigentes'!$E$12*H164</f>
        <v>82409.090909090897</v>
      </c>
      <c r="J164" s="31">
        <f>C164/220*'Valores Vigentes'!$E$13*K164</f>
        <v>123613.63636363635</v>
      </c>
      <c r="K164" s="16">
        <v>6</v>
      </c>
      <c r="L164" s="16">
        <v>20</v>
      </c>
      <c r="M164" s="31">
        <f>C164/220*L164*'Valores Vigentes'!$E$14</f>
        <v>222504.54545454544</v>
      </c>
      <c r="N164" s="16">
        <f t="shared" si="4"/>
        <v>31</v>
      </c>
      <c r="O164" s="31">
        <f t="shared" si="5"/>
        <v>304913.63636363629</v>
      </c>
    </row>
    <row r="165" spans="1:15" ht="15.75" customHeight="1" x14ac:dyDescent="0.25">
      <c r="A165" s="17" t="s">
        <v>228</v>
      </c>
      <c r="B165" s="17">
        <v>1</v>
      </c>
      <c r="C165" s="25">
        <f>VLOOKUP(B165,'Tabla Salarios'!$B$3:$D$13,3,0)</f>
        <v>1423500</v>
      </c>
      <c r="D165" s="16">
        <v>1</v>
      </c>
      <c r="E165" s="31">
        <f>C165/220*'Valores Vigentes'!$E$10*D165</f>
        <v>8088.0681818181811</v>
      </c>
      <c r="F165" s="16">
        <v>18</v>
      </c>
      <c r="G165" s="31">
        <f>C165/220*'Valores Vigentes'!$E$11*F165</f>
        <v>203819.31818181818</v>
      </c>
      <c r="H165" s="16">
        <v>4</v>
      </c>
      <c r="I165" s="31">
        <f>C165/220*'Valores Vigentes'!$E$12*H165</f>
        <v>51763.63636363636</v>
      </c>
      <c r="J165" s="31">
        <f>C165/220*'Valores Vigentes'!$E$13*K165</f>
        <v>242642.04545454544</v>
      </c>
      <c r="K165" s="16">
        <v>15</v>
      </c>
      <c r="L165" s="16">
        <v>1</v>
      </c>
      <c r="M165" s="31">
        <f>C165/220*L165*'Valores Vigentes'!$E$14</f>
        <v>8735.113636363636</v>
      </c>
      <c r="N165" s="16">
        <f t="shared" si="4"/>
        <v>38</v>
      </c>
      <c r="O165" s="31">
        <f t="shared" si="5"/>
        <v>263671.02272727271</v>
      </c>
    </row>
    <row r="166" spans="1:15" ht="15.75" customHeight="1" x14ac:dyDescent="0.25">
      <c r="A166" s="17" t="s">
        <v>229</v>
      </c>
      <c r="B166" s="17">
        <v>1</v>
      </c>
      <c r="C166" s="25">
        <f>VLOOKUP(B166,'Tabla Salarios'!$B$3:$D$13,3,0)</f>
        <v>1423500</v>
      </c>
      <c r="D166" s="16">
        <v>17</v>
      </c>
      <c r="E166" s="31">
        <f>C166/220*'Valores Vigentes'!$E$10*D166</f>
        <v>137497.15909090909</v>
      </c>
      <c r="F166" s="16">
        <v>29</v>
      </c>
      <c r="G166" s="31">
        <f>C166/220*'Valores Vigentes'!$E$11*F166</f>
        <v>328375.56818181818</v>
      </c>
      <c r="H166" s="16">
        <v>28</v>
      </c>
      <c r="I166" s="31">
        <f>C166/220*'Valores Vigentes'!$E$12*H166</f>
        <v>362345.45454545453</v>
      </c>
      <c r="J166" s="31">
        <f>C166/220*'Valores Vigentes'!$E$13*K166</f>
        <v>372051.13636363635</v>
      </c>
      <c r="K166" s="16">
        <v>23</v>
      </c>
      <c r="L166" s="16">
        <v>3</v>
      </c>
      <c r="M166" s="31">
        <f>C166/220*L166*'Valores Vigentes'!$E$14</f>
        <v>26205.340909090912</v>
      </c>
      <c r="N166" s="16">
        <f t="shared" si="4"/>
        <v>97</v>
      </c>
      <c r="O166" s="31">
        <f t="shared" si="5"/>
        <v>828218.18181818188</v>
      </c>
    </row>
    <row r="167" spans="1:15" ht="15.75" customHeight="1" x14ac:dyDescent="0.25">
      <c r="A167" s="17" t="s">
        <v>230</v>
      </c>
      <c r="B167" s="17">
        <v>8</v>
      </c>
      <c r="C167" s="25">
        <f>VLOOKUP(B167,'Tabla Salarios'!$B$3:$D$13,3,0)</f>
        <v>3900000</v>
      </c>
      <c r="D167" s="16">
        <v>23</v>
      </c>
      <c r="E167" s="31">
        <f>C167/220*'Valores Vigentes'!$E$10*D167</f>
        <v>509659.09090909094</v>
      </c>
      <c r="F167" s="16">
        <v>30</v>
      </c>
      <c r="G167" s="31">
        <f>C167/220*'Valores Vigentes'!$E$11*F167</f>
        <v>930681.81818181812</v>
      </c>
      <c r="H167" s="16">
        <v>25</v>
      </c>
      <c r="I167" s="31">
        <f>C167/220*'Valores Vigentes'!$E$12*H167</f>
        <v>886363.63636363635</v>
      </c>
      <c r="J167" s="31">
        <f>C167/220*'Valores Vigentes'!$E$13*K167</f>
        <v>354545.45454545459</v>
      </c>
      <c r="K167" s="16">
        <v>8</v>
      </c>
      <c r="L167" s="16">
        <v>10</v>
      </c>
      <c r="M167" s="31">
        <f>C167/220*L167*'Valores Vigentes'!$E$14</f>
        <v>239318.18181818185</v>
      </c>
      <c r="N167" s="16">
        <f t="shared" si="4"/>
        <v>86</v>
      </c>
      <c r="O167" s="31">
        <f t="shared" si="5"/>
        <v>2326704.5454545454</v>
      </c>
    </row>
    <row r="168" spans="1:15" ht="15.75" customHeight="1" x14ac:dyDescent="0.25">
      <c r="A168" s="17" t="s">
        <v>231</v>
      </c>
      <c r="B168" s="17">
        <v>5</v>
      </c>
      <c r="C168" s="25">
        <f>VLOOKUP(B168,'Tabla Salarios'!$B$3:$D$13,3,0)</f>
        <v>2650000</v>
      </c>
      <c r="D168" s="16">
        <v>5</v>
      </c>
      <c r="E168" s="31">
        <f>C168/220*'Valores Vigentes'!$E$10*D168</f>
        <v>75284.090909090912</v>
      </c>
      <c r="F168" s="16">
        <v>7</v>
      </c>
      <c r="G168" s="31">
        <f>C168/220*'Valores Vigentes'!$E$11*F168</f>
        <v>147556.81818181818</v>
      </c>
      <c r="H168" s="16">
        <v>0</v>
      </c>
      <c r="I168" s="31">
        <f>C168/220*'Valores Vigentes'!$E$12*H168</f>
        <v>0</v>
      </c>
      <c r="J168" s="31">
        <f>C168/220*'Valores Vigentes'!$E$13*K168</f>
        <v>813068.18181818188</v>
      </c>
      <c r="K168" s="16">
        <v>27</v>
      </c>
      <c r="L168" s="16">
        <v>3</v>
      </c>
      <c r="M168" s="31">
        <f>C168/220*L168*'Valores Vigentes'!$E$14</f>
        <v>48784.090909090919</v>
      </c>
      <c r="N168" s="16">
        <f t="shared" si="4"/>
        <v>39</v>
      </c>
      <c r="O168" s="31">
        <f t="shared" si="5"/>
        <v>222840.90909090909</v>
      </c>
    </row>
    <row r="169" spans="1:15" ht="15.75" customHeight="1" x14ac:dyDescent="0.25">
      <c r="A169" s="17" t="s">
        <v>232</v>
      </c>
      <c r="B169" s="17">
        <v>1</v>
      </c>
      <c r="C169" s="25">
        <f>VLOOKUP(B169,'Tabla Salarios'!$B$3:$D$13,3,0)</f>
        <v>1423500</v>
      </c>
      <c r="D169" s="16">
        <v>30</v>
      </c>
      <c r="E169" s="31">
        <f>C169/220*'Valores Vigentes'!$E$10*D169</f>
        <v>242642.04545454544</v>
      </c>
      <c r="F169" s="16">
        <v>10</v>
      </c>
      <c r="G169" s="31">
        <f>C169/220*'Valores Vigentes'!$E$11*F169</f>
        <v>113232.95454545454</v>
      </c>
      <c r="H169" s="16">
        <v>28</v>
      </c>
      <c r="I169" s="31">
        <f>C169/220*'Valores Vigentes'!$E$12*H169</f>
        <v>362345.45454545453</v>
      </c>
      <c r="J169" s="31">
        <f>C169/220*'Valores Vigentes'!$E$13*K169</f>
        <v>404403.40909090906</v>
      </c>
      <c r="K169" s="16">
        <v>25</v>
      </c>
      <c r="L169" s="16">
        <v>30</v>
      </c>
      <c r="M169" s="31">
        <f>C169/220*L169*'Valores Vigentes'!$E$14</f>
        <v>262053.40909090909</v>
      </c>
      <c r="N169" s="16">
        <f t="shared" si="4"/>
        <v>93</v>
      </c>
      <c r="O169" s="31">
        <f t="shared" si="5"/>
        <v>718220.45454545459</v>
      </c>
    </row>
    <row r="170" spans="1:15" ht="15.75" customHeight="1" x14ac:dyDescent="0.25">
      <c r="A170" s="17" t="s">
        <v>233</v>
      </c>
      <c r="B170" s="17">
        <v>2</v>
      </c>
      <c r="C170" s="25">
        <f>VLOOKUP(B170,'Tabla Salarios'!$B$3:$D$13,3,0)</f>
        <v>1626000</v>
      </c>
      <c r="D170" s="16">
        <v>4</v>
      </c>
      <c r="E170" s="31">
        <f>C170/220*'Valores Vigentes'!$E$10*D170</f>
        <v>36954.545454545456</v>
      </c>
      <c r="F170" s="16">
        <v>24</v>
      </c>
      <c r="G170" s="31">
        <f>C170/220*'Valores Vigentes'!$E$11*F170</f>
        <v>310418.18181818182</v>
      </c>
      <c r="H170" s="16">
        <v>25</v>
      </c>
      <c r="I170" s="31">
        <f>C170/220*'Valores Vigentes'!$E$12*H170</f>
        <v>369545.45454545453</v>
      </c>
      <c r="J170" s="31">
        <f>C170/220*'Valores Vigentes'!$E$13*K170</f>
        <v>166295.45454545456</v>
      </c>
      <c r="K170" s="16">
        <v>9</v>
      </c>
      <c r="L170" s="16">
        <v>4</v>
      </c>
      <c r="M170" s="31">
        <f>C170/220*L170*'Valores Vigentes'!$E$14</f>
        <v>39910.909090909096</v>
      </c>
      <c r="N170" s="16">
        <f t="shared" si="4"/>
        <v>62</v>
      </c>
      <c r="O170" s="31">
        <f t="shared" si="5"/>
        <v>716918.18181818188</v>
      </c>
    </row>
    <row r="171" spans="1:15" ht="15.75" customHeight="1" x14ac:dyDescent="0.25">
      <c r="A171" s="17" t="s">
        <v>234</v>
      </c>
      <c r="B171" s="17">
        <v>2</v>
      </c>
      <c r="C171" s="25">
        <f>VLOOKUP(B171,'Tabla Salarios'!$B$3:$D$13,3,0)</f>
        <v>1626000</v>
      </c>
      <c r="D171" s="16">
        <v>19</v>
      </c>
      <c r="E171" s="31">
        <f>C171/220*'Valores Vigentes'!$E$10*D171</f>
        <v>175534.09090909091</v>
      </c>
      <c r="F171" s="16">
        <v>13</v>
      </c>
      <c r="G171" s="31">
        <f>C171/220*'Valores Vigentes'!$E$11*F171</f>
        <v>168143.18181818182</v>
      </c>
      <c r="H171" s="16">
        <v>1</v>
      </c>
      <c r="I171" s="31">
        <f>C171/220*'Valores Vigentes'!$E$12*H171</f>
        <v>14781.818181818182</v>
      </c>
      <c r="J171" s="31">
        <f>C171/220*'Valores Vigentes'!$E$13*K171</f>
        <v>0</v>
      </c>
      <c r="K171" s="16">
        <v>0</v>
      </c>
      <c r="L171" s="16">
        <v>8</v>
      </c>
      <c r="M171" s="31">
        <f>C171/220*L171*'Valores Vigentes'!$E$14</f>
        <v>79821.818181818191</v>
      </c>
      <c r="N171" s="16">
        <f t="shared" si="4"/>
        <v>33</v>
      </c>
      <c r="O171" s="31">
        <f t="shared" si="5"/>
        <v>358459.09090909088</v>
      </c>
    </row>
    <row r="172" spans="1:15" ht="15.75" customHeight="1" x14ac:dyDescent="0.25">
      <c r="A172" s="17" t="s">
        <v>235</v>
      </c>
      <c r="B172" s="17">
        <v>4</v>
      </c>
      <c r="C172" s="25">
        <f>VLOOKUP(B172,'Tabla Salarios'!$B$3:$D$13,3,0)</f>
        <v>2450000</v>
      </c>
      <c r="D172" s="16">
        <v>18</v>
      </c>
      <c r="E172" s="31">
        <f>C172/220*'Valores Vigentes'!$E$10*D172</f>
        <v>250568.18181818179</v>
      </c>
      <c r="F172" s="16">
        <v>18</v>
      </c>
      <c r="G172" s="31">
        <f>C172/220*'Valores Vigentes'!$E$11*F172</f>
        <v>350795.45454545453</v>
      </c>
      <c r="H172" s="16">
        <v>16</v>
      </c>
      <c r="I172" s="31">
        <f>C172/220*'Valores Vigentes'!$E$12*H172</f>
        <v>356363.63636363635</v>
      </c>
      <c r="J172" s="31">
        <f>C172/220*'Valores Vigentes'!$E$13*K172</f>
        <v>55681.818181818177</v>
      </c>
      <c r="K172" s="16">
        <v>2</v>
      </c>
      <c r="L172" s="16">
        <v>13</v>
      </c>
      <c r="M172" s="31">
        <f>C172/220*L172*'Valores Vigentes'!$E$14</f>
        <v>195443.18181818182</v>
      </c>
      <c r="N172" s="16">
        <f t="shared" si="4"/>
        <v>54</v>
      </c>
      <c r="O172" s="31">
        <f t="shared" si="5"/>
        <v>957727.27272727271</v>
      </c>
    </row>
    <row r="173" spans="1:15" ht="15.75" customHeight="1" x14ac:dyDescent="0.25">
      <c r="A173" s="17" t="s">
        <v>236</v>
      </c>
      <c r="B173" s="17">
        <v>5</v>
      </c>
      <c r="C173" s="25">
        <f>VLOOKUP(B173,'Tabla Salarios'!$B$3:$D$13,3,0)</f>
        <v>2650000</v>
      </c>
      <c r="D173" s="16">
        <v>25</v>
      </c>
      <c r="E173" s="31">
        <f>C173/220*'Valores Vigentes'!$E$10*D173</f>
        <v>376420.45454545453</v>
      </c>
      <c r="F173" s="16">
        <v>29</v>
      </c>
      <c r="G173" s="31">
        <f>C173/220*'Valores Vigentes'!$E$11*F173</f>
        <v>611306.81818181823</v>
      </c>
      <c r="H173" s="16">
        <v>22</v>
      </c>
      <c r="I173" s="31">
        <f>C173/220*'Valores Vigentes'!$E$12*H173</f>
        <v>530000</v>
      </c>
      <c r="J173" s="31">
        <f>C173/220*'Valores Vigentes'!$E$13*K173</f>
        <v>120454.54545454546</v>
      </c>
      <c r="K173" s="16">
        <v>4</v>
      </c>
      <c r="L173" s="16">
        <v>16</v>
      </c>
      <c r="M173" s="31">
        <f>C173/220*L173*'Valores Vigentes'!$E$14</f>
        <v>260181.81818181821</v>
      </c>
      <c r="N173" s="16">
        <f t="shared" si="4"/>
        <v>80</v>
      </c>
      <c r="O173" s="31">
        <f t="shared" si="5"/>
        <v>1517727.2727272727</v>
      </c>
    </row>
    <row r="174" spans="1:15" ht="15.75" customHeight="1" x14ac:dyDescent="0.25">
      <c r="A174" s="29" t="s">
        <v>289</v>
      </c>
      <c r="B174" s="17">
        <v>6</v>
      </c>
      <c r="C174" s="30">
        <v>3500000</v>
      </c>
      <c r="D174" s="16">
        <v>28</v>
      </c>
      <c r="E174" s="31">
        <f>C174/220*'Valores Vigentes'!$E$10*D174</f>
        <v>556818.18181818177</v>
      </c>
      <c r="F174" s="16">
        <v>28</v>
      </c>
      <c r="G174" s="31">
        <f>C174/220*'Valores Vigentes'!$E$11*F174</f>
        <v>779545.45454545459</v>
      </c>
      <c r="H174" s="16">
        <v>6</v>
      </c>
      <c r="I174" s="31">
        <f>C174/220*'Valores Vigentes'!$E$12*H174</f>
        <v>190909.09090909091</v>
      </c>
      <c r="J174" s="31">
        <f>C174/220*'Valores Vigentes'!$E$13*K174</f>
        <v>397727.27272727271</v>
      </c>
      <c r="K174" s="16">
        <v>10</v>
      </c>
      <c r="L174" s="16">
        <v>30</v>
      </c>
      <c r="M174" s="31">
        <f>C174/220*L174*'Valores Vigentes'!$E$14</f>
        <v>644318.18181818188</v>
      </c>
      <c r="N174" s="16">
        <f t="shared" si="4"/>
        <v>72</v>
      </c>
      <c r="O174" s="31">
        <f t="shared" si="5"/>
        <v>1527272.7272727271</v>
      </c>
    </row>
    <row r="175" spans="1:15" ht="15.75" customHeight="1" x14ac:dyDescent="0.25">
      <c r="A175" s="29" t="s">
        <v>290</v>
      </c>
      <c r="B175" s="17">
        <v>7</v>
      </c>
      <c r="C175" s="30">
        <v>3500000</v>
      </c>
      <c r="D175" s="16">
        <v>3</v>
      </c>
      <c r="E175" s="31">
        <f>C175/220*'Valores Vigentes'!$E$10*D175</f>
        <v>59659.090909090912</v>
      </c>
      <c r="F175" s="16">
        <v>0</v>
      </c>
      <c r="G175" s="31">
        <f>C175/220*'Valores Vigentes'!$E$11*F175</f>
        <v>0</v>
      </c>
      <c r="H175" s="16">
        <v>18</v>
      </c>
      <c r="I175" s="31">
        <f>C175/220*'Valores Vigentes'!$E$12*H175</f>
        <v>572727.27272727271</v>
      </c>
      <c r="J175" s="31">
        <f>C175/220*'Valores Vigentes'!$E$13*K175</f>
        <v>517045.45454545453</v>
      </c>
      <c r="K175" s="16">
        <v>13</v>
      </c>
      <c r="L175" s="16">
        <v>4</v>
      </c>
      <c r="M175" s="31">
        <f>C175/220*L175*'Valores Vigentes'!$E$14</f>
        <v>85909.090909090926</v>
      </c>
      <c r="N175" s="16">
        <f t="shared" si="4"/>
        <v>34</v>
      </c>
      <c r="O175" s="31">
        <f t="shared" si="5"/>
        <v>632386.36363636365</v>
      </c>
    </row>
    <row r="176" spans="1:15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1A7-9900-47BA-AEED-AEEC5CBC493F}">
  <dimension ref="A1:C24"/>
  <sheetViews>
    <sheetView workbookViewId="0">
      <selection activeCell="D16" sqref="D16"/>
    </sheetView>
  </sheetViews>
  <sheetFormatPr baseColWidth="10" defaultRowHeight="15" x14ac:dyDescent="0.25"/>
  <cols>
    <col min="1" max="1" width="36.140625" bestFit="1" customWidth="1"/>
    <col min="2" max="2" width="19.140625" bestFit="1" customWidth="1"/>
    <col min="3" max="3" width="23.5703125" bestFit="1" customWidth="1"/>
    <col min="4" max="4" width="7" bestFit="1" customWidth="1"/>
    <col min="5" max="6" width="9.42578125" bestFit="1" customWidth="1"/>
    <col min="7" max="7" width="12" bestFit="1" customWidth="1"/>
    <col min="8" max="8" width="11" bestFit="1" customWidth="1"/>
    <col min="9" max="10" width="12" bestFit="1" customWidth="1"/>
    <col min="11" max="11" width="9.42578125" bestFit="1" customWidth="1"/>
    <col min="12" max="13" width="12" bestFit="1" customWidth="1"/>
    <col min="14" max="14" width="11" bestFit="1" customWidth="1"/>
    <col min="15" max="19" width="12" bestFit="1" customWidth="1"/>
    <col min="20" max="20" width="14" bestFit="1" customWidth="1"/>
    <col min="21" max="21" width="17.85546875" bestFit="1" customWidth="1"/>
    <col min="22" max="22" width="13" bestFit="1" customWidth="1"/>
    <col min="23" max="23" width="18.85546875" bestFit="1" customWidth="1"/>
    <col min="24" max="24" width="13" bestFit="1" customWidth="1"/>
    <col min="25" max="25" width="18.85546875" bestFit="1" customWidth="1"/>
    <col min="26" max="26" width="13" bestFit="1" customWidth="1"/>
    <col min="27" max="27" width="18.85546875" bestFit="1" customWidth="1"/>
    <col min="28" max="28" width="14" bestFit="1" customWidth="1"/>
    <col min="29" max="29" width="19.85546875" bestFit="1" customWidth="1"/>
    <col min="30" max="30" width="14" bestFit="1" customWidth="1"/>
    <col min="31" max="31" width="19.85546875" bestFit="1" customWidth="1"/>
    <col min="32" max="32" width="14" bestFit="1" customWidth="1"/>
    <col min="33" max="33" width="19.85546875" bestFit="1" customWidth="1"/>
    <col min="34" max="34" width="14" bestFit="1" customWidth="1"/>
    <col min="35" max="35" width="19.85546875" bestFit="1" customWidth="1"/>
    <col min="36" max="36" width="14" bestFit="1" customWidth="1"/>
    <col min="37" max="37" width="19.85546875" bestFit="1" customWidth="1"/>
    <col min="38" max="38" width="14" bestFit="1" customWidth="1"/>
  </cols>
  <sheetData>
    <row r="1" spans="1:3" s="15" customFormat="1" x14ac:dyDescent="0.25"/>
    <row r="2" spans="1:3" s="15" customFormat="1" x14ac:dyDescent="0.25"/>
    <row r="3" spans="1:3" s="15" customFormat="1" x14ac:dyDescent="0.25"/>
    <row r="4" spans="1:3" x14ac:dyDescent="0.25">
      <c r="A4" s="49" t="s">
        <v>281</v>
      </c>
      <c r="B4" s="15" t="s">
        <v>304</v>
      </c>
      <c r="C4" s="15" t="s">
        <v>305</v>
      </c>
    </row>
    <row r="5" spans="1:3" x14ac:dyDescent="0.25">
      <c r="A5" s="50" t="s">
        <v>262</v>
      </c>
      <c r="B5" s="51">
        <v>7800413.9166666679</v>
      </c>
      <c r="C5" s="51">
        <v>45616.455653021447</v>
      </c>
    </row>
    <row r="6" spans="1:3" x14ac:dyDescent="0.25">
      <c r="A6" s="50" t="s">
        <v>260</v>
      </c>
      <c r="B6" s="51">
        <v>6607682.25</v>
      </c>
      <c r="C6" s="51">
        <v>38641.416666666664</v>
      </c>
    </row>
    <row r="7" spans="1:3" x14ac:dyDescent="0.25">
      <c r="A7" s="50" t="s">
        <v>261</v>
      </c>
      <c r="B7" s="51">
        <v>6454712.8333333349</v>
      </c>
      <c r="C7" s="51">
        <v>37746.858674463947</v>
      </c>
    </row>
    <row r="8" spans="1:3" x14ac:dyDescent="0.25">
      <c r="A8" s="50" t="s">
        <v>271</v>
      </c>
      <c r="B8" s="51">
        <v>9888975</v>
      </c>
      <c r="C8" s="51">
        <v>57830.26315789474</v>
      </c>
    </row>
    <row r="9" spans="1:3" x14ac:dyDescent="0.25">
      <c r="A9" s="50" t="s">
        <v>257</v>
      </c>
      <c r="B9" s="51">
        <v>4682</v>
      </c>
      <c r="C9" s="51">
        <v>27.380116959064328</v>
      </c>
    </row>
    <row r="10" spans="1:3" x14ac:dyDescent="0.25">
      <c r="A10" s="50" t="s">
        <v>272</v>
      </c>
      <c r="B10" s="51">
        <v>8206245.0122727295</v>
      </c>
      <c r="C10" s="51">
        <v>47989.736913875611</v>
      </c>
    </row>
    <row r="11" spans="1:3" x14ac:dyDescent="0.25">
      <c r="A11" s="50" t="s">
        <v>269</v>
      </c>
      <c r="B11" s="51">
        <v>125000</v>
      </c>
      <c r="C11" s="51">
        <v>730.9941520467836</v>
      </c>
    </row>
    <row r="12" spans="1:3" x14ac:dyDescent="0.25">
      <c r="A12" s="50" t="s">
        <v>265</v>
      </c>
      <c r="B12" s="51">
        <v>1875000</v>
      </c>
      <c r="C12" s="51">
        <v>10964.912280701754</v>
      </c>
    </row>
    <row r="13" spans="1:3" x14ac:dyDescent="0.25">
      <c r="A13" s="50" t="s">
        <v>263</v>
      </c>
      <c r="B13" s="51">
        <v>7778</v>
      </c>
      <c r="C13" s="51">
        <v>45.485380116959064</v>
      </c>
    </row>
    <row r="14" spans="1:3" x14ac:dyDescent="0.25">
      <c r="A14" s="50" t="s">
        <v>268</v>
      </c>
      <c r="B14" s="51">
        <v>22634274.191818189</v>
      </c>
      <c r="C14" s="51">
        <v>132364.17656034027</v>
      </c>
    </row>
    <row r="15" spans="1:3" x14ac:dyDescent="0.25">
      <c r="A15" s="50" t="s">
        <v>270</v>
      </c>
      <c r="B15" s="51">
        <v>4039000</v>
      </c>
      <c r="C15" s="51">
        <v>23619.883040935674</v>
      </c>
    </row>
    <row r="16" spans="1:3" x14ac:dyDescent="0.25">
      <c r="A16" s="50" t="s">
        <v>53</v>
      </c>
      <c r="B16" s="51">
        <v>435978000</v>
      </c>
      <c r="C16" s="51">
        <v>2549578.9473684211</v>
      </c>
    </row>
    <row r="17" spans="1:3" x14ac:dyDescent="0.25">
      <c r="A17" s="50" t="s">
        <v>267</v>
      </c>
      <c r="B17" s="51">
        <v>22634274.191818189</v>
      </c>
      <c r="C17" s="51">
        <v>132364.17656034027</v>
      </c>
    </row>
    <row r="18" spans="1:3" x14ac:dyDescent="0.25">
      <c r="A18" s="50" t="s">
        <v>259</v>
      </c>
      <c r="B18" s="51">
        <v>19206666.666666664</v>
      </c>
      <c r="C18" s="51">
        <v>112319.68810916178</v>
      </c>
    </row>
    <row r="19" spans="1:3" x14ac:dyDescent="0.25">
      <c r="A19" s="50" t="s">
        <v>258</v>
      </c>
      <c r="B19" s="51">
        <v>398106816.66666669</v>
      </c>
      <c r="C19" s="51">
        <v>2328110.0389863551</v>
      </c>
    </row>
    <row r="20" spans="1:3" x14ac:dyDescent="0.25">
      <c r="A20" s="50" t="s">
        <v>274</v>
      </c>
      <c r="B20" s="51">
        <v>520603484.73287868</v>
      </c>
      <c r="C20" s="51">
        <v>3044464.8229992907</v>
      </c>
    </row>
    <row r="21" spans="1:3" x14ac:dyDescent="0.25">
      <c r="A21" s="50" t="s">
        <v>273</v>
      </c>
      <c r="B21" s="51">
        <v>67527768.395909101</v>
      </c>
      <c r="C21" s="51">
        <v>394899.23038543336</v>
      </c>
    </row>
    <row r="22" spans="1:3" x14ac:dyDescent="0.25">
      <c r="A22" s="50" t="s">
        <v>266</v>
      </c>
      <c r="B22" s="51">
        <v>588131253.12878811</v>
      </c>
      <c r="C22" s="51">
        <v>3439364.0533847259</v>
      </c>
    </row>
    <row r="23" spans="1:3" x14ac:dyDescent="0.25">
      <c r="A23" s="50" t="s">
        <v>284</v>
      </c>
      <c r="B23" s="51">
        <v>148079960.79545459</v>
      </c>
      <c r="C23" s="51">
        <v>865964.68301435432</v>
      </c>
    </row>
    <row r="24" spans="1:3" x14ac:dyDescent="0.25">
      <c r="A24" s="50" t="s">
        <v>303</v>
      </c>
      <c r="B24" s="51">
        <v>2267911987.7822728</v>
      </c>
      <c r="C24" s="51">
        <v>698033.85281079507</v>
      </c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000"/>
  <sheetViews>
    <sheetView topLeftCell="A4" workbookViewId="0">
      <selection activeCell="C21" sqref="C21"/>
    </sheetView>
  </sheetViews>
  <sheetFormatPr baseColWidth="10" defaultColWidth="14.42578125" defaultRowHeight="15" customHeight="1" x14ac:dyDescent="0.25"/>
  <cols>
    <col min="1" max="1" width="2.85546875" customWidth="1"/>
    <col min="2" max="2" width="36.140625" customWidth="1"/>
    <col min="3" max="3" width="15.28515625" customWidth="1"/>
    <col min="4" max="4" width="20" customWidth="1"/>
    <col min="5" max="6" width="12" customWidth="1"/>
    <col min="7" max="26" width="10.7109375" customWidth="1"/>
  </cols>
  <sheetData>
    <row r="2" spans="2:4" ht="23.25" x14ac:dyDescent="0.35">
      <c r="B2" s="90" t="s">
        <v>279</v>
      </c>
      <c r="C2" s="90"/>
      <c r="D2" s="90"/>
    </row>
    <row r="3" spans="2:4" ht="21" x14ac:dyDescent="0.35">
      <c r="B3" s="91" t="s">
        <v>280</v>
      </c>
      <c r="C3" s="91"/>
      <c r="D3" s="91"/>
    </row>
    <row r="5" spans="2:4" ht="15.75" x14ac:dyDescent="0.25">
      <c r="B5" s="39" t="s">
        <v>281</v>
      </c>
      <c r="C5" s="39" t="s">
        <v>282</v>
      </c>
      <c r="D5" s="39" t="s">
        <v>283</v>
      </c>
    </row>
    <row r="6" spans="2:4" x14ac:dyDescent="0.25">
      <c r="B6" s="38" t="s">
        <v>53</v>
      </c>
      <c r="C6" s="30">
        <v>435978000</v>
      </c>
      <c r="D6" s="30">
        <v>2549578.9473684211</v>
      </c>
    </row>
    <row r="7" spans="2:4" x14ac:dyDescent="0.25">
      <c r="B7" s="38" t="s">
        <v>257</v>
      </c>
      <c r="C7" s="37">
        <v>4682</v>
      </c>
      <c r="D7" s="52">
        <v>27.380116959064328</v>
      </c>
    </row>
    <row r="8" spans="2:4" x14ac:dyDescent="0.25">
      <c r="B8" s="38" t="s">
        <v>258</v>
      </c>
      <c r="C8" s="30">
        <v>398106816.66666669</v>
      </c>
      <c r="D8" s="30">
        <v>2328110.0389863551</v>
      </c>
    </row>
    <row r="9" spans="2:4" x14ac:dyDescent="0.25">
      <c r="B9" s="38" t="s">
        <v>259</v>
      </c>
      <c r="C9" s="30">
        <v>19206666.666666664</v>
      </c>
      <c r="D9" s="30">
        <v>112319.68810916178</v>
      </c>
    </row>
    <row r="10" spans="2:4" x14ac:dyDescent="0.25">
      <c r="B10" s="38" t="s">
        <v>260</v>
      </c>
      <c r="C10" s="30">
        <v>6607682.25</v>
      </c>
      <c r="D10" s="30">
        <v>38641.416666666664</v>
      </c>
    </row>
    <row r="11" spans="2:4" x14ac:dyDescent="0.25">
      <c r="B11" s="38" t="s">
        <v>261</v>
      </c>
      <c r="C11" s="30">
        <v>6454712.8333333349</v>
      </c>
      <c r="D11" s="30">
        <v>37746.858674463947</v>
      </c>
    </row>
    <row r="12" spans="2:4" x14ac:dyDescent="0.25">
      <c r="B12" s="38" t="s">
        <v>262</v>
      </c>
      <c r="C12" s="30">
        <v>7800413.9166666679</v>
      </c>
      <c r="D12" s="30">
        <v>45616.455653021447</v>
      </c>
    </row>
    <row r="13" spans="2:4" x14ac:dyDescent="0.25">
      <c r="B13" s="38" t="s">
        <v>263</v>
      </c>
      <c r="C13" s="53">
        <v>2600</v>
      </c>
      <c r="D13" s="52">
        <v>15.2046783625731</v>
      </c>
    </row>
    <row r="14" spans="2:4" x14ac:dyDescent="0.25">
      <c r="B14" s="38" t="s">
        <v>284</v>
      </c>
      <c r="C14" s="30">
        <v>75166380.681818217</v>
      </c>
      <c r="D14" s="30">
        <v>439569.47767145158</v>
      </c>
    </row>
    <row r="15" spans="2:4" x14ac:dyDescent="0.25">
      <c r="B15" s="38" t="s">
        <v>265</v>
      </c>
      <c r="C15" s="30">
        <v>1875000</v>
      </c>
      <c r="D15" s="30">
        <v>10964.912280701754</v>
      </c>
    </row>
    <row r="16" spans="2:4" x14ac:dyDescent="0.25">
      <c r="B16" s="38" t="s">
        <v>266</v>
      </c>
      <c r="C16" s="30">
        <v>515217673.01515162</v>
      </c>
      <c r="D16" s="30">
        <v>3012968.8480418222</v>
      </c>
    </row>
    <row r="17" spans="2:4" x14ac:dyDescent="0.25">
      <c r="B17" s="38" t="s">
        <v>267</v>
      </c>
      <c r="C17" s="30">
        <v>19717730.987272725</v>
      </c>
      <c r="D17" s="30">
        <v>115308.36834662412</v>
      </c>
    </row>
    <row r="18" spans="2:4" x14ac:dyDescent="0.25">
      <c r="B18" s="38" t="s">
        <v>268</v>
      </c>
      <c r="C18" s="30">
        <v>19717730.987272725</v>
      </c>
      <c r="D18" s="30">
        <v>115308.36834662412</v>
      </c>
    </row>
    <row r="19" spans="2:4" x14ac:dyDescent="0.25">
      <c r="B19" s="38" t="s">
        <v>269</v>
      </c>
      <c r="C19" s="30">
        <v>125000</v>
      </c>
      <c r="D19" s="30">
        <v>730.9941520467836</v>
      </c>
    </row>
    <row r="20" spans="2:4" x14ac:dyDescent="0.25">
      <c r="B20" s="38" t="s">
        <v>270</v>
      </c>
      <c r="C20" s="30">
        <v>1981000</v>
      </c>
      <c r="D20" s="30">
        <v>11584.795321637426</v>
      </c>
    </row>
    <row r="21" spans="2:4" ht="15.75" customHeight="1" x14ac:dyDescent="0.25">
      <c r="B21" s="38" t="s">
        <v>271</v>
      </c>
      <c r="C21" s="30">
        <v>9888975</v>
      </c>
      <c r="D21" s="30">
        <v>57830.26315789474</v>
      </c>
    </row>
    <row r="22" spans="2:4" ht="15.75" customHeight="1" x14ac:dyDescent="0.25">
      <c r="B22" s="38" t="s">
        <v>272</v>
      </c>
      <c r="C22" s="30">
        <v>7245892.5350000001</v>
      </c>
      <c r="D22" s="30">
        <v>42373.640555555554</v>
      </c>
    </row>
    <row r="23" spans="2:4" ht="15.75" customHeight="1" x14ac:dyDescent="0.25">
      <c r="B23" s="38" t="s">
        <v>273</v>
      </c>
      <c r="C23" s="30">
        <v>58676329.509545468</v>
      </c>
      <c r="D23" s="30">
        <v>343136.42988038284</v>
      </c>
    </row>
    <row r="24" spans="2:4" ht="15.75" customHeight="1" x14ac:dyDescent="0.25">
      <c r="B24" s="38" t="s">
        <v>274</v>
      </c>
      <c r="C24" s="30">
        <v>456541343.50560606</v>
      </c>
      <c r="D24" s="30">
        <v>2669832.4181614388</v>
      </c>
    </row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D2"/>
    <mergeCell ref="B3:D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tabSelected="1" workbookViewId="0">
      <selection sqref="A1:C1"/>
    </sheetView>
  </sheetViews>
  <sheetFormatPr baseColWidth="10" defaultColWidth="14.42578125" defaultRowHeight="15" customHeight="1" x14ac:dyDescent="0.25"/>
  <cols>
    <col min="1" max="1" width="5.28515625" customWidth="1"/>
    <col min="2" max="2" width="33.42578125" bestFit="1" customWidth="1"/>
    <col min="3" max="3" width="20.42578125" customWidth="1"/>
    <col min="4" max="26" width="10.7109375" customWidth="1"/>
  </cols>
  <sheetData>
    <row r="1" spans="1:3" x14ac:dyDescent="0.25">
      <c r="A1" s="92" t="s">
        <v>285</v>
      </c>
      <c r="B1" s="86"/>
      <c r="C1" s="86"/>
    </row>
    <row r="2" spans="1:3" x14ac:dyDescent="0.25">
      <c r="A2" s="41"/>
      <c r="B2" s="42" t="s">
        <v>286</v>
      </c>
      <c r="C2" s="43">
        <f ca="1">TODAY()</f>
        <v>45921</v>
      </c>
    </row>
    <row r="3" spans="1:3" x14ac:dyDescent="0.25">
      <c r="A3" s="92" t="s">
        <v>256</v>
      </c>
      <c r="B3" s="71"/>
      <c r="C3" s="40" t="s">
        <v>33</v>
      </c>
    </row>
    <row r="4" spans="1:3" x14ac:dyDescent="0.25">
      <c r="A4" s="44" t="s">
        <v>287</v>
      </c>
      <c r="B4" s="44" t="s">
        <v>55</v>
      </c>
      <c r="C4" s="45" t="s">
        <v>288</v>
      </c>
    </row>
    <row r="5" spans="1:3" x14ac:dyDescent="0.25">
      <c r="A5" s="46">
        <v>1</v>
      </c>
      <c r="B5" s="41" t="str">
        <f t="shared" ref="B5:B14" si="0">IFERROR(VLOOKUP(CONCATENATE($C$3,A5),NOMINA2,2,0)," ")</f>
        <v>ARIAS MALDONADO MARTHA ISABEL</v>
      </c>
      <c r="C5" s="47">
        <f t="shared" ref="C5:C14" si="1">IFERROR(VLOOKUP(CONCATENATE($C$3,A5),NOMINA2,27,0)," ")</f>
        <v>2653912.88</v>
      </c>
    </row>
    <row r="6" spans="1:3" x14ac:dyDescent="0.25">
      <c r="A6" s="46">
        <v>2</v>
      </c>
      <c r="B6" s="41" t="str">
        <f t="shared" si="0"/>
        <v xml:space="preserve">DIAZ CARDOZO ELIANA </v>
      </c>
      <c r="C6" s="47">
        <f t="shared" si="1"/>
        <v>1402956.8266666667</v>
      </c>
    </row>
    <row r="7" spans="1:3" x14ac:dyDescent="0.25">
      <c r="A7" s="46">
        <v>3</v>
      </c>
      <c r="B7" s="41" t="str">
        <f t="shared" si="0"/>
        <v>CASTELLANOS CORTES LILIANA ALEXANDRA</v>
      </c>
      <c r="C7" s="47">
        <f t="shared" si="1"/>
        <v>2468919.4266666663</v>
      </c>
    </row>
    <row r="8" spans="1:3" x14ac:dyDescent="0.25">
      <c r="A8" s="46">
        <v>4</v>
      </c>
      <c r="B8" s="41" t="str">
        <f t="shared" si="0"/>
        <v>DELGADO RINCON ANA MILENA</v>
      </c>
      <c r="C8" s="47">
        <f t="shared" si="1"/>
        <v>1518162.84</v>
      </c>
    </row>
    <row r="9" spans="1:3" x14ac:dyDescent="0.25">
      <c r="A9" s="46">
        <v>5</v>
      </c>
      <c r="B9" s="41" t="str">
        <f t="shared" si="0"/>
        <v>GARCIA PORRAS EDIL ALIRIO</v>
      </c>
      <c r="C9" s="47">
        <f t="shared" si="1"/>
        <v>2398724.7000000002</v>
      </c>
    </row>
    <row r="10" spans="1:3" x14ac:dyDescent="0.25">
      <c r="A10" s="46">
        <v>6</v>
      </c>
      <c r="B10" s="41" t="str">
        <f t="shared" si="0"/>
        <v>GODOY BARBOSA MAGDA LILIANA</v>
      </c>
      <c r="C10" s="47">
        <f t="shared" si="1"/>
        <v>2653900</v>
      </c>
    </row>
    <row r="11" spans="1:3" x14ac:dyDescent="0.25">
      <c r="A11" s="46">
        <v>7</v>
      </c>
      <c r="B11" s="41" t="str">
        <f t="shared" si="0"/>
        <v>GONZÁLEZ GARCIA SERGIO ANTONIO</v>
      </c>
      <c r="C11" s="47">
        <f t="shared" si="1"/>
        <v>6293774.0333333323</v>
      </c>
    </row>
    <row r="12" spans="1:3" x14ac:dyDescent="0.25">
      <c r="A12" s="46">
        <v>8</v>
      </c>
      <c r="B12" s="41" t="str">
        <f t="shared" si="0"/>
        <v>LAGUNA LAMILLA HARRIS WRANDON</v>
      </c>
      <c r="C12" s="47">
        <f t="shared" si="1"/>
        <v>1414557.2333333334</v>
      </c>
    </row>
    <row r="13" spans="1:3" x14ac:dyDescent="0.25">
      <c r="A13" s="46">
        <v>9</v>
      </c>
      <c r="B13" s="41" t="str">
        <f t="shared" si="0"/>
        <v>LUGO LOZANO YENY CAROLINA</v>
      </c>
      <c r="C13" s="47">
        <f t="shared" si="1"/>
        <v>1364039.55</v>
      </c>
    </row>
    <row r="14" spans="1:3" x14ac:dyDescent="0.25">
      <c r="A14" s="46">
        <v>10</v>
      </c>
      <c r="B14" s="41" t="str">
        <f t="shared" si="0"/>
        <v>MONTOYA SALAZAR ANA MILVIA</v>
      </c>
      <c r="C14" s="47">
        <f t="shared" si="1"/>
        <v>2002487.3666666667</v>
      </c>
    </row>
    <row r="15" spans="1:3" x14ac:dyDescent="0.25">
      <c r="A15" s="11"/>
      <c r="C15" s="10"/>
    </row>
    <row r="16" spans="1:3" x14ac:dyDescent="0.25">
      <c r="A16" s="11"/>
      <c r="C16" s="10"/>
    </row>
    <row r="17" spans="1:3" x14ac:dyDescent="0.25">
      <c r="A17" s="11"/>
      <c r="C17" s="10"/>
    </row>
    <row r="18" spans="1:3" x14ac:dyDescent="0.25">
      <c r="A18" s="11"/>
      <c r="C18" s="10"/>
    </row>
    <row r="19" spans="1:3" x14ac:dyDescent="0.25">
      <c r="A19" s="11"/>
      <c r="C19" s="10"/>
    </row>
    <row r="20" spans="1:3" x14ac:dyDescent="0.25">
      <c r="A20" s="11"/>
      <c r="C20" s="10"/>
    </row>
    <row r="21" spans="1:3" ht="15.75" customHeight="1" x14ac:dyDescent="0.25">
      <c r="A21" s="11"/>
      <c r="C21" s="10"/>
    </row>
    <row r="22" spans="1:3" ht="15.75" customHeight="1" x14ac:dyDescent="0.25">
      <c r="A22" s="12"/>
      <c r="B22" s="13"/>
      <c r="C22" s="14"/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A3:B3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10F2F-3873-4993-8201-6E5881B7673C}">
          <x14:formula1>
            <xm:f>'Tabla Salarios'!$H$3:$H$13</xm:f>
          </x14:formula1>
          <xm:sqref>C3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1000"/>
  <sheetViews>
    <sheetView workbookViewId="0">
      <selection activeCell="C1" sqref="C1"/>
    </sheetView>
  </sheetViews>
  <sheetFormatPr baseColWidth="10" defaultColWidth="14.42578125" defaultRowHeight="15" customHeight="1" x14ac:dyDescent="0.25"/>
  <cols>
    <col min="1" max="1" width="10.7109375" customWidth="1"/>
    <col min="2" max="2" width="23.42578125" bestFit="1" customWidth="1"/>
    <col min="3" max="3" width="33.140625" bestFit="1" customWidth="1"/>
    <col min="4" max="4" width="19.140625" bestFit="1" customWidth="1"/>
    <col min="5" max="5" width="12" bestFit="1" customWidth="1"/>
    <col min="6" max="17" width="10.7109375" customWidth="1"/>
  </cols>
  <sheetData>
    <row r="2" spans="2:5" x14ac:dyDescent="0.25">
      <c r="B2" s="93" t="s">
        <v>301</v>
      </c>
      <c r="C2" s="93"/>
      <c r="D2" s="93"/>
      <c r="E2" s="93"/>
    </row>
    <row r="3" spans="2:5" ht="15" customHeight="1" x14ac:dyDescent="0.25">
      <c r="B3" s="93"/>
      <c r="C3" s="93"/>
      <c r="D3" s="93"/>
      <c r="E3" s="93"/>
    </row>
    <row r="4" spans="2:5" ht="15" customHeight="1" x14ac:dyDescent="0.25">
      <c r="B4" s="95" t="s">
        <v>302</v>
      </c>
      <c r="C4" s="102" t="s">
        <v>133</v>
      </c>
      <c r="D4" s="96" t="s">
        <v>306</v>
      </c>
      <c r="E4" s="96" t="s">
        <v>307</v>
      </c>
    </row>
    <row r="6" spans="2:5" ht="15" customHeight="1" x14ac:dyDescent="0.25">
      <c r="B6" s="97" t="s">
        <v>308</v>
      </c>
      <c r="C6" s="97"/>
      <c r="D6" s="97"/>
      <c r="E6" s="97"/>
    </row>
    <row r="7" spans="2:5" ht="15" customHeight="1" x14ac:dyDescent="0.25">
      <c r="B7" s="97" t="s">
        <v>309</v>
      </c>
      <c r="C7" s="97"/>
      <c r="D7" s="97" t="s">
        <v>310</v>
      </c>
      <c r="E7" s="97"/>
    </row>
    <row r="8" spans="2:5" ht="15" customHeight="1" x14ac:dyDescent="0.25">
      <c r="B8" s="100" t="s">
        <v>311</v>
      </c>
      <c r="C8" s="100" t="s">
        <v>312</v>
      </c>
      <c r="D8" s="100" t="s">
        <v>311</v>
      </c>
      <c r="E8" s="100" t="s">
        <v>312</v>
      </c>
    </row>
    <row r="9" spans="2:5" ht="15" customHeight="1" x14ac:dyDescent="0.25">
      <c r="B9" s="94" t="s">
        <v>57</v>
      </c>
      <c r="C9" s="30">
        <f>VLOOKUP($C$4,NOMINA3,8,0)</f>
        <v>1626000</v>
      </c>
      <c r="D9" s="98" t="s">
        <v>267</v>
      </c>
      <c r="E9" s="30">
        <f>VLOOKUP($C$4,NOMINA3,19,0)</f>
        <v>69548.454545454544</v>
      </c>
    </row>
    <row r="10" spans="2:5" ht="15" customHeight="1" x14ac:dyDescent="0.25">
      <c r="B10" s="94" t="s">
        <v>313</v>
      </c>
      <c r="C10" s="48">
        <f>VLOOKUP($C$4,NOMINA3,9,0)</f>
        <v>25</v>
      </c>
      <c r="D10" s="98" t="s">
        <v>316</v>
      </c>
      <c r="E10" s="30">
        <f>VLOOKUP($C$4,NOMINA3,20,0)</f>
        <v>69548.454545454544</v>
      </c>
    </row>
    <row r="11" spans="2:5" ht="15" customHeight="1" x14ac:dyDescent="0.25">
      <c r="B11" s="94" t="s">
        <v>314</v>
      </c>
      <c r="C11" s="30">
        <f>VLOOKUP($C$4,NOMINA3,10,0)</f>
        <v>1355000</v>
      </c>
      <c r="D11" s="98" t="s">
        <v>273</v>
      </c>
      <c r="E11" s="30">
        <f>VLOOKUP($C$4,NOMINA3,25,0)</f>
        <v>187876.90909090909</v>
      </c>
    </row>
    <row r="12" spans="2:5" ht="15" customHeight="1" x14ac:dyDescent="0.25">
      <c r="B12" s="99" t="s">
        <v>315</v>
      </c>
      <c r="C12" s="103">
        <f>VLOOKUP($C$4,NOMINA3,11,0)</f>
        <v>166666.66666666669</v>
      </c>
    </row>
    <row r="13" spans="2:5" ht="15" customHeight="1" x14ac:dyDescent="0.25">
      <c r="B13" s="100" t="s">
        <v>266</v>
      </c>
      <c r="C13" s="101">
        <f>VLOOKUP($C$4,NOMINA3,18,0)</f>
        <v>1905378.0303030303</v>
      </c>
      <c r="D13" s="100" t="s">
        <v>288</v>
      </c>
      <c r="E13" s="101">
        <f>VLOOKUP($C$4,NOMINA3,26,0)</f>
        <v>1717501.1212121211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D7:E7"/>
    <mergeCell ref="B7:C7"/>
    <mergeCell ref="B6:E6"/>
    <mergeCell ref="B2:E3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158E6B-F86B-4576-8D7B-33C492AFBE07}">
          <x14:formula1>
            <xm:f>NOMINA!$A$15:$A$185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8</vt:i4>
      </vt:variant>
    </vt:vector>
  </HeadingPairs>
  <TitlesOfParts>
    <vt:vector size="18" baseType="lpstr">
      <vt:lpstr>NOMINA (2)</vt:lpstr>
      <vt:lpstr>NOMINA</vt:lpstr>
      <vt:lpstr>Valores Vigentes</vt:lpstr>
      <vt:lpstr>Tabla Salarios</vt:lpstr>
      <vt:lpstr>ReteFuente</vt:lpstr>
      <vt:lpstr>Liquidación Horas Extras</vt:lpstr>
      <vt:lpstr>GRAFICOS</vt:lpstr>
      <vt:lpstr>Resumen Nómina</vt:lpstr>
      <vt:lpstr>Relación Empleados por cargo</vt:lpstr>
      <vt:lpstr>Comprobante Pago</vt:lpstr>
      <vt:lpstr>HORASEXTRAS</vt:lpstr>
      <vt:lpstr>'NOMINA (2)'!nomina</vt:lpstr>
      <vt:lpstr>nomina</vt:lpstr>
      <vt:lpstr>NOMINA1</vt:lpstr>
      <vt:lpstr>NOMINA2</vt:lpstr>
      <vt:lpstr>NOMINA3</vt:lpstr>
      <vt:lpstr>RETEFUENTE</vt:lpstr>
      <vt:lpstr>SALARIOSACTUALES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ALONSO REY</dc:creator>
  <cp:lastModifiedBy>Lenovo</cp:lastModifiedBy>
  <dcterms:created xsi:type="dcterms:W3CDTF">2019-06-02T19:11:50Z</dcterms:created>
  <dcterms:modified xsi:type="dcterms:W3CDTF">2025-09-21T18:08:25Z</dcterms:modified>
</cp:coreProperties>
</file>