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oufuhao/Desktop/"/>
    </mc:Choice>
  </mc:AlternateContent>
  <xr:revisionPtr revIDLastSave="0" documentId="13_ncr:1_{AD9AF8B9-0B7E-5845-BB1E-57DCFC12A524}" xr6:coauthVersionLast="47" xr6:coauthVersionMax="47" xr10:uidLastSave="{00000000-0000-0000-0000-000000000000}"/>
  <bookViews>
    <workbookView xWindow="0" yWindow="500" windowWidth="28800" windowHeight="16320" tabRatio="846" firstSheet="9" activeTab="10" xr2:uid="{00000000-000D-0000-FFFF-FFFF00000000}"/>
  </bookViews>
  <sheets>
    <sheet name="Instructions" sheetId="27" r:id="rId1"/>
    <sheet name="Selling prices" sheetId="22" r:id="rId2"/>
    <sheet name="Sales Demand" sheetId="23" r:id="rId3"/>
    <sheet name="Direct Materials" sheetId="24" r:id="rId4"/>
    <sheet name="Direct Labour" sheetId="25" r:id="rId5"/>
    <sheet name="Other Information" sheetId="26" r:id="rId6"/>
    <sheet name="A - Revenue Budget" sheetId="33" r:id="rId7"/>
    <sheet name="B - DM Budget" sheetId="34" r:id="rId8"/>
    <sheet name="C - DL Budget" sheetId="35" r:id="rId9"/>
    <sheet name="D - VOH" sheetId="36" r:id="rId10"/>
    <sheet name="E - FOH" sheetId="37" r:id="rId11"/>
    <sheet name="F - Selling Admin Exp" sheetId="38" r:id="rId12"/>
    <sheet name="G - Transport Budget" sheetId="39" r:id="rId13"/>
    <sheet name="H - Cash Receipts and Payments" sheetId="40" r:id="rId14"/>
    <sheet name="Cash Budget" sheetId="18" r:id="rId15"/>
    <sheet name="Segment Income Statement" sheetId="16" r:id="rId16"/>
    <sheet name="Balance Sheet" sheetId="31" r:id="rId17"/>
    <sheet name="Cash Flow Statement" sheetId="3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1" l="1"/>
  <c r="B25" i="32"/>
  <c r="C22" i="31"/>
  <c r="C9" i="31"/>
  <c r="C14" i="31" s="1"/>
  <c r="D8" i="31"/>
  <c r="C20" i="31"/>
  <c r="C8" i="31"/>
  <c r="C7" i="31"/>
  <c r="G16" i="16" l="1"/>
  <c r="E16" i="16"/>
  <c r="D16" i="16"/>
  <c r="C16" i="16"/>
  <c r="B16" i="16"/>
  <c r="G15" i="16"/>
  <c r="E15" i="16"/>
  <c r="D15" i="16"/>
  <c r="C15" i="16"/>
  <c r="B15" i="16"/>
  <c r="G13" i="16"/>
  <c r="E13" i="16"/>
  <c r="D13" i="16"/>
  <c r="C13" i="16"/>
  <c r="B13" i="16"/>
  <c r="G12" i="16"/>
  <c r="E12" i="16"/>
  <c r="D12" i="16"/>
  <c r="C12" i="16"/>
  <c r="B12" i="16"/>
  <c r="G11" i="16"/>
  <c r="G10" i="16"/>
  <c r="E10" i="16"/>
  <c r="D10" i="16"/>
  <c r="C10" i="16"/>
  <c r="B10" i="16"/>
  <c r="G9" i="16"/>
  <c r="E9" i="16"/>
  <c r="D9" i="16"/>
  <c r="C9" i="16"/>
  <c r="B9" i="16"/>
  <c r="G8" i="16"/>
  <c r="E8" i="16"/>
  <c r="D8" i="16"/>
  <c r="C8" i="16"/>
  <c r="B8" i="16"/>
  <c r="G6" i="16"/>
  <c r="E6" i="16"/>
  <c r="D6" i="16"/>
  <c r="B6" i="16"/>
  <c r="C6" i="16"/>
  <c r="D20" i="18"/>
  <c r="E20" i="18"/>
  <c r="F20" i="18"/>
  <c r="G20" i="18"/>
  <c r="H20" i="18"/>
  <c r="I20" i="18"/>
  <c r="J20" i="18"/>
  <c r="K20" i="18"/>
  <c r="L20" i="18"/>
  <c r="M20" i="18"/>
  <c r="C20" i="18"/>
  <c r="B20" i="18"/>
  <c r="C13" i="18"/>
  <c r="D13" i="18"/>
  <c r="E13" i="18"/>
  <c r="F13" i="18"/>
  <c r="G13" i="18"/>
  <c r="H13" i="18"/>
  <c r="I13" i="18"/>
  <c r="J13" i="18"/>
  <c r="K13" i="18"/>
  <c r="L13" i="18"/>
  <c r="M13" i="18"/>
  <c r="B13" i="18"/>
  <c r="C12" i="18"/>
  <c r="D12" i="18"/>
  <c r="E12" i="18"/>
  <c r="F12" i="18"/>
  <c r="G12" i="18"/>
  <c r="H12" i="18"/>
  <c r="I12" i="18"/>
  <c r="J12" i="18"/>
  <c r="K12" i="18"/>
  <c r="L12" i="18"/>
  <c r="M12" i="18"/>
  <c r="B12" i="18"/>
  <c r="C11" i="18"/>
  <c r="D11" i="18"/>
  <c r="E11" i="18"/>
  <c r="F11" i="18"/>
  <c r="G11" i="18"/>
  <c r="H11" i="18"/>
  <c r="I11" i="18"/>
  <c r="J11" i="18"/>
  <c r="K11" i="18"/>
  <c r="L11" i="18"/>
  <c r="M11" i="18"/>
  <c r="B11" i="18"/>
  <c r="C10" i="18"/>
  <c r="D10" i="18"/>
  <c r="E10" i="18"/>
  <c r="F10" i="18"/>
  <c r="G10" i="18"/>
  <c r="H10" i="18"/>
  <c r="I10" i="18"/>
  <c r="J10" i="18"/>
  <c r="K10" i="18"/>
  <c r="L10" i="18"/>
  <c r="M10" i="18"/>
  <c r="B10" i="18"/>
  <c r="C9" i="18"/>
  <c r="D9" i="18"/>
  <c r="E9" i="18"/>
  <c r="F9" i="18"/>
  <c r="G9" i="18"/>
  <c r="H9" i="18"/>
  <c r="I9" i="18"/>
  <c r="J9" i="18"/>
  <c r="K9" i="18"/>
  <c r="L9" i="18"/>
  <c r="M9" i="18"/>
  <c r="B9" i="18"/>
  <c r="C6" i="18"/>
  <c r="D6" i="18"/>
  <c r="E6" i="18"/>
  <c r="F6" i="18"/>
  <c r="G6" i="18"/>
  <c r="H6" i="18"/>
  <c r="I6" i="18"/>
  <c r="J6" i="18"/>
  <c r="K6" i="18"/>
  <c r="L6" i="18"/>
  <c r="M6" i="18"/>
  <c r="B6" i="18"/>
  <c r="D32" i="40"/>
  <c r="E32" i="40"/>
  <c r="F32" i="40"/>
  <c r="G32" i="40"/>
  <c r="H32" i="40"/>
  <c r="I32" i="40"/>
  <c r="J32" i="40"/>
  <c r="K32" i="40"/>
  <c r="L32" i="40"/>
  <c r="M32" i="40"/>
  <c r="N32" i="40"/>
  <c r="O32" i="40"/>
  <c r="C32" i="40"/>
  <c r="E31" i="40"/>
  <c r="F31" i="40"/>
  <c r="G31" i="40"/>
  <c r="H31" i="40"/>
  <c r="I31" i="40"/>
  <c r="J31" i="40"/>
  <c r="K31" i="40"/>
  <c r="L31" i="40"/>
  <c r="M31" i="40"/>
  <c r="N31" i="40"/>
  <c r="O31" i="40"/>
  <c r="D31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C26" i="40"/>
  <c r="E25" i="40"/>
  <c r="F25" i="40"/>
  <c r="G25" i="40"/>
  <c r="H25" i="40"/>
  <c r="I25" i="40"/>
  <c r="J25" i="40"/>
  <c r="K25" i="40"/>
  <c r="L25" i="40"/>
  <c r="M25" i="40"/>
  <c r="N25" i="40"/>
  <c r="O25" i="40"/>
  <c r="D25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C20" i="40"/>
  <c r="E19" i="40"/>
  <c r="F19" i="40"/>
  <c r="G19" i="40"/>
  <c r="H19" i="40"/>
  <c r="I19" i="40"/>
  <c r="J19" i="40"/>
  <c r="K19" i="40"/>
  <c r="L19" i="40"/>
  <c r="M19" i="40"/>
  <c r="N19" i="40"/>
  <c r="O19" i="40"/>
  <c r="D19" i="40"/>
  <c r="O14" i="40"/>
  <c r="O13" i="40"/>
  <c r="O8" i="40"/>
  <c r="O7" i="40"/>
  <c r="D14" i="40"/>
  <c r="E14" i="40"/>
  <c r="F14" i="40"/>
  <c r="G14" i="40"/>
  <c r="H14" i="40"/>
  <c r="I14" i="40"/>
  <c r="J14" i="40"/>
  <c r="K14" i="40"/>
  <c r="L14" i="40"/>
  <c r="M14" i="40"/>
  <c r="N14" i="40"/>
  <c r="F13" i="40"/>
  <c r="G13" i="40"/>
  <c r="H13" i="40"/>
  <c r="I13" i="40"/>
  <c r="J13" i="40"/>
  <c r="K13" i="40"/>
  <c r="L13" i="40"/>
  <c r="M13" i="40"/>
  <c r="N13" i="40"/>
  <c r="F12" i="40"/>
  <c r="G12" i="40"/>
  <c r="H12" i="40"/>
  <c r="I12" i="40"/>
  <c r="J12" i="40"/>
  <c r="K12" i="40"/>
  <c r="L12" i="40"/>
  <c r="M12" i="40"/>
  <c r="N12" i="40"/>
  <c r="E13" i="40"/>
  <c r="E12" i="40"/>
  <c r="D13" i="40"/>
  <c r="D12" i="40"/>
  <c r="C14" i="40"/>
  <c r="C12" i="40"/>
  <c r="D8" i="40"/>
  <c r="E8" i="40"/>
  <c r="F8" i="40"/>
  <c r="G8" i="40"/>
  <c r="H8" i="40"/>
  <c r="I8" i="40"/>
  <c r="J8" i="40"/>
  <c r="K8" i="40"/>
  <c r="L8" i="40"/>
  <c r="M8" i="40"/>
  <c r="N8" i="40"/>
  <c r="C8" i="40"/>
  <c r="F7" i="40"/>
  <c r="G7" i="40"/>
  <c r="H7" i="40"/>
  <c r="I7" i="40"/>
  <c r="J7" i="40"/>
  <c r="K7" i="40"/>
  <c r="L7" i="40"/>
  <c r="M7" i="40"/>
  <c r="N7" i="40"/>
  <c r="F6" i="40"/>
  <c r="G6" i="40"/>
  <c r="H6" i="40"/>
  <c r="I6" i="40"/>
  <c r="J6" i="40"/>
  <c r="K6" i="40"/>
  <c r="L6" i="40"/>
  <c r="M6" i="40"/>
  <c r="N6" i="40"/>
  <c r="E7" i="40"/>
  <c r="E6" i="40"/>
  <c r="D7" i="40"/>
  <c r="D6" i="40"/>
  <c r="C7" i="40"/>
  <c r="C6" i="40"/>
  <c r="N11" i="39" l="1"/>
  <c r="C11" i="39"/>
  <c r="D11" i="39"/>
  <c r="E11" i="39"/>
  <c r="F11" i="39"/>
  <c r="G11" i="39"/>
  <c r="H11" i="39"/>
  <c r="I11" i="39"/>
  <c r="J11" i="39"/>
  <c r="K11" i="39"/>
  <c r="L11" i="39"/>
  <c r="M11" i="39"/>
  <c r="B11" i="39"/>
  <c r="N8" i="39"/>
  <c r="N9" i="39"/>
  <c r="N10" i="39"/>
  <c r="N7" i="39"/>
  <c r="C10" i="39"/>
  <c r="D10" i="39"/>
  <c r="E10" i="39"/>
  <c r="F10" i="39"/>
  <c r="G10" i="39"/>
  <c r="H10" i="39"/>
  <c r="I10" i="39"/>
  <c r="J10" i="39"/>
  <c r="K10" i="39"/>
  <c r="L10" i="39"/>
  <c r="M10" i="39"/>
  <c r="B10" i="39"/>
  <c r="C9" i="39"/>
  <c r="D9" i="39"/>
  <c r="E9" i="39"/>
  <c r="F9" i="39"/>
  <c r="G9" i="39"/>
  <c r="H9" i="39"/>
  <c r="I9" i="39"/>
  <c r="J9" i="39"/>
  <c r="K9" i="39"/>
  <c r="L9" i="39"/>
  <c r="M9" i="39"/>
  <c r="B9" i="39"/>
  <c r="C8" i="39"/>
  <c r="D8" i="39"/>
  <c r="E8" i="39"/>
  <c r="F8" i="39"/>
  <c r="G8" i="39"/>
  <c r="H8" i="39"/>
  <c r="I8" i="39"/>
  <c r="J8" i="39"/>
  <c r="K8" i="39"/>
  <c r="L8" i="39"/>
  <c r="M8" i="39"/>
  <c r="B8" i="39"/>
  <c r="C7" i="39"/>
  <c r="D7" i="39"/>
  <c r="E7" i="39"/>
  <c r="F7" i="39"/>
  <c r="G7" i="39"/>
  <c r="H7" i="39"/>
  <c r="I7" i="39"/>
  <c r="J7" i="39"/>
  <c r="K7" i="39"/>
  <c r="L7" i="39"/>
  <c r="M7" i="39"/>
  <c r="B7" i="39"/>
  <c r="B4" i="39"/>
  <c r="P28" i="38"/>
  <c r="E28" i="38"/>
  <c r="F28" i="38"/>
  <c r="G28" i="38"/>
  <c r="H28" i="38"/>
  <c r="I28" i="38"/>
  <c r="J28" i="38"/>
  <c r="K28" i="38"/>
  <c r="L28" i="38"/>
  <c r="M28" i="38"/>
  <c r="N28" i="38"/>
  <c r="O28" i="38"/>
  <c r="D28" i="38"/>
  <c r="B28" i="38"/>
  <c r="C20" i="38"/>
  <c r="D20" i="38" s="1"/>
  <c r="C21" i="38"/>
  <c r="D21" i="38" s="1"/>
  <c r="C22" i="38"/>
  <c r="D22" i="38" s="1"/>
  <c r="C23" i="38"/>
  <c r="D23" i="38" s="1"/>
  <c r="C19" i="38"/>
  <c r="D19" i="38" s="1"/>
  <c r="D17" i="38"/>
  <c r="C17" i="38" s="1"/>
  <c r="D18" i="38"/>
  <c r="C18" i="38" s="1"/>
  <c r="D16" i="38"/>
  <c r="D24" i="38" s="1"/>
  <c r="C6" i="38"/>
  <c r="D6" i="38" s="1"/>
  <c r="C7" i="38"/>
  <c r="D7" i="38" s="1"/>
  <c r="C8" i="38"/>
  <c r="D8" i="38" s="1"/>
  <c r="C9" i="38"/>
  <c r="D9" i="38" s="1"/>
  <c r="C10" i="38"/>
  <c r="D10" i="38" s="1"/>
  <c r="C11" i="38"/>
  <c r="D11" i="38" s="1"/>
  <c r="C12" i="38"/>
  <c r="D12" i="38" s="1"/>
  <c r="C5" i="38"/>
  <c r="C13" i="38" s="1"/>
  <c r="F17" i="16" s="1"/>
  <c r="G17" i="16" s="1"/>
  <c r="C8" i="37"/>
  <c r="C6" i="37"/>
  <c r="C9" i="37" s="1"/>
  <c r="C5" i="37"/>
  <c r="C19" i="37" s="1"/>
  <c r="C10" i="36"/>
  <c r="D10" i="36"/>
  <c r="E10" i="36"/>
  <c r="F10" i="36"/>
  <c r="G10" i="36"/>
  <c r="H10" i="36"/>
  <c r="I10" i="36"/>
  <c r="J10" i="36"/>
  <c r="K10" i="36"/>
  <c r="L10" i="36"/>
  <c r="M10" i="36"/>
  <c r="B10" i="36"/>
  <c r="C9" i="36"/>
  <c r="D9" i="36"/>
  <c r="E9" i="36"/>
  <c r="F9" i="36"/>
  <c r="G9" i="36"/>
  <c r="H9" i="36"/>
  <c r="I9" i="36"/>
  <c r="J9" i="36"/>
  <c r="K9" i="36"/>
  <c r="L9" i="36"/>
  <c r="M9" i="36"/>
  <c r="B9" i="36"/>
  <c r="N9" i="36" s="1"/>
  <c r="C8" i="36"/>
  <c r="D8" i="36"/>
  <c r="E8" i="36"/>
  <c r="F8" i="36"/>
  <c r="G8" i="36"/>
  <c r="H8" i="36"/>
  <c r="I8" i="36"/>
  <c r="J8" i="36"/>
  <c r="K8" i="36"/>
  <c r="L8" i="36"/>
  <c r="M8" i="36"/>
  <c r="B8" i="36"/>
  <c r="N8" i="36" s="1"/>
  <c r="C7" i="36"/>
  <c r="D7" i="36"/>
  <c r="E7" i="36"/>
  <c r="F7" i="36"/>
  <c r="G7" i="36"/>
  <c r="H7" i="36"/>
  <c r="I7" i="36"/>
  <c r="J7" i="36"/>
  <c r="K7" i="36"/>
  <c r="L7" i="36"/>
  <c r="M7" i="36"/>
  <c r="B7" i="36"/>
  <c r="C11" i="36"/>
  <c r="D11" i="36"/>
  <c r="E11" i="36"/>
  <c r="F11" i="36"/>
  <c r="G11" i="36"/>
  <c r="H11" i="36"/>
  <c r="I11" i="36"/>
  <c r="J11" i="36"/>
  <c r="K11" i="36"/>
  <c r="L11" i="36"/>
  <c r="M11" i="36"/>
  <c r="B11" i="36"/>
  <c r="N7" i="36"/>
  <c r="Q9" i="34"/>
  <c r="Q6" i="34"/>
  <c r="Q7" i="34"/>
  <c r="Q8" i="34"/>
  <c r="Q5" i="34"/>
  <c r="F9" i="34"/>
  <c r="G9" i="34"/>
  <c r="H9" i="34"/>
  <c r="I9" i="34"/>
  <c r="J9" i="34"/>
  <c r="K9" i="34"/>
  <c r="L9" i="34"/>
  <c r="M9" i="34"/>
  <c r="N9" i="34"/>
  <c r="O9" i="34"/>
  <c r="P9" i="34"/>
  <c r="E9" i="34"/>
  <c r="F8" i="34"/>
  <c r="G8" i="34"/>
  <c r="H8" i="34"/>
  <c r="I8" i="34"/>
  <c r="J8" i="34"/>
  <c r="K8" i="34"/>
  <c r="L8" i="34"/>
  <c r="M8" i="34"/>
  <c r="N8" i="34"/>
  <c r="O8" i="34"/>
  <c r="P8" i="34"/>
  <c r="E8" i="34"/>
  <c r="F7" i="34"/>
  <c r="G7" i="34"/>
  <c r="H7" i="34"/>
  <c r="I7" i="34"/>
  <c r="J7" i="34"/>
  <c r="K7" i="34"/>
  <c r="L7" i="34"/>
  <c r="M7" i="34"/>
  <c r="N7" i="34"/>
  <c r="O7" i="34"/>
  <c r="P7" i="34"/>
  <c r="E7" i="34"/>
  <c r="F6" i="34"/>
  <c r="G6" i="34"/>
  <c r="H6" i="34"/>
  <c r="I6" i="34"/>
  <c r="J6" i="34"/>
  <c r="K6" i="34"/>
  <c r="L6" i="34"/>
  <c r="M6" i="34"/>
  <c r="N6" i="34"/>
  <c r="O6" i="34"/>
  <c r="P6" i="34"/>
  <c r="E6" i="34"/>
  <c r="F5" i="34"/>
  <c r="G5" i="34"/>
  <c r="H5" i="34"/>
  <c r="I5" i="34"/>
  <c r="J5" i="34"/>
  <c r="K5" i="34"/>
  <c r="L5" i="34"/>
  <c r="M5" i="34"/>
  <c r="N5" i="34"/>
  <c r="O5" i="34"/>
  <c r="P5" i="34"/>
  <c r="E5" i="34"/>
  <c r="O19" i="35"/>
  <c r="O16" i="35"/>
  <c r="O17" i="35"/>
  <c r="O18" i="35"/>
  <c r="O15" i="35"/>
  <c r="D19" i="35"/>
  <c r="E19" i="35"/>
  <c r="F19" i="35"/>
  <c r="G19" i="35"/>
  <c r="H19" i="35"/>
  <c r="I19" i="35"/>
  <c r="J19" i="35"/>
  <c r="K19" i="35"/>
  <c r="L19" i="35"/>
  <c r="M19" i="35"/>
  <c r="N19" i="35"/>
  <c r="C19" i="35"/>
  <c r="D18" i="35"/>
  <c r="E18" i="35"/>
  <c r="F18" i="35"/>
  <c r="G18" i="35"/>
  <c r="H18" i="35"/>
  <c r="I18" i="35"/>
  <c r="J18" i="35"/>
  <c r="K18" i="35"/>
  <c r="L18" i="35"/>
  <c r="M18" i="35"/>
  <c r="N18" i="35"/>
  <c r="C18" i="35"/>
  <c r="D17" i="35"/>
  <c r="E17" i="35"/>
  <c r="F17" i="35"/>
  <c r="G17" i="35"/>
  <c r="H17" i="35"/>
  <c r="I17" i="35"/>
  <c r="J17" i="35"/>
  <c r="K17" i="35"/>
  <c r="L17" i="35"/>
  <c r="M17" i="35"/>
  <c r="N17" i="35"/>
  <c r="C17" i="35"/>
  <c r="D16" i="35"/>
  <c r="E16" i="35"/>
  <c r="F16" i="35"/>
  <c r="G16" i="35"/>
  <c r="H16" i="35"/>
  <c r="I16" i="35"/>
  <c r="J16" i="35"/>
  <c r="K16" i="35"/>
  <c r="L16" i="35"/>
  <c r="M16" i="35"/>
  <c r="N16" i="35"/>
  <c r="C16" i="35"/>
  <c r="D15" i="35"/>
  <c r="E15" i="35"/>
  <c r="F15" i="35"/>
  <c r="G15" i="35"/>
  <c r="H15" i="35"/>
  <c r="I15" i="35"/>
  <c r="J15" i="35"/>
  <c r="K15" i="35"/>
  <c r="L15" i="35"/>
  <c r="M15" i="35"/>
  <c r="N15" i="35"/>
  <c r="C15" i="35"/>
  <c r="R10" i="35"/>
  <c r="R7" i="35"/>
  <c r="R8" i="35"/>
  <c r="R9" i="35"/>
  <c r="R6" i="35"/>
  <c r="G10" i="35"/>
  <c r="H10" i="35"/>
  <c r="I10" i="35"/>
  <c r="J10" i="35"/>
  <c r="K10" i="35"/>
  <c r="L10" i="35"/>
  <c r="M10" i="35"/>
  <c r="N10" i="35"/>
  <c r="O10" i="35"/>
  <c r="P10" i="35"/>
  <c r="Q10" i="35"/>
  <c r="F10" i="35"/>
  <c r="G9" i="35"/>
  <c r="H9" i="35"/>
  <c r="I9" i="35"/>
  <c r="J9" i="35"/>
  <c r="K9" i="35"/>
  <c r="L9" i="35"/>
  <c r="M9" i="35"/>
  <c r="N9" i="35"/>
  <c r="O9" i="35"/>
  <c r="P9" i="35"/>
  <c r="Q9" i="35"/>
  <c r="F9" i="35"/>
  <c r="G8" i="35"/>
  <c r="H8" i="35"/>
  <c r="I8" i="35"/>
  <c r="J8" i="35"/>
  <c r="K8" i="35"/>
  <c r="L8" i="35"/>
  <c r="M8" i="35"/>
  <c r="N8" i="35"/>
  <c r="O8" i="35"/>
  <c r="P8" i="35"/>
  <c r="Q8" i="35"/>
  <c r="F8" i="35"/>
  <c r="G7" i="35"/>
  <c r="H7" i="35"/>
  <c r="I7" i="35"/>
  <c r="J7" i="35"/>
  <c r="K7" i="35"/>
  <c r="L7" i="35"/>
  <c r="M7" i="35"/>
  <c r="N7" i="35"/>
  <c r="O7" i="35"/>
  <c r="P7" i="35"/>
  <c r="Q7" i="35"/>
  <c r="F7" i="35"/>
  <c r="I6" i="35"/>
  <c r="J6" i="35"/>
  <c r="K6" i="35"/>
  <c r="L6" i="35"/>
  <c r="M6" i="35"/>
  <c r="N6" i="35"/>
  <c r="O6" i="35"/>
  <c r="P6" i="35"/>
  <c r="Q6" i="35"/>
  <c r="G6" i="35"/>
  <c r="H6" i="35"/>
  <c r="F6" i="35"/>
  <c r="E7" i="35"/>
  <c r="E8" i="35"/>
  <c r="E9" i="35"/>
  <c r="E6" i="35"/>
  <c r="D7" i="35"/>
  <c r="D8" i="35"/>
  <c r="D9" i="35"/>
  <c r="D6" i="35"/>
  <c r="B9" i="35"/>
  <c r="B8" i="35"/>
  <c r="B7" i="35"/>
  <c r="B6" i="35"/>
  <c r="D7" i="34"/>
  <c r="D8" i="34"/>
  <c r="B8" i="34"/>
  <c r="B7" i="34"/>
  <c r="D6" i="34"/>
  <c r="B6" i="34"/>
  <c r="D5" i="34"/>
  <c r="B5" i="34"/>
  <c r="D9" i="33"/>
  <c r="E9" i="33"/>
  <c r="F9" i="33"/>
  <c r="G9" i="33"/>
  <c r="H9" i="33"/>
  <c r="I9" i="33"/>
  <c r="J9" i="33"/>
  <c r="K9" i="33"/>
  <c r="L9" i="33"/>
  <c r="M9" i="33"/>
  <c r="N9" i="33"/>
  <c r="O9" i="33"/>
  <c r="C9" i="33"/>
  <c r="O8" i="33"/>
  <c r="O7" i="33"/>
  <c r="O6" i="33"/>
  <c r="D8" i="33"/>
  <c r="E8" i="33"/>
  <c r="F8" i="33"/>
  <c r="G8" i="33"/>
  <c r="H8" i="33"/>
  <c r="I8" i="33"/>
  <c r="J8" i="33"/>
  <c r="K8" i="33"/>
  <c r="L8" i="33"/>
  <c r="M8" i="33"/>
  <c r="N8" i="33"/>
  <c r="C8" i="33"/>
  <c r="D7" i="33"/>
  <c r="E7" i="33"/>
  <c r="F7" i="33"/>
  <c r="G7" i="33"/>
  <c r="H7" i="33"/>
  <c r="I7" i="33"/>
  <c r="J7" i="33"/>
  <c r="K7" i="33"/>
  <c r="L7" i="33"/>
  <c r="M7" i="33"/>
  <c r="N7" i="33"/>
  <c r="C7" i="33"/>
  <c r="D6" i="33"/>
  <c r="E6" i="33"/>
  <c r="F6" i="33"/>
  <c r="G6" i="33"/>
  <c r="H6" i="33"/>
  <c r="I6" i="33"/>
  <c r="J6" i="33"/>
  <c r="K6" i="33"/>
  <c r="L6" i="33"/>
  <c r="M6" i="33"/>
  <c r="N6" i="33"/>
  <c r="C6" i="33"/>
  <c r="O5" i="33"/>
  <c r="G5" i="33"/>
  <c r="H5" i="33"/>
  <c r="I5" i="33"/>
  <c r="J5" i="33"/>
  <c r="K5" i="33"/>
  <c r="L5" i="33"/>
  <c r="M5" i="33"/>
  <c r="N5" i="33"/>
  <c r="F5" i="33"/>
  <c r="E5" i="33"/>
  <c r="D5" i="33"/>
  <c r="C16" i="18" l="1"/>
  <c r="G16" i="18"/>
  <c r="K16" i="18"/>
  <c r="D16" i="18"/>
  <c r="H16" i="18"/>
  <c r="L16" i="18"/>
  <c r="M16" i="18"/>
  <c r="E16" i="18"/>
  <c r="F16" i="18"/>
  <c r="J16" i="18"/>
  <c r="B16" i="18"/>
  <c r="I16" i="18"/>
  <c r="E25" i="37"/>
  <c r="I25" i="37"/>
  <c r="M25" i="37"/>
  <c r="E24" i="37"/>
  <c r="I24" i="37"/>
  <c r="M24" i="37"/>
  <c r="E23" i="37"/>
  <c r="I23" i="37"/>
  <c r="M23" i="37"/>
  <c r="E22" i="37"/>
  <c r="I22" i="37"/>
  <c r="I26" i="37" s="1"/>
  <c r="M22" i="37"/>
  <c r="M26" i="37" s="1"/>
  <c r="F25" i="37"/>
  <c r="J25" i="37"/>
  <c r="B25" i="37"/>
  <c r="F24" i="37"/>
  <c r="J24" i="37"/>
  <c r="B24" i="37"/>
  <c r="F23" i="37"/>
  <c r="J23" i="37"/>
  <c r="B23" i="37"/>
  <c r="F22" i="37"/>
  <c r="J22" i="37"/>
  <c r="J26" i="37" s="1"/>
  <c r="B22" i="37"/>
  <c r="C25" i="37"/>
  <c r="G25" i="37"/>
  <c r="K25" i="37"/>
  <c r="C24" i="37"/>
  <c r="G24" i="37"/>
  <c r="K24" i="37"/>
  <c r="C23" i="37"/>
  <c r="G23" i="37"/>
  <c r="K23" i="37"/>
  <c r="C22" i="37"/>
  <c r="G22" i="37"/>
  <c r="G26" i="37" s="1"/>
  <c r="K22" i="37"/>
  <c r="K26" i="37" s="1"/>
  <c r="D25" i="37"/>
  <c r="H25" i="37"/>
  <c r="L25" i="37"/>
  <c r="D24" i="37"/>
  <c r="H24" i="37"/>
  <c r="L24" i="37"/>
  <c r="D23" i="37"/>
  <c r="H23" i="37"/>
  <c r="L23" i="37"/>
  <c r="D22" i="37"/>
  <c r="H22" i="37"/>
  <c r="H26" i="37" s="1"/>
  <c r="L22" i="37"/>
  <c r="L26" i="37" s="1"/>
  <c r="C15" i="37"/>
  <c r="G15" i="37"/>
  <c r="K15" i="37"/>
  <c r="C14" i="37"/>
  <c r="G14" i="37"/>
  <c r="K14" i="37"/>
  <c r="C13" i="37"/>
  <c r="G13" i="37"/>
  <c r="K13" i="37"/>
  <c r="C12" i="37"/>
  <c r="G12" i="37"/>
  <c r="G16" i="37" s="1"/>
  <c r="G14" i="18" s="1"/>
  <c r="K12" i="37"/>
  <c r="K16" i="37" s="1"/>
  <c r="K14" i="18" s="1"/>
  <c r="D15" i="37"/>
  <c r="H15" i="37"/>
  <c r="L15" i="37"/>
  <c r="D14" i="37"/>
  <c r="H14" i="37"/>
  <c r="L14" i="37"/>
  <c r="D13" i="37"/>
  <c r="H13" i="37"/>
  <c r="L13" i="37"/>
  <c r="D12" i="37"/>
  <c r="H12" i="37"/>
  <c r="H16" i="37" s="1"/>
  <c r="H14" i="18" s="1"/>
  <c r="L12" i="37"/>
  <c r="L16" i="37" s="1"/>
  <c r="L14" i="18" s="1"/>
  <c r="E15" i="37"/>
  <c r="I15" i="37"/>
  <c r="M15" i="37"/>
  <c r="E14" i="37"/>
  <c r="I14" i="37"/>
  <c r="M14" i="37"/>
  <c r="E13" i="37"/>
  <c r="I13" i="37"/>
  <c r="M13" i="37"/>
  <c r="E12" i="37"/>
  <c r="I12" i="37"/>
  <c r="I16" i="37" s="1"/>
  <c r="I14" i="18" s="1"/>
  <c r="M12" i="37"/>
  <c r="M16" i="37" s="1"/>
  <c r="M14" i="18" s="1"/>
  <c r="F15" i="37"/>
  <c r="J15" i="37"/>
  <c r="B15" i="37"/>
  <c r="N15" i="37" s="1"/>
  <c r="F14" i="37"/>
  <c r="J14" i="37"/>
  <c r="B14" i="37"/>
  <c r="F13" i="37"/>
  <c r="J13" i="37"/>
  <c r="B13" i="37"/>
  <c r="F12" i="37"/>
  <c r="J12" i="37"/>
  <c r="B12" i="37"/>
  <c r="D5" i="38"/>
  <c r="D13" i="38" s="1"/>
  <c r="C16" i="38"/>
  <c r="C24" i="38" s="1"/>
  <c r="F18" i="16" s="1"/>
  <c r="G18" i="16" s="1"/>
  <c r="G19" i="16" s="1"/>
  <c r="N10" i="36"/>
  <c r="N11" i="36" s="1"/>
  <c r="G20" i="16" l="1"/>
  <c r="G21" i="16" s="1"/>
  <c r="N25" i="37"/>
  <c r="B33" i="37" s="1"/>
  <c r="F16" i="37"/>
  <c r="F14" i="18" s="1"/>
  <c r="N14" i="37"/>
  <c r="E16" i="37"/>
  <c r="E14" i="18" s="1"/>
  <c r="D16" i="37"/>
  <c r="D14" i="18" s="1"/>
  <c r="C16" i="37"/>
  <c r="C14" i="18" s="1"/>
  <c r="C18" i="18" s="1"/>
  <c r="C21" i="18" s="1"/>
  <c r="D26" i="37"/>
  <c r="C26" i="37"/>
  <c r="F26" i="37"/>
  <c r="N24" i="37"/>
  <c r="E26" i="37"/>
  <c r="J16" i="37"/>
  <c r="J14" i="18" s="1"/>
  <c r="J18" i="18" s="1"/>
  <c r="J21" i="18" s="1"/>
  <c r="C15" i="18"/>
  <c r="G15" i="18"/>
  <c r="G18" i="18" s="1"/>
  <c r="G21" i="18" s="1"/>
  <c r="K15" i="18"/>
  <c r="H15" i="18"/>
  <c r="H18" i="18" s="1"/>
  <c r="H21" i="18" s="1"/>
  <c r="D15" i="18"/>
  <c r="L15" i="18"/>
  <c r="I15" i="18"/>
  <c r="I18" i="18" s="1"/>
  <c r="I21" i="18" s="1"/>
  <c r="M15" i="18"/>
  <c r="M18" i="18" s="1"/>
  <c r="M21" i="18" s="1"/>
  <c r="F15" i="18"/>
  <c r="J15" i="18"/>
  <c r="B15" i="18"/>
  <c r="E15" i="18"/>
  <c r="N13" i="37"/>
  <c r="N23" i="37"/>
  <c r="B16" i="37"/>
  <c r="N12" i="37"/>
  <c r="B30" i="37" s="1"/>
  <c r="L18" i="18"/>
  <c r="L21" i="18" s="1"/>
  <c r="K18" i="18"/>
  <c r="K21" i="18" s="1"/>
  <c r="B26" i="37"/>
  <c r="N22" i="37"/>
  <c r="C24" i="31"/>
  <c r="D18" i="26"/>
  <c r="D21" i="26"/>
  <c r="N4" i="23"/>
  <c r="N5" i="23"/>
  <c r="N6" i="23"/>
  <c r="N7" i="23"/>
  <c r="B12" i="23"/>
  <c r="G5" i="24"/>
  <c r="G6" i="24"/>
  <c r="G7" i="24"/>
  <c r="G8" i="24"/>
  <c r="G9" i="24"/>
  <c r="G13" i="24"/>
  <c r="G14" i="24"/>
  <c r="G15" i="24"/>
  <c r="G16" i="24"/>
  <c r="G17" i="24"/>
  <c r="G21" i="24"/>
  <c r="G22" i="24"/>
  <c r="G23" i="24"/>
  <c r="G24" i="24"/>
  <c r="G25" i="24"/>
  <c r="G29" i="24"/>
  <c r="G30" i="24"/>
  <c r="G31" i="24"/>
  <c r="G32" i="24"/>
  <c r="G33" i="24"/>
  <c r="M8" i="23"/>
  <c r="L8" i="23"/>
  <c r="K8" i="23"/>
  <c r="J8" i="23"/>
  <c r="I8" i="23"/>
  <c r="H8" i="23"/>
  <c r="G8" i="23"/>
  <c r="F8" i="23"/>
  <c r="E8" i="23"/>
  <c r="D8" i="23"/>
  <c r="C8" i="23"/>
  <c r="B8" i="23"/>
  <c r="B8" i="32" l="1"/>
  <c r="B13" i="32" s="1"/>
  <c r="B24" i="32" s="1"/>
  <c r="B26" i="32" s="1"/>
  <c r="D21" i="31"/>
  <c r="D22" i="31" s="1"/>
  <c r="F18" i="18"/>
  <c r="F21" i="18" s="1"/>
  <c r="N26" i="37"/>
  <c r="B31" i="37"/>
  <c r="D18" i="18"/>
  <c r="D21" i="18" s="1"/>
  <c r="E18" i="18"/>
  <c r="E21" i="18" s="1"/>
  <c r="B14" i="18"/>
  <c r="B18" i="18" s="1"/>
  <c r="B21" i="18" s="1"/>
  <c r="N16" i="37"/>
  <c r="B32" i="37"/>
  <c r="B34" i="37" s="1"/>
  <c r="G34" i="24"/>
  <c r="G26" i="24"/>
  <c r="G18" i="24"/>
  <c r="N8" i="23"/>
  <c r="B10" i="23" s="1"/>
  <c r="B13" i="23" s="1"/>
  <c r="G10" i="24"/>
  <c r="D6" i="31" l="1"/>
  <c r="D9" i="31" s="1"/>
  <c r="D14" i="31" s="1"/>
  <c r="D24" i="31" s="1"/>
</calcChain>
</file>

<file path=xl/sharedStrings.xml><?xml version="1.0" encoding="utf-8"?>
<sst xmlns="http://schemas.openxmlformats.org/spreadsheetml/2006/main" count="592" uniqueCount="243">
  <si>
    <t>Total</t>
  </si>
  <si>
    <t>grams</t>
  </si>
  <si>
    <t>at</t>
  </si>
  <si>
    <t>per kilogram</t>
  </si>
  <si>
    <t>Product</t>
  </si>
  <si>
    <t>Water</t>
  </si>
  <si>
    <t>Yeast</t>
  </si>
  <si>
    <t>DM cost/bottle of beer</t>
  </si>
  <si>
    <t>bottle</t>
  </si>
  <si>
    <t>per bottle</t>
  </si>
  <si>
    <t>per litre</t>
  </si>
  <si>
    <t>mL</t>
  </si>
  <si>
    <t>minutes</t>
  </si>
  <si>
    <t>Category</t>
  </si>
  <si>
    <t>President and CEO</t>
  </si>
  <si>
    <t>CFO</t>
  </si>
  <si>
    <t>COO</t>
  </si>
  <si>
    <t>Director, IT</t>
  </si>
  <si>
    <t>Revenue</t>
  </si>
  <si>
    <t>Transport</t>
  </si>
  <si>
    <t>Cash Inflows</t>
  </si>
  <si>
    <t>Variable overhead</t>
  </si>
  <si>
    <t>Excess (shortfall) in cash</t>
  </si>
  <si>
    <t>Bottle/cap/label</t>
  </si>
  <si>
    <t>Telephone</t>
  </si>
  <si>
    <t>Insurance (non-plant)</t>
  </si>
  <si>
    <t>Utilities (non-plant)</t>
  </si>
  <si>
    <t>Commissions</t>
  </si>
  <si>
    <t>Direct Labour per bottle</t>
  </si>
  <si>
    <t>*Despite 355ml of beer in a bottle, more water is required for direct input due to evaporation.</t>
  </si>
  <si>
    <t>Role</t>
  </si>
  <si>
    <t>• Other administrative expenses include (monthly cash expenses):</t>
  </si>
  <si>
    <t>per month</t>
  </si>
  <si>
    <t>per year *</t>
  </si>
  <si>
    <t>* Paid evenly over 12 months</t>
  </si>
  <si>
    <t>Cash Budget</t>
  </si>
  <si>
    <t>Direct materials</t>
  </si>
  <si>
    <t>Direct labour</t>
  </si>
  <si>
    <t>Fixed overhead</t>
  </si>
  <si>
    <t>* Cash from sales is collected 50% in the month the sale occurs and 50% in the following month.</t>
  </si>
  <si>
    <t>• Administrative salaries are provided below:</t>
  </si>
  <si>
    <t>Office</t>
  </si>
  <si>
    <t>Administrative salaries</t>
  </si>
  <si>
    <t>Litres per bottle</t>
  </si>
  <si>
    <t>Total litres produced</t>
  </si>
  <si>
    <t>Brewmaster</t>
  </si>
  <si>
    <t>Barley malt (hops)</t>
  </si>
  <si>
    <t>Wheat grain</t>
  </si>
  <si>
    <t>Plant manager</t>
  </si>
  <si>
    <t>Production supervisors</t>
  </si>
  <si>
    <t>Maintenance/repairs</t>
  </si>
  <si>
    <t>Equipment amortization</t>
  </si>
  <si>
    <t>Property taxes - plant</t>
  </si>
  <si>
    <t>Plant/Building amortization</t>
  </si>
  <si>
    <t>Insurance - plant</t>
  </si>
  <si>
    <t>Lease on photocopiers</t>
  </si>
  <si>
    <t>Lease on office furniture</t>
  </si>
  <si>
    <t>Property taxes (non-plant)</t>
  </si>
  <si>
    <t>Professional fees</t>
  </si>
  <si>
    <t>Marketing and advertising</t>
  </si>
  <si>
    <t>Office admin</t>
  </si>
  <si>
    <t>Annual salary (all inclusive)</t>
  </si>
  <si>
    <t>Admin salaries</t>
  </si>
  <si>
    <t>HR generalist</t>
  </si>
  <si>
    <t>Office administrator</t>
  </si>
  <si>
    <t>Marketing coordinator</t>
  </si>
  <si>
    <t>VP sales and marketing</t>
  </si>
  <si>
    <t>Cash receipts</t>
  </si>
  <si>
    <t>Cash outflows</t>
  </si>
  <si>
    <t>Cash beginning of month</t>
  </si>
  <si>
    <t>Cash end of month</t>
  </si>
  <si>
    <t>Earnings before taxes</t>
  </si>
  <si>
    <t>Requirements:</t>
  </si>
  <si>
    <t xml:space="preserve">Segmented income statements </t>
  </si>
  <si>
    <t>Direct Material (DM) Cost Breakdown per Bottle of Beer</t>
  </si>
  <si>
    <t>Other information related to the budget</t>
  </si>
  <si>
    <t>Sunset Pale Ale</t>
  </si>
  <si>
    <t>Net Income</t>
  </si>
  <si>
    <t>Income tax expense</t>
  </si>
  <si>
    <t>Premium Ale</t>
  </si>
  <si>
    <t>Black Swan Lager</t>
  </si>
  <si>
    <t>Three Lion Lager</t>
  </si>
  <si>
    <t>Fixed Overhead Costs</t>
  </si>
  <si>
    <t>Annual Costs</t>
  </si>
  <si>
    <t>Corporate balance sheet</t>
  </si>
  <si>
    <t xml:space="preserve">Cash budget </t>
  </si>
  <si>
    <t>Assets</t>
  </si>
  <si>
    <t>Cash</t>
  </si>
  <si>
    <t>Inventories</t>
  </si>
  <si>
    <t>Accounts Receivable</t>
  </si>
  <si>
    <t>Total Current Assets</t>
  </si>
  <si>
    <t>Land</t>
  </si>
  <si>
    <t>Total Assets</t>
  </si>
  <si>
    <t>Accounts Payable</t>
  </si>
  <si>
    <t>Common Shares</t>
  </si>
  <si>
    <t>Total Liabilities and Shareholders' equity</t>
  </si>
  <si>
    <t>Liabilities</t>
  </si>
  <si>
    <t>Shareholders' equity</t>
  </si>
  <si>
    <t>Actual</t>
  </si>
  <si>
    <t>Forecast</t>
  </si>
  <si>
    <t>Retained Earnings</t>
  </si>
  <si>
    <t>Tax Payable</t>
  </si>
  <si>
    <t>* Opening cash balance is $1.2 million.</t>
  </si>
  <si>
    <t>Expected Selling Prices</t>
  </si>
  <si>
    <t>Direct Labour per Bottle of Beer (in minutes)</t>
  </si>
  <si>
    <t>• Administrative salaries are paid in the month incurred.</t>
  </si>
  <si>
    <t>• Direct labour costs are paid 100% in the month they are incurred.</t>
  </si>
  <si>
    <t xml:space="preserve"> • Fixed overhead cost includes the following and are allocated based on direct labour hours.</t>
  </si>
  <si>
    <t>Price
(per case)</t>
  </si>
  <si>
    <t>• Each case contains a total of 24 bottles of beer</t>
  </si>
  <si>
    <t>Expected Sales Demand (in cases)</t>
  </si>
  <si>
    <t>Total Cases</t>
  </si>
  <si>
    <t>Bottles per case</t>
  </si>
  <si>
    <t>Cost of Goods Sold</t>
  </si>
  <si>
    <t>Unallocated Fixed Costs</t>
  </si>
  <si>
    <t>Transportation Expense</t>
  </si>
  <si>
    <t>Direct Materials</t>
  </si>
  <si>
    <t>Direct Labour</t>
  </si>
  <si>
    <t>VOH Costs</t>
  </si>
  <si>
    <t>FOH Costs</t>
  </si>
  <si>
    <t>Administrative Salaries</t>
  </si>
  <si>
    <t>Balance check</t>
  </si>
  <si>
    <t>Dividend</t>
  </si>
  <si>
    <t>• A dividend of $50,000 will be paid out in cash in December</t>
  </si>
  <si>
    <t>Indirect Statement of Cash Flows</t>
  </si>
  <si>
    <t>Cash Flows from Operating Activities</t>
  </si>
  <si>
    <t>Increase in accounts receivable</t>
  </si>
  <si>
    <t>Cash Flows from Investing Activities</t>
  </si>
  <si>
    <t>Cash Flows from Financing Activities</t>
  </si>
  <si>
    <t>Net increase in cash</t>
  </si>
  <si>
    <t>Cash at the beginning of the year</t>
  </si>
  <si>
    <t>Cash at the end of the year</t>
  </si>
  <si>
    <t>Increase in accounts payable</t>
  </si>
  <si>
    <t>Increase in tax payable</t>
  </si>
  <si>
    <t>Add: depreciation expense</t>
  </si>
  <si>
    <t>Net cash provided by operating activities</t>
  </si>
  <si>
    <t>Payment of cash dividends</t>
  </si>
  <si>
    <t>Net cash provided by financing activities</t>
  </si>
  <si>
    <t>Net cash provided by investing activities</t>
  </si>
  <si>
    <t>Selling and Administrative Expense</t>
  </si>
  <si>
    <t>Office Expense</t>
  </si>
  <si>
    <t>Direct Material Budget</t>
  </si>
  <si>
    <t>Revenue Budget</t>
  </si>
  <si>
    <t>Variable Overhead Budget</t>
  </si>
  <si>
    <t>Transport Budget</t>
  </si>
  <si>
    <r>
      <t>2. Use the above component budgets to complete the financial budgets (</t>
    </r>
    <r>
      <rPr>
        <b/>
        <sz val="10"/>
        <color theme="7"/>
        <rFont val="Arial"/>
        <family val="2"/>
      </rPr>
      <t>Purple</t>
    </r>
    <r>
      <rPr>
        <sz val="10"/>
        <color theme="1"/>
        <rFont val="Arial"/>
        <family val="2"/>
      </rPr>
      <t xml:space="preserve"> tabs):</t>
    </r>
  </si>
  <si>
    <t>• The wage rate for production employees is $14.00 per hour, all inclusive (i.e.,  vacation pay, EI premiums, etc.)</t>
  </si>
  <si>
    <t>Budgeted Income Statement</t>
  </si>
  <si>
    <t>Budgeted Balance Sheet</t>
  </si>
  <si>
    <t>Budgeted Cash Flows</t>
  </si>
  <si>
    <t>Fixed Overhead Budget</t>
  </si>
  <si>
    <t>A</t>
  </si>
  <si>
    <t>B</t>
  </si>
  <si>
    <t>C</t>
  </si>
  <si>
    <t>D</t>
  </si>
  <si>
    <t>Direct Labour Budget</t>
  </si>
  <si>
    <t>E</t>
  </si>
  <si>
    <t>F</t>
  </si>
  <si>
    <t>G</t>
  </si>
  <si>
    <t>The green tabs are the budget information provided by the firm to prepare the budget.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</si>
  <si>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</si>
  <si>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</si>
  <si>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</si>
  <si>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</si>
  <si>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</si>
  <si>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</si>
  <si>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</si>
  <si>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</si>
  <si>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</si>
  <si>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</si>
  <si>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</si>
  <si>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</si>
  <si>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* Account Receivable has a balance of $899,528 at the end of 2019</t>
  </si>
  <si>
    <t>• Not including the costs below, variable overhead costs (including plant utilities) are allocated at $5.00 per direct labour hour.  These costs are paid 100% in the month after incurring the expense. Variable overhead costs were $75,365 for December 2019.</t>
  </si>
  <si>
    <t>• Direct material purchases are paid for 40% in the month of purchase and 60% in the month after purchase. In December 2019, the total purchase amount is $1,032,695.</t>
  </si>
  <si>
    <t>• The income tax rate is 30%.  Any tax liability will be paid for in full in February 2021. There are no previous tax liabilities.</t>
  </si>
  <si>
    <t>• Sales commissions are 1.25% of gross sales and transport costs are $1.05 per case.  These costs are paid 100% in the month after incurring the expense. Commission in December 2019 was $22,488.20, and transport in December 2019 was $76,890.</t>
  </si>
  <si>
    <t>Schedule A - Revenue Budget</t>
  </si>
  <si>
    <t>Selling price</t>
  </si>
  <si>
    <t>Schedule B - Direct Materials (DM) Budget</t>
  </si>
  <si>
    <t>DM Cost per Bottle</t>
  </si>
  <si>
    <t>Bottles per Case</t>
  </si>
  <si>
    <t>DM Cost per Case</t>
  </si>
  <si>
    <t>Total DM cost</t>
  </si>
  <si>
    <t>Schedule C - Direct Labour (DL) Hours and Direct Labour Cost Budgets</t>
  </si>
  <si>
    <t>Min per bottle</t>
  </si>
  <si>
    <t>Min per case</t>
  </si>
  <si>
    <t>Hours per case</t>
  </si>
  <si>
    <t>Total DL hours</t>
  </si>
  <si>
    <t>Hourly rate</t>
  </si>
  <si>
    <t>Total DL cost</t>
  </si>
  <si>
    <t>Schedule D - Variable Overhead (VOH) Cost Budget</t>
  </si>
  <si>
    <t>VOH Cost per direct labour hour</t>
  </si>
  <si>
    <t>Total VOH costs</t>
  </si>
  <si>
    <t>Total FOH</t>
  </si>
  <si>
    <t>Non-cash FOH</t>
  </si>
  <si>
    <t>Cash FOH</t>
  </si>
  <si>
    <t>Total direct labour hour</t>
  </si>
  <si>
    <t>Cash FOH per direct labour hour</t>
  </si>
  <si>
    <t>Total Cash FOH</t>
  </si>
  <si>
    <t>Non-cash FOH per direct labour hour</t>
  </si>
  <si>
    <t>Total Non-cash FOH</t>
  </si>
  <si>
    <t>Total Annual FOH by Product</t>
  </si>
  <si>
    <t>Schedule F - Selling and Administrative Expenses Budget</t>
  </si>
  <si>
    <t>Admin Salaries</t>
  </si>
  <si>
    <t>Annual Cost</t>
  </si>
  <si>
    <t>Monthly Cost</t>
  </si>
  <si>
    <t>Total admin salaries</t>
  </si>
  <si>
    <t>Monthly</t>
  </si>
  <si>
    <t>Total office admin</t>
  </si>
  <si>
    <t>Commission rate</t>
  </si>
  <si>
    <t>Total commission</t>
  </si>
  <si>
    <t>Sales commissions</t>
  </si>
  <si>
    <t>Schedule G - Transport Cost Budget</t>
  </si>
  <si>
    <t>Transport cost per case</t>
  </si>
  <si>
    <t>Total Transport Costs</t>
  </si>
  <si>
    <t>Schedule H - Cash Receipts and Payments Budget</t>
  </si>
  <si>
    <t>Allocation %</t>
  </si>
  <si>
    <t>Cash current month</t>
  </si>
  <si>
    <t>Cash previous month</t>
  </si>
  <si>
    <t>Total cash collected</t>
  </si>
  <si>
    <t>DM purchases</t>
  </si>
  <si>
    <t>Total cash payments</t>
  </si>
  <si>
    <t>VOH costs</t>
  </si>
  <si>
    <t>2020 Total Hours Required</t>
  </si>
  <si>
    <t>2020 Total Direct Labour Cost</t>
  </si>
  <si>
    <t>Selling Admin Budget</t>
  </si>
  <si>
    <t>H</t>
  </si>
  <si>
    <t>Cash Receipts and Payments</t>
  </si>
  <si>
    <t>Gross Margin %</t>
  </si>
  <si>
    <t>• Inventory at the end of 2019 was $205,000, and the company plans to sell everything they make during the year and maitain an inventory of $205,000 at end of 2020.</t>
  </si>
  <si>
    <t>Property, Plant and Equipment (net)</t>
  </si>
  <si>
    <t>• Land has a ending balance of $600,000 at the end of 2019 and there is no plan to sell or buy more.</t>
  </si>
  <si>
    <t>• Property, plant and equipment had a net ending balance of $2,300,000 at the end of 2019.</t>
  </si>
  <si>
    <t>• To start the business, the owner invested $3.6 million of his personal funds in the company for common shares, while three other shareholders invested $200,000 each in common shares. There are no planned change to common shares in 2020.</t>
  </si>
  <si>
    <t>• The retained earning at the end of 2019 was $210,167.8</t>
  </si>
  <si>
    <t>* Account Payable has a balance of $794,360 at the end of 2019</t>
  </si>
  <si>
    <r>
      <t xml:space="preserve">1. Use the information in the </t>
    </r>
    <r>
      <rPr>
        <b/>
        <sz val="10"/>
        <color theme="6"/>
        <rFont val="Arial"/>
        <family val="2"/>
      </rPr>
      <t>green</t>
    </r>
    <r>
      <rPr>
        <sz val="10"/>
        <color theme="1"/>
        <rFont val="Arial"/>
        <family val="2"/>
      </rPr>
      <t xml:space="preserve"> tabs to complete the following component budget schedules </t>
    </r>
    <r>
      <rPr>
        <sz val="10"/>
        <color theme="9"/>
        <rFont val="Arial"/>
        <family val="2"/>
      </rPr>
      <t>(</t>
    </r>
    <r>
      <rPr>
        <b/>
        <sz val="10"/>
        <color theme="9"/>
        <rFont val="Arial"/>
        <family val="2"/>
      </rPr>
      <t>Orange</t>
    </r>
    <r>
      <rPr>
        <sz val="10"/>
        <color theme="1"/>
        <rFont val="Arial"/>
        <family val="2"/>
      </rPr>
      <t xml:space="preserve"> tabs):</t>
    </r>
  </si>
  <si>
    <t>Input fields are coloured, please enter your answers in these fields only</t>
  </si>
  <si>
    <t>Jan 2021</t>
  </si>
  <si>
    <t>Schedule E - Fixed Overhead (FOH) Cost Budget</t>
  </si>
  <si>
    <t>Budget Assignment Instructions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</si>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</sst>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.00_);_(* \(#,##0.00\);_(* &quot;-&quot;_);_(@_)"/>
    <numFmt numFmtId="167" formatCode="_(* #,##0.000_);_(* \(#,##0.000\);_(* &quot;-&quot;_);_(@_)"/>
    <numFmt numFmtId="168" formatCode="_(* #,##0.00000_);_(* \(#,##0.00000\);_(* &quot;-&quot;_);_(@_)"/>
    <numFmt numFmtId="169" formatCode="_(&quot;$&quot;* #,##0.00000_);_(&quot;$&quot;* \(#,##0.00000\);_(&quot;$&quot;* &quot;-&quot;?????_);_(@_)"/>
    <numFmt numFmtId="170" formatCode="_-&quot;$&quot;* #,##0_-;\-&quot;$&quot;* #,##0_-;_-&quot;$&quot;* &quot;-&quot;??_-;_-@_-"/>
    <numFmt numFmtId="171" formatCode="_-* #,##0_-;\-* #,##0_-;_-* &quot;-&quot;??_-;_-@_-"/>
    <numFmt numFmtId="172" formatCode="&quot;$&quot;#,##0.00"/>
    <numFmt numFmtId="173" formatCode="0.0%"/>
    <numFmt numFmtId="174" formatCode="_(&quot;$&quot;* #,##0_);_(&quot;$&quot;* \(#,##0\);_(&quot;$&quot;* &quot;-&quot;??_);_(@_)"/>
    <numFmt numFmtId="175" formatCode="_(* #,##0.0000_);_(* \(#,##0.0000\);_(* &quot;-&quot;????_);_(@_)"/>
    <numFmt numFmtId="176" formatCode="_(* #,##0.0000_);_(* \(#,##0.0000\);_(* &quot;-&quot;_);_(@_)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 tint="-0.149998474074526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sz val="10"/>
      <color theme="6"/>
      <name val="Arial"/>
      <family val="2"/>
    </font>
    <font>
      <b/>
      <sz val="10"/>
      <color theme="7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sz val="10"/>
      <color theme="9"/>
      <name val="Arial"/>
      <family val="2"/>
    </font>
    <font>
      <b/>
      <sz val="10"/>
      <color theme="9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7">
    <xf numFmtId="0" fontId="0" fillId="0" borderId="0" xfId="0"/>
    <xf numFmtId="41" fontId="0" fillId="0" borderId="1" xfId="1" applyNumberFormat="1" applyFont="1" applyBorder="1"/>
    <xf numFmtId="41" fontId="0" fillId="0" borderId="0" xfId="1" applyNumberFormat="1" applyFont="1" applyBorder="1"/>
    <xf numFmtId="41" fontId="0" fillId="0" borderId="0" xfId="3" applyNumberFormat="1" applyFont="1" applyBorder="1"/>
    <xf numFmtId="42" fontId="0" fillId="0" borderId="0" xfId="0" applyNumberFormat="1"/>
    <xf numFmtId="41" fontId="0" fillId="0" borderId="0" xfId="0" applyNumberFormat="1"/>
    <xf numFmtId="41" fontId="0" fillId="0" borderId="1" xfId="0" applyNumberFormat="1" applyBorder="1"/>
    <xf numFmtId="41" fontId="0" fillId="0" borderId="1" xfId="0" applyNumberFormat="1" applyBorder="1" applyAlignment="1">
      <alignment horizontal="center"/>
    </xf>
    <xf numFmtId="41" fontId="5" fillId="0" borderId="0" xfId="0" applyNumberFormat="1" applyFont="1"/>
    <xf numFmtId="167" fontId="0" fillId="0" borderId="1" xfId="0" applyNumberFormat="1" applyBorder="1"/>
    <xf numFmtId="41" fontId="0" fillId="0" borderId="1" xfId="0" quotePrefix="1" applyNumberFormat="1" applyBorder="1" applyAlignment="1">
      <alignment horizontal="center"/>
    </xf>
    <xf numFmtId="41" fontId="4" fillId="0" borderId="0" xfId="0" applyNumberFormat="1" applyFont="1"/>
    <xf numFmtId="41" fontId="0" fillId="0" borderId="0" xfId="0" applyNumberFormat="1" applyAlignment="1">
      <alignment horizontal="left" vertical="center"/>
    </xf>
    <xf numFmtId="41" fontId="0" fillId="0" borderId="2" xfId="0" applyNumberFormat="1" applyBorder="1"/>
    <xf numFmtId="41" fontId="1" fillId="0" borderId="0" xfId="1" applyNumberFormat="1" applyFont="1"/>
    <xf numFmtId="41" fontId="0" fillId="0" borderId="0" xfId="1" applyNumberFormat="1" applyFont="1"/>
    <xf numFmtId="41" fontId="0" fillId="0" borderId="0" xfId="2" applyNumberFormat="1" applyFont="1"/>
    <xf numFmtId="41" fontId="2" fillId="0" borderId="0" xfId="0" applyNumberFormat="1" applyFont="1"/>
    <xf numFmtId="41" fontId="1" fillId="0" borderId="0" xfId="1" applyNumberFormat="1" applyFont="1" applyAlignment="1">
      <alignment horizontal="center"/>
    </xf>
    <xf numFmtId="41" fontId="0" fillId="0" borderId="0" xfId="0" applyNumberFormat="1" applyAlignment="1">
      <alignment horizontal="right"/>
    </xf>
    <xf numFmtId="41" fontId="1" fillId="0" borderId="0" xfId="1" applyNumberFormat="1" applyFont="1" applyBorder="1"/>
    <xf numFmtId="166" fontId="0" fillId="0" borderId="0" xfId="0" applyNumberFormat="1"/>
    <xf numFmtId="168" fontId="1" fillId="0" borderId="0" xfId="1" applyNumberFormat="1" applyFont="1"/>
    <xf numFmtId="168" fontId="1" fillId="0" borderId="1" xfId="1" applyNumberFormat="1" applyFont="1" applyBorder="1"/>
    <xf numFmtId="168" fontId="1" fillId="0" borderId="0" xfId="1" applyNumberFormat="1" applyFont="1" applyBorder="1"/>
    <xf numFmtId="168" fontId="1" fillId="0" borderId="0" xfId="1" applyNumberFormat="1" applyFont="1" applyBorder="1" applyAlignment="1">
      <alignment horizontal="center"/>
    </xf>
    <xf numFmtId="169" fontId="1" fillId="0" borderId="0" xfId="1" applyNumberFormat="1" applyFont="1"/>
    <xf numFmtId="169" fontId="1" fillId="0" borderId="2" xfId="1" applyNumberFormat="1" applyFont="1" applyBorder="1"/>
    <xf numFmtId="41" fontId="0" fillId="0" borderId="0" xfId="1" applyNumberFormat="1" applyFont="1" applyFill="1" applyBorder="1"/>
    <xf numFmtId="166" fontId="0" fillId="0" borderId="0" xfId="1" applyNumberFormat="1" applyFont="1" applyFill="1" applyBorder="1"/>
    <xf numFmtId="41" fontId="0" fillId="0" borderId="1" xfId="4" applyNumberFormat="1" applyFont="1" applyFill="1" applyBorder="1" applyAlignment="1">
      <alignment horizontal="center"/>
    </xf>
    <xf numFmtId="41" fontId="0" fillId="0" borderId="0" xfId="3" applyNumberFormat="1" applyFont="1" applyFill="1"/>
    <xf numFmtId="41" fontId="0" fillId="0" borderId="0" xfId="5" applyNumberFormat="1" applyFont="1" applyFill="1" applyBorder="1"/>
    <xf numFmtId="42" fontId="0" fillId="0" borderId="0" xfId="3" applyNumberFormat="1" applyFont="1" applyFill="1"/>
    <xf numFmtId="42" fontId="0" fillId="0" borderId="2" xfId="5" applyNumberFormat="1" applyFont="1" applyFill="1" applyBorder="1"/>
    <xf numFmtId="42" fontId="0" fillId="0" borderId="0" xfId="1" applyNumberFormat="1" applyFont="1" applyFill="1"/>
    <xf numFmtId="41" fontId="0" fillId="0" borderId="0" xfId="0" applyNumberFormat="1" applyAlignment="1">
      <alignment horizontal="center"/>
    </xf>
    <xf numFmtId="41" fontId="0" fillId="0" borderId="2" xfId="1" applyNumberFormat="1" applyFont="1" applyBorder="1"/>
    <xf numFmtId="41" fontId="3" fillId="0" borderId="0" xfId="0" applyNumberFormat="1" applyFont="1"/>
    <xf numFmtId="41" fontId="0" fillId="0" borderId="1" xfId="0" applyNumberFormat="1" applyBorder="1" applyAlignment="1">
      <alignment horizontal="center" vertical="center"/>
    </xf>
    <xf numFmtId="41" fontId="0" fillId="0" borderId="0" xfId="2" applyNumberFormat="1" applyFont="1" applyBorder="1"/>
    <xf numFmtId="41" fontId="0" fillId="0" borderId="1" xfId="0" applyNumberFormat="1" applyBorder="1" applyAlignment="1">
      <alignment horizontal="left"/>
    </xf>
    <xf numFmtId="0" fontId="9" fillId="0" borderId="0" xfId="0" applyFont="1"/>
    <xf numFmtId="41" fontId="10" fillId="0" borderId="0" xfId="0" applyNumberFormat="1" applyFont="1" applyAlignment="1">
      <alignment vertical="center"/>
    </xf>
    <xf numFmtId="41" fontId="10" fillId="0" borderId="0" xfId="0" applyNumberFormat="1" applyFont="1"/>
    <xf numFmtId="0" fontId="11" fillId="0" borderId="0" xfId="0" applyFont="1"/>
    <xf numFmtId="0" fontId="2" fillId="0" borderId="0" xfId="0" applyFont="1"/>
    <xf numFmtId="0" fontId="0" fillId="0" borderId="1" xfId="0" applyBorder="1"/>
    <xf numFmtId="41" fontId="0" fillId="0" borderId="0" xfId="0" applyNumberFormat="1" applyAlignment="1">
      <alignment horizontal="left" indent="2"/>
    </xf>
    <xf numFmtId="0" fontId="3" fillId="0" borderId="0" xfId="0" applyFont="1"/>
    <xf numFmtId="0" fontId="0" fillId="0" borderId="2" xfId="0" applyBorder="1"/>
    <xf numFmtId="170" fontId="0" fillId="0" borderId="0" xfId="3" applyNumberFormat="1" applyFont="1"/>
    <xf numFmtId="0" fontId="0" fillId="0" borderId="0" xfId="0" applyAlignment="1">
      <alignment horizontal="center"/>
    </xf>
    <xf numFmtId="41" fontId="0" fillId="0" borderId="2" xfId="0" applyNumberFormat="1" applyBorder="1" applyAlignment="1">
      <alignment horizontal="left"/>
    </xf>
    <xf numFmtId="41" fontId="3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41" fontId="0" fillId="0" borderId="0" xfId="0" applyNumberFormat="1" applyAlignment="1">
      <alignment horizontal="left"/>
    </xf>
    <xf numFmtId="172" fontId="0" fillId="0" borderId="0" xfId="3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wrapText="1"/>
    </xf>
    <xf numFmtId="41" fontId="0" fillId="0" borderId="1" xfId="0" applyNumberFormat="1" applyBorder="1" applyAlignment="1">
      <alignment horizontal="center" vertical="center" wrapText="1"/>
    </xf>
    <xf numFmtId="170" fontId="14" fillId="0" borderId="0" xfId="3" applyNumberFormat="1" applyFont="1"/>
    <xf numFmtId="0" fontId="14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3" fillId="0" borderId="0" xfId="0" applyFont="1" applyAlignment="1">
      <alignment horizontal="left"/>
    </xf>
    <xf numFmtId="41" fontId="0" fillId="0" borderId="0" xfId="0" applyNumberFormat="1" applyAlignment="1">
      <alignment horizontal="left" indent="1"/>
    </xf>
    <xf numFmtId="41" fontId="0" fillId="0" borderId="0" xfId="0" applyNumberFormat="1" applyAlignment="1">
      <alignment horizontal="center" wrapText="1"/>
    </xf>
    <xf numFmtId="42" fontId="0" fillId="0" borderId="0" xfId="3" applyNumberFormat="1" applyFont="1" applyFill="1" applyBorder="1"/>
    <xf numFmtId="41" fontId="0" fillId="0" borderId="0" xfId="3" applyNumberFormat="1" applyFont="1" applyFill="1" applyBorder="1"/>
    <xf numFmtId="41" fontId="0" fillId="0" borderId="1" xfId="1" applyNumberFormat="1" applyFont="1" applyFill="1" applyBorder="1"/>
    <xf numFmtId="173" fontId="0" fillId="0" borderId="0" xfId="2" applyNumberFormat="1" applyFont="1" applyFill="1" applyBorder="1"/>
    <xf numFmtId="170" fontId="0" fillId="0" borderId="0" xfId="3" applyNumberFormat="1" applyFont="1" applyFill="1"/>
    <xf numFmtId="170" fontId="14" fillId="0" borderId="0" xfId="3" applyNumberFormat="1" applyFont="1" applyFill="1"/>
    <xf numFmtId="170" fontId="0" fillId="0" borderId="0" xfId="3" applyNumberFormat="1" applyFont="1" applyFill="1" applyBorder="1"/>
    <xf numFmtId="170" fontId="3" fillId="0" borderId="0" xfId="3" applyNumberFormat="1" applyFont="1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right"/>
    </xf>
    <xf numFmtId="41" fontId="0" fillId="0" borderId="1" xfId="0" quotePrefix="1" applyNumberFormat="1" applyBorder="1" applyAlignment="1">
      <alignment horizontal="right"/>
    </xf>
    <xf numFmtId="165" fontId="0" fillId="0" borderId="0" xfId="1" applyFont="1" applyFill="1" applyBorder="1"/>
    <xf numFmtId="41" fontId="4" fillId="0" borderId="0" xfId="0" applyNumberFormat="1" applyFont="1" applyAlignment="1">
      <alignment horizontal="center"/>
    </xf>
    <xf numFmtId="41" fontId="1" fillId="0" borderId="1" xfId="3" applyNumberFormat="1" applyFont="1" applyBorder="1" applyAlignment="1">
      <alignment horizontal="center"/>
    </xf>
    <xf numFmtId="42" fontId="0" fillId="0" borderId="0" xfId="1" applyNumberFormat="1" applyFont="1" applyFill="1" applyBorder="1"/>
    <xf numFmtId="41" fontId="4" fillId="0" borderId="0" xfId="0" applyNumberFormat="1" applyFont="1" applyAlignment="1">
      <alignment horizontal="left" vertical="center"/>
    </xf>
    <xf numFmtId="41" fontId="0" fillId="0" borderId="1" xfId="3" applyNumberFormat="1" applyFont="1" applyBorder="1" applyAlignment="1">
      <alignment horizontal="center" wrapText="1"/>
    </xf>
    <xf numFmtId="41" fontId="1" fillId="0" borderId="0" xfId="1" applyNumberFormat="1" applyFont="1" applyFill="1" applyBorder="1" applyAlignment="1">
      <alignment horizontal="center"/>
    </xf>
    <xf numFmtId="41" fontId="0" fillId="0" borderId="1" xfId="0" applyNumberFormat="1" applyBorder="1" applyAlignment="1">
      <alignment wrapText="1"/>
    </xf>
    <xf numFmtId="41" fontId="0" fillId="0" borderId="1" xfId="3" applyNumberFormat="1" applyFont="1" applyFill="1" applyBorder="1" applyAlignment="1">
      <alignment horizontal="right" wrapText="1"/>
    </xf>
    <xf numFmtId="41" fontId="0" fillId="0" borderId="1" xfId="3" applyNumberFormat="1" applyFont="1" applyFill="1" applyBorder="1" applyAlignment="1">
      <alignment horizontal="center" wrapText="1"/>
    </xf>
    <xf numFmtId="42" fontId="0" fillId="0" borderId="2" xfId="0" applyNumberFormat="1" applyBorder="1"/>
    <xf numFmtId="41" fontId="15" fillId="0" borderId="0" xfId="0" applyNumberFormat="1" applyFont="1"/>
    <xf numFmtId="4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41" fontId="16" fillId="0" borderId="0" xfId="0" applyNumberFormat="1" applyFont="1"/>
    <xf numFmtId="41" fontId="0" fillId="0" borderId="1" xfId="3" applyNumberFormat="1" applyFont="1" applyFill="1" applyBorder="1" applyAlignment="1">
      <alignment horizontal="center"/>
    </xf>
    <xf numFmtId="10" fontId="0" fillId="0" borderId="0" xfId="2" applyNumberFormat="1" applyFont="1" applyFill="1" applyBorder="1"/>
    <xf numFmtId="41" fontId="0" fillId="0" borderId="1" xfId="3" applyNumberFormat="1" applyFont="1" applyFill="1" applyBorder="1" applyAlignment="1">
      <alignment horizontal="left"/>
    </xf>
    <xf numFmtId="9" fontId="0" fillId="0" borderId="0" xfId="2" applyFont="1" applyFill="1" applyBorder="1"/>
    <xf numFmtId="42" fontId="0" fillId="2" borderId="0" xfId="3" applyNumberFormat="1" applyFont="1" applyFill="1" applyBorder="1"/>
    <xf numFmtId="41" fontId="0" fillId="2" borderId="0" xfId="1" applyNumberFormat="1" applyFont="1" applyFill="1" applyBorder="1"/>
    <xf numFmtId="41" fontId="0" fillId="2" borderId="1" xfId="1" applyNumberFormat="1" applyFont="1" applyFill="1" applyBorder="1"/>
    <xf numFmtId="173" fontId="0" fillId="2" borderId="0" xfId="2" applyNumberFormat="1" applyFont="1" applyFill="1" applyBorder="1"/>
    <xf numFmtId="41" fontId="0" fillId="2" borderId="0" xfId="0" applyNumberFormat="1" applyFill="1"/>
    <xf numFmtId="42" fontId="0" fillId="2" borderId="0" xfId="0" applyNumberFormat="1" applyFill="1"/>
    <xf numFmtId="41" fontId="0" fillId="2" borderId="1" xfId="0" applyNumberFormat="1" applyFill="1" applyBorder="1"/>
    <xf numFmtId="171" fontId="0" fillId="2" borderId="1" xfId="1" applyNumberFormat="1" applyFont="1" applyFill="1" applyBorder="1"/>
    <xf numFmtId="42" fontId="0" fillId="2" borderId="2" xfId="0" applyNumberFormat="1" applyFill="1" applyBorder="1"/>
    <xf numFmtId="41" fontId="0" fillId="2" borderId="0" xfId="3" applyNumberFormat="1" applyFont="1" applyFill="1" applyBorder="1"/>
    <xf numFmtId="42" fontId="0" fillId="2" borderId="2" xfId="3" applyNumberFormat="1" applyFont="1" applyFill="1" applyBorder="1"/>
    <xf numFmtId="170" fontId="0" fillId="2" borderId="0" xfId="3" applyNumberFormat="1" applyFont="1" applyFill="1"/>
    <xf numFmtId="170" fontId="0" fillId="2" borderId="2" xfId="3" applyNumberFormat="1" applyFont="1" applyFill="1" applyBorder="1"/>
    <xf numFmtId="170" fontId="3" fillId="2" borderId="3" xfId="3" applyNumberFormat="1" applyFont="1" applyFill="1" applyBorder="1"/>
    <xf numFmtId="41" fontId="0" fillId="2" borderId="0" xfId="1" applyNumberFormat="1" applyFont="1" applyFill="1"/>
    <xf numFmtId="170" fontId="0" fillId="2" borderId="0" xfId="3" applyNumberFormat="1" applyFont="1" applyFill="1" applyBorder="1"/>
    <xf numFmtId="42" fontId="3" fillId="2" borderId="0" xfId="3" applyNumberFormat="1" applyFont="1" applyFill="1" applyBorder="1"/>
    <xf numFmtId="170" fontId="3" fillId="2" borderId="0" xfId="3" applyNumberFormat="1" applyFont="1" applyFill="1" applyBorder="1"/>
    <xf numFmtId="41" fontId="0" fillId="2" borderId="1" xfId="3" applyNumberFormat="1" applyFont="1" applyFill="1" applyBorder="1"/>
    <xf numFmtId="166" fontId="0" fillId="2" borderId="5" xfId="3" applyNumberFormat="1" applyFont="1" applyFill="1" applyBorder="1"/>
    <xf numFmtId="9" fontId="0" fillId="2" borderId="0" xfId="2" applyFont="1" applyFill="1" applyBorder="1"/>
    <xf numFmtId="42" fontId="0" fillId="2" borderId="0" xfId="1" applyNumberFormat="1" applyFont="1" applyFill="1" applyBorder="1"/>
    <xf numFmtId="170" fontId="0" fillId="2" borderId="0" xfId="1" applyNumberFormat="1" applyFont="1" applyFill="1" applyBorder="1"/>
    <xf numFmtId="42" fontId="0" fillId="2" borderId="2" xfId="1" applyNumberFormat="1" applyFont="1" applyFill="1" applyBorder="1"/>
    <xf numFmtId="171" fontId="0" fillId="2" borderId="0" xfId="1" applyNumberFormat="1" applyFont="1" applyFill="1" applyBorder="1"/>
    <xf numFmtId="10" fontId="0" fillId="2" borderId="0" xfId="2" applyNumberFormat="1" applyFont="1" applyFill="1" applyBorder="1"/>
    <xf numFmtId="171" fontId="0" fillId="2" borderId="5" xfId="1" applyNumberFormat="1" applyFont="1" applyFill="1" applyBorder="1"/>
    <xf numFmtId="165" fontId="0" fillId="2" borderId="5" xfId="1" applyFont="1" applyFill="1" applyBorder="1"/>
    <xf numFmtId="166" fontId="0" fillId="2" borderId="5" xfId="0" applyNumberFormat="1" applyFill="1" applyBorder="1"/>
    <xf numFmtId="166" fontId="0" fillId="2" borderId="0" xfId="0" applyNumberFormat="1" applyFill="1"/>
    <xf numFmtId="41" fontId="0" fillId="2" borderId="0" xfId="0" applyNumberFormat="1" applyFill="1" applyAlignment="1">
      <alignment horizontal="center"/>
    </xf>
    <xf numFmtId="176" fontId="0" fillId="2" borderId="0" xfId="0" applyNumberFormat="1" applyFill="1"/>
    <xf numFmtId="41" fontId="1" fillId="2" borderId="2" xfId="1" applyNumberFormat="1" applyFont="1" applyFill="1" applyBorder="1"/>
    <xf numFmtId="42" fontId="1" fillId="2" borderId="2" xfId="1" applyNumberFormat="1" applyFont="1" applyFill="1" applyBorder="1"/>
    <xf numFmtId="175" fontId="0" fillId="2" borderId="0" xfId="0" applyNumberFormat="1" applyFill="1"/>
    <xf numFmtId="42" fontId="1" fillId="2" borderId="2" xfId="3" applyNumberFormat="1" applyFont="1" applyFill="1" applyBorder="1"/>
    <xf numFmtId="174" fontId="0" fillId="2" borderId="0" xfId="3" applyNumberFormat="1" applyFont="1" applyFill="1" applyBorder="1"/>
    <xf numFmtId="0" fontId="0" fillId="2" borderId="0" xfId="0" applyFill="1"/>
    <xf numFmtId="0" fontId="3" fillId="2" borderId="0" xfId="0" applyFont="1" applyFill="1"/>
    <xf numFmtId="41" fontId="19" fillId="2" borderId="0" xfId="0" applyNumberFormat="1" applyFont="1" applyFill="1"/>
    <xf numFmtId="41" fontId="0" fillId="0" borderId="1" xfId="0" applyNumberForma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70" fontId="0" fillId="2" borderId="0" xfId="3" applyNumberFormat="1" applyFont="1" applyFill="1" applyBorder="1" applyAlignment="1">
      <alignment horizontal="center"/>
    </xf>
    <xf numFmtId="170" fontId="0" fillId="2" borderId="2" xfId="3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273">
    <cellStyle name="Comma" xfId="1" builtinId="3"/>
    <cellStyle name="Comma 2" xfId="4" xr:uid="{00000000-0005-0000-0000-000001000000}"/>
    <cellStyle name="Comma 3" xfId="6" xr:uid="{00000000-0005-0000-0000-000002000000}"/>
    <cellStyle name="Currency" xfId="3" builtinId="4"/>
    <cellStyle name="Currency 2" xfId="5" xr:uid="{00000000-0005-0000-0000-000004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workbookViewId="0"/>
  </sheetViews>
  <sheetFormatPr baseColWidth="10" defaultColWidth="11.5" defaultRowHeight="13" x14ac:dyDescent="0.15"/>
  <cols>
    <col min="1" max="1" width="4.5" customWidth="1"/>
    <col min="3" max="3" width="4.83203125" customWidth="1"/>
  </cols>
  <sheetData>
    <row r="1" spans="1:2" ht="20" x14ac:dyDescent="0.2">
      <c r="A1" s="45" t="s">
        <v>241</v>
      </c>
    </row>
    <row r="3" spans="1:2" x14ac:dyDescent="0.15">
      <c r="A3" t="s">
        <v>159</v>
      </c>
    </row>
    <row r="5" spans="1:2" x14ac:dyDescent="0.15">
      <c r="A5" s="46" t="s">
        <v>72</v>
      </c>
    </row>
    <row r="7" spans="1:2" x14ac:dyDescent="0.15">
      <c r="A7" t="s">
        <v>237</v>
      </c>
    </row>
    <row r="8" spans="1:2" x14ac:dyDescent="0.15">
      <c r="A8" t="s">
        <v>151</v>
      </c>
      <c r="B8" t="s">
        <v>142</v>
      </c>
    </row>
    <row r="9" spans="1:2" x14ac:dyDescent="0.15">
      <c r="A9" t="s">
        <v>152</v>
      </c>
      <c r="B9" t="s">
        <v>141</v>
      </c>
    </row>
    <row r="10" spans="1:2" x14ac:dyDescent="0.15">
      <c r="A10" t="s">
        <v>153</v>
      </c>
      <c r="B10" t="s">
        <v>155</v>
      </c>
    </row>
    <row r="11" spans="1:2" x14ac:dyDescent="0.15">
      <c r="A11" t="s">
        <v>154</v>
      </c>
      <c r="B11" t="s">
        <v>143</v>
      </c>
    </row>
    <row r="12" spans="1:2" x14ac:dyDescent="0.15">
      <c r="A12" t="s">
        <v>156</v>
      </c>
      <c r="B12" t="s">
        <v>150</v>
      </c>
    </row>
    <row r="13" spans="1:2" x14ac:dyDescent="0.15">
      <c r="A13" t="s">
        <v>157</v>
      </c>
      <c r="B13" t="s">
        <v>226</v>
      </c>
    </row>
    <row r="14" spans="1:2" x14ac:dyDescent="0.15">
      <c r="A14" t="s">
        <v>158</v>
      </c>
      <c r="B14" t="s">
        <v>144</v>
      </c>
    </row>
    <row r="15" spans="1:2" x14ac:dyDescent="0.15">
      <c r="A15" t="s">
        <v>227</v>
      </c>
      <c r="B15" t="s">
        <v>228</v>
      </c>
    </row>
    <row r="17" spans="1:10" x14ac:dyDescent="0.15">
      <c r="A17" t="s">
        <v>145</v>
      </c>
    </row>
    <row r="18" spans="1:10" x14ac:dyDescent="0.15">
      <c r="B18" t="s">
        <v>85</v>
      </c>
    </row>
    <row r="19" spans="1:10" x14ac:dyDescent="0.15">
      <c r="B19" t="s">
        <v>73</v>
      </c>
    </row>
    <row r="20" spans="1:10" x14ac:dyDescent="0.15">
      <c r="B20" t="s">
        <v>84</v>
      </c>
    </row>
    <row r="21" spans="1:10" x14ac:dyDescent="0.15">
      <c r="B21" t="s">
        <v>124</v>
      </c>
    </row>
    <row r="24" spans="1:10" ht="18" x14ac:dyDescent="0.2">
      <c r="B24" s="139" t="s">
        <v>238</v>
      </c>
      <c r="C24" s="138"/>
      <c r="D24" s="138"/>
      <c r="E24" s="138"/>
      <c r="F24" s="138"/>
      <c r="G24" s="138"/>
      <c r="H24" s="137"/>
      <c r="I24" s="137"/>
      <c r="J24" s="137"/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horizontalDpi="4294967292" verticalDpi="4294967292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O11"/>
  <sheetViews>
    <sheetView showGridLines="0" workbookViewId="0">
      <selection activeCell="B11" sqref="B11"/>
    </sheetView>
  </sheetViews>
  <sheetFormatPr baseColWidth="10" defaultColWidth="8.83203125" defaultRowHeight="13" x14ac:dyDescent="0.15"/>
  <cols>
    <col min="1" max="1" width="20.5" style="5" bestFit="1" customWidth="1"/>
    <col min="2" max="6" width="9.5" style="5" bestFit="1" customWidth="1"/>
    <col min="7" max="8" width="10.5" style="5" bestFit="1" customWidth="1"/>
    <col min="9" max="13" width="9.5" style="5" bestFit="1" customWidth="1"/>
    <col min="14" max="14" width="17.6640625" style="5" bestFit="1" customWidth="1"/>
    <col min="15" max="15" width="4.6640625" style="5" bestFit="1" customWidth="1"/>
    <col min="16" max="16384" width="8.83203125" style="5"/>
  </cols>
  <sheetData>
    <row r="1" spans="1:15" x14ac:dyDescent="0.15">
      <c r="A1" s="11"/>
      <c r="O1" s="3"/>
    </row>
    <row r="2" spans="1:15" x14ac:dyDescent="0.15">
      <c r="A2" s="11" t="s">
        <v>191</v>
      </c>
      <c r="B2" s="69"/>
    </row>
    <row r="3" spans="1:15" x14ac:dyDescent="0.15">
      <c r="A3" s="11"/>
      <c r="B3" s="69"/>
    </row>
    <row r="4" spans="1:15" x14ac:dyDescent="0.15">
      <c r="A4" s="5" t="s">
        <v>192</v>
      </c>
      <c r="B4" s="69"/>
      <c r="C4" s="128">
        <v>5</v>
      </c>
    </row>
    <row r="6" spans="1:15" ht="14" x14ac:dyDescent="0.15">
      <c r="A6" s="6" t="s">
        <v>4</v>
      </c>
      <c r="B6" s="10" t="s">
        <v>160</v>
      </c>
      <c r="C6" s="10" t="s">
        <v>161</v>
      </c>
      <c r="D6" s="10" t="s">
        <v>162</v>
      </c>
      <c r="E6" s="10" t="s">
        <v>163</v>
      </c>
      <c r="F6" s="10" t="s">
        <v>164</v>
      </c>
      <c r="G6" s="10" t="s">
        <v>165</v>
      </c>
      <c r="H6" s="10" t="s">
        <v>166</v>
      </c>
      <c r="I6" s="10" t="s">
        <v>167</v>
      </c>
      <c r="J6" s="10" t="s">
        <v>168</v>
      </c>
      <c r="K6" s="10" t="s">
        <v>169</v>
      </c>
      <c r="L6" s="10" t="s">
        <v>170</v>
      </c>
      <c r="M6" s="10" t="s">
        <v>171</v>
      </c>
      <c r="N6" s="89" t="s">
        <v>193</v>
      </c>
    </row>
    <row r="7" spans="1:15" x14ac:dyDescent="0.15">
      <c r="A7" s="5" t="s">
        <v>76</v>
      </c>
      <c r="B7" s="121">
        <f>5*'C - DL Budget'!F6</f>
        <v>12979.2</v>
      </c>
      <c r="C7" s="121">
        <f>5*'C - DL Budget'!G6</f>
        <v>20492.800000000003</v>
      </c>
      <c r="D7" s="121">
        <f>5*'C - DL Budget'!H6</f>
        <v>15155.2</v>
      </c>
      <c r="E7" s="121">
        <f>5*'C - DL Budget'!I6</f>
        <v>9523.2000000000007</v>
      </c>
      <c r="F7" s="121">
        <f>5*'C - DL Budget'!J6</f>
        <v>19801.600000000002</v>
      </c>
      <c r="G7" s="121">
        <f>5*'C - DL Budget'!K6</f>
        <v>27929.599999999999</v>
      </c>
      <c r="H7" s="121">
        <f>5*'C - DL Budget'!L6</f>
        <v>29184</v>
      </c>
      <c r="I7" s="121">
        <f>5*'C - DL Budget'!M6</f>
        <v>30208</v>
      </c>
      <c r="J7" s="121">
        <f>5*'C - DL Budget'!N6</f>
        <v>21542.400000000001</v>
      </c>
      <c r="K7" s="121">
        <f>5*'C - DL Budget'!O6</f>
        <v>20864</v>
      </c>
      <c r="L7" s="121">
        <f>5*'C - DL Budget'!P6</f>
        <v>18905.599999999999</v>
      </c>
      <c r="M7" s="121">
        <f>5*'C - DL Budget'!Q6</f>
        <v>19840</v>
      </c>
      <c r="N7" s="121">
        <f>SUM(B7:M7)</f>
        <v>246425.60000000001</v>
      </c>
    </row>
    <row r="8" spans="1:15" x14ac:dyDescent="0.15">
      <c r="A8" s="5" t="s">
        <v>79</v>
      </c>
      <c r="B8" s="101">
        <f>5*'C - DL Budget'!F7</f>
        <v>11856</v>
      </c>
      <c r="C8" s="101">
        <f>5*'C - DL Budget'!G7</f>
        <v>14507.999999999996</v>
      </c>
      <c r="D8" s="101">
        <f>5*'C - DL Budget'!H7</f>
        <v>13259.999999999998</v>
      </c>
      <c r="E8" s="101">
        <f>5*'C - DL Budget'!I7</f>
        <v>12036</v>
      </c>
      <c r="F8" s="101">
        <f>5*'C - DL Budget'!J7</f>
        <v>18959.999999999996</v>
      </c>
      <c r="G8" s="101">
        <f>5*'C - DL Budget'!K7</f>
        <v>20556</v>
      </c>
      <c r="H8" s="101">
        <f>5*'C - DL Budget'!L7</f>
        <v>15587.999999999996</v>
      </c>
      <c r="I8" s="101">
        <f>5*'C - DL Budget'!M7</f>
        <v>16259.999999999998</v>
      </c>
      <c r="J8" s="101">
        <f>5*'C - DL Budget'!N7</f>
        <v>17315.999999999996</v>
      </c>
      <c r="K8" s="101">
        <f>5*'C - DL Budget'!O7</f>
        <v>18359.999999999996</v>
      </c>
      <c r="L8" s="101">
        <f>5*'C - DL Budget'!P7</f>
        <v>12191.999999999998</v>
      </c>
      <c r="M8" s="101">
        <f>5*'C - DL Budget'!Q7</f>
        <v>15215.999999999996</v>
      </c>
      <c r="N8" s="121">
        <f t="shared" ref="N8:N10" si="0">SUM(B8:M8)</f>
        <v>186107.99999999997</v>
      </c>
    </row>
    <row r="9" spans="1:15" x14ac:dyDescent="0.15">
      <c r="A9" s="5" t="s">
        <v>81</v>
      </c>
      <c r="B9" s="101">
        <f>5*'C - DL Budget'!F8</f>
        <v>24839.999999999996</v>
      </c>
      <c r="C9" s="101">
        <f>5*'C - DL Budget'!G8</f>
        <v>25272</v>
      </c>
      <c r="D9" s="101">
        <f>5*'C - DL Budget'!H8</f>
        <v>22859.999999999996</v>
      </c>
      <c r="E9" s="101">
        <f>5*'C - DL Budget'!I8</f>
        <v>27491.999999999993</v>
      </c>
      <c r="F9" s="101">
        <f>5*'C - DL Budget'!J8</f>
        <v>30251.999999999993</v>
      </c>
      <c r="G9" s="101">
        <f>5*'C - DL Budget'!K8</f>
        <v>26135.999999999993</v>
      </c>
      <c r="H9" s="101">
        <f>5*'C - DL Budget'!L8</f>
        <v>32891.999999999993</v>
      </c>
      <c r="I9" s="101">
        <f>5*'C - DL Budget'!M8</f>
        <v>28283.999999999996</v>
      </c>
      <c r="J9" s="101">
        <f>5*'C - DL Budget'!N8</f>
        <v>25559.999999999996</v>
      </c>
      <c r="K9" s="101">
        <f>5*'C - DL Budget'!O8</f>
        <v>18852</v>
      </c>
      <c r="L9" s="101">
        <f>5*'C - DL Budget'!P8</f>
        <v>20532</v>
      </c>
      <c r="M9" s="101">
        <f>5*'C - DL Budget'!Q8</f>
        <v>21923.999999999996</v>
      </c>
      <c r="N9" s="121">
        <f t="shared" si="0"/>
        <v>304896</v>
      </c>
    </row>
    <row r="10" spans="1:15" x14ac:dyDescent="0.15">
      <c r="A10" s="5" t="s">
        <v>80</v>
      </c>
      <c r="B10" s="102">
        <f>5*'C - DL Budget'!F9</f>
        <v>26608.2</v>
      </c>
      <c r="C10" s="102">
        <f>5*'C - DL Budget'!G9</f>
        <v>39186.400000000001</v>
      </c>
      <c r="D10" s="102">
        <f>5*'C - DL Budget'!H9</f>
        <v>43200.200000000004</v>
      </c>
      <c r="E10" s="102">
        <f>5*'C - DL Budget'!I9</f>
        <v>48983</v>
      </c>
      <c r="F10" s="102">
        <f>5*'C - DL Budget'!J9</f>
        <v>44127.400000000009</v>
      </c>
      <c r="G10" s="102">
        <f>5*'C - DL Budget'!K9</f>
        <v>51972.000000000007</v>
      </c>
      <c r="H10" s="102">
        <f>5*'C - DL Budget'!L9</f>
        <v>54802.400000000009</v>
      </c>
      <c r="I10" s="102">
        <f>5*'C - DL Budget'!M9</f>
        <v>44652.000000000007</v>
      </c>
      <c r="J10" s="102">
        <f>5*'C - DL Budget'!N9</f>
        <v>41968</v>
      </c>
      <c r="K10" s="102">
        <f>5*'C - DL Budget'!O9</f>
        <v>38381.200000000004</v>
      </c>
      <c r="L10" s="102">
        <f>5*'C - DL Budget'!P9</f>
        <v>36221.800000000003</v>
      </c>
      <c r="M10" s="102">
        <f>5*'C - DL Budget'!Q9</f>
        <v>43883.4</v>
      </c>
      <c r="N10" s="121">
        <f t="shared" si="0"/>
        <v>513986.00000000006</v>
      </c>
    </row>
    <row r="11" spans="1:15" x14ac:dyDescent="0.15">
      <c r="A11" s="5" t="s">
        <v>0</v>
      </c>
      <c r="B11" s="108">
        <f>SUM(B7:B10)</f>
        <v>76283.399999999994</v>
      </c>
      <c r="C11" s="108">
        <f t="shared" ref="C11:M11" si="1">SUM(C7:C10)</f>
        <v>99459.200000000012</v>
      </c>
      <c r="D11" s="108">
        <f t="shared" si="1"/>
        <v>94475.4</v>
      </c>
      <c r="E11" s="108">
        <f t="shared" si="1"/>
        <v>98034.2</v>
      </c>
      <c r="F11" s="108">
        <f t="shared" si="1"/>
        <v>113141</v>
      </c>
      <c r="G11" s="108">
        <f t="shared" si="1"/>
        <v>126593.60000000001</v>
      </c>
      <c r="H11" s="108">
        <f t="shared" si="1"/>
        <v>132466.40000000002</v>
      </c>
      <c r="I11" s="108">
        <f t="shared" si="1"/>
        <v>119404</v>
      </c>
      <c r="J11" s="108">
        <f t="shared" si="1"/>
        <v>106386.4</v>
      </c>
      <c r="K11" s="108">
        <f t="shared" si="1"/>
        <v>96457.200000000012</v>
      </c>
      <c r="L11" s="108">
        <f t="shared" si="1"/>
        <v>87851.4</v>
      </c>
      <c r="M11" s="108">
        <f t="shared" si="1"/>
        <v>100863.4</v>
      </c>
      <c r="N11" s="108">
        <f>SUM(N7:N10)</f>
        <v>1251415.6000000001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O58"/>
  <sheetViews>
    <sheetView showGridLines="0" tabSelected="1" workbookViewId="0">
      <selection activeCell="B22" sqref="B22"/>
    </sheetView>
  </sheetViews>
  <sheetFormatPr baseColWidth="10" defaultColWidth="8.83203125" defaultRowHeight="13" x14ac:dyDescent="0.15"/>
  <cols>
    <col min="1" max="1" width="23.83203125" style="5" customWidth="1"/>
    <col min="2" max="2" width="9.5" style="5" bestFit="1" customWidth="1"/>
    <col min="3" max="3" width="10.33203125" style="5" bestFit="1" customWidth="1"/>
    <col min="4" max="6" width="9.5" style="5" bestFit="1" customWidth="1"/>
    <col min="7" max="8" width="10.5" style="5" bestFit="1" customWidth="1"/>
    <col min="9" max="13" width="9.5" style="5" bestFit="1" customWidth="1"/>
    <col min="14" max="14" width="17.6640625" style="5" bestFit="1" customWidth="1"/>
    <col min="15" max="15" width="4.6640625" style="5" bestFit="1" customWidth="1"/>
    <col min="16" max="16384" width="8.83203125" style="5"/>
  </cols>
  <sheetData>
    <row r="1" spans="1:15" x14ac:dyDescent="0.15">
      <c r="A1" s="11"/>
      <c r="O1" s="3"/>
    </row>
    <row r="2" spans="1:15" x14ac:dyDescent="0.15">
      <c r="A2" s="91" t="s">
        <v>240</v>
      </c>
      <c r="B2" s="69"/>
    </row>
    <row r="3" spans="1:15" x14ac:dyDescent="0.15">
      <c r="A3" s="11"/>
      <c r="B3" s="69"/>
    </row>
    <row r="4" spans="1:15" x14ac:dyDescent="0.15">
      <c r="A4" s="5" t="s">
        <v>194</v>
      </c>
      <c r="B4" s="69"/>
      <c r="C4" s="126">
        <v>2250000</v>
      </c>
    </row>
    <row r="5" spans="1:15" x14ac:dyDescent="0.15">
      <c r="A5" s="5" t="s">
        <v>195</v>
      </c>
      <c r="B5" s="69"/>
      <c r="C5" s="126">
        <f>'Other Information'!D20+'Other Information'!D22</f>
        <v>1100000</v>
      </c>
    </row>
    <row r="6" spans="1:15" x14ac:dyDescent="0.15">
      <c r="A6" s="5" t="s">
        <v>196</v>
      </c>
      <c r="B6" s="69"/>
      <c r="C6" s="126">
        <f>'Other Information'!D16+'Other Information'!D17+'Other Information'!D18+'Other Information'!D19+'Other Information'!D21+'Other Information'!D23</f>
        <v>1150000</v>
      </c>
    </row>
    <row r="7" spans="1:15" x14ac:dyDescent="0.15">
      <c r="B7" s="69"/>
      <c r="C7"/>
    </row>
    <row r="8" spans="1:15" x14ac:dyDescent="0.15">
      <c r="A8" s="5" t="s">
        <v>197</v>
      </c>
      <c r="B8" s="69"/>
      <c r="C8" s="126">
        <f>'C - DL Budget'!R10</f>
        <v>250283.12</v>
      </c>
    </row>
    <row r="9" spans="1:15" x14ac:dyDescent="0.15">
      <c r="A9" s="5" t="s">
        <v>198</v>
      </c>
      <c r="B9" s="69"/>
      <c r="C9" s="127">
        <f>C6/C8</f>
        <v>4.5947964848768068</v>
      </c>
    </row>
    <row r="11" spans="1:15" ht="14" x14ac:dyDescent="0.15">
      <c r="A11" s="6" t="s">
        <v>4</v>
      </c>
      <c r="B11" s="10" t="s">
        <v>160</v>
      </c>
      <c r="C11" s="10" t="s">
        <v>161</v>
      </c>
      <c r="D11" s="10" t="s">
        <v>162</v>
      </c>
      <c r="E11" s="10" t="s">
        <v>163</v>
      </c>
      <c r="F11" s="10" t="s">
        <v>164</v>
      </c>
      <c r="G11" s="10" t="s">
        <v>165</v>
      </c>
      <c r="H11" s="10" t="s">
        <v>166</v>
      </c>
      <c r="I11" s="10" t="s">
        <v>167</v>
      </c>
      <c r="J11" s="10" t="s">
        <v>168</v>
      </c>
      <c r="K11" s="10" t="s">
        <v>169</v>
      </c>
      <c r="L11" s="10" t="s">
        <v>170</v>
      </c>
      <c r="M11" s="10" t="s">
        <v>171</v>
      </c>
      <c r="N11" s="89" t="s">
        <v>199</v>
      </c>
    </row>
    <row r="12" spans="1:15" x14ac:dyDescent="0.15">
      <c r="A12" s="5" t="s">
        <v>76</v>
      </c>
      <c r="B12" s="121">
        <f>$C$9*'C - DL Budget'!F6</f>
        <v>11927.356507302611</v>
      </c>
      <c r="C12" s="121">
        <f>$C$9*'C - DL Budget'!G6</f>
        <v>18832.049081056688</v>
      </c>
      <c r="D12" s="121">
        <f>$C$9*'C - DL Budget'!H6</f>
        <v>13927.011937520996</v>
      </c>
      <c r="E12" s="121">
        <f>$C$9*'C - DL Budget'!I6</f>
        <v>8751.4331769557612</v>
      </c>
      <c r="F12" s="121">
        <f>$C$9*'C - DL Budget'!J6</f>
        <v>18196.864414987318</v>
      </c>
      <c r="G12" s="121">
        <f>$C$9*'C - DL Budget'!K6</f>
        <v>25666.165580803052</v>
      </c>
      <c r="H12" s="121">
        <f>$C$9*'C - DL Budget'!L6</f>
        <v>26818.908122928948</v>
      </c>
      <c r="I12" s="121">
        <f>$C$9*'C - DL Budget'!M6</f>
        <v>27759.922443031719</v>
      </c>
      <c r="J12" s="121">
        <f>$C$9*'C - DL Budget'!N6</f>
        <v>19796.588759162027</v>
      </c>
      <c r="K12" s="121">
        <f>$C$9*'C - DL Budget'!O6</f>
        <v>19173.16677209394</v>
      </c>
      <c r="L12" s="121">
        <f>$C$9*'C - DL Budget'!P6</f>
        <v>17373.476884897391</v>
      </c>
      <c r="M12" s="121">
        <f>$C$9*'C - DL Budget'!Q6</f>
        <v>18232.152451991169</v>
      </c>
      <c r="N12" s="121">
        <f>SUM(B12:M12)</f>
        <v>226455.09613273162</v>
      </c>
    </row>
    <row r="13" spans="1:15" x14ac:dyDescent="0.15">
      <c r="A13" s="5" t="s">
        <v>79</v>
      </c>
      <c r="B13" s="101">
        <f>$C$9*'C - DL Budget'!F7</f>
        <v>10895.181424939883</v>
      </c>
      <c r="C13" s="101">
        <f>$C$9*'C - DL Budget'!G7</f>
        <v>13332.26148051854</v>
      </c>
      <c r="D13" s="101">
        <f>$C$9*'C - DL Budget'!H7</f>
        <v>12185.40027789329</v>
      </c>
      <c r="E13" s="101">
        <f>$C$9*'C - DL Budget'!I7</f>
        <v>11060.594098395448</v>
      </c>
      <c r="F13" s="101">
        <f>$C$9*'C - DL Budget'!J7</f>
        <v>17423.468270652851</v>
      </c>
      <c r="G13" s="101">
        <f>$C$9*'C - DL Budget'!K7</f>
        <v>18890.127308625528</v>
      </c>
      <c r="H13" s="101">
        <f>$C$9*'C - DL Budget'!L7</f>
        <v>14324.737521251931</v>
      </c>
      <c r="I13" s="101">
        <f>$C$9*'C - DL Budget'!M7</f>
        <v>14942.278168819374</v>
      </c>
      <c r="J13" s="101">
        <f>$C$9*'C - DL Budget'!N7</f>
        <v>15912.699186425354</v>
      </c>
      <c r="K13" s="101">
        <f>$C$9*'C - DL Budget'!O7</f>
        <v>16872.092692467631</v>
      </c>
      <c r="L13" s="101">
        <f>$C$9*'C - DL Budget'!P7</f>
        <v>11203.951748723604</v>
      </c>
      <c r="M13" s="101">
        <f>$C$9*'C - DL Budget'!Q7</f>
        <v>13982.884662777096</v>
      </c>
      <c r="N13" s="121">
        <f t="shared" ref="N13:N14" si="0">SUM(B13:M13)</f>
        <v>171025.67684149052</v>
      </c>
    </row>
    <row r="14" spans="1:15" x14ac:dyDescent="0.15">
      <c r="A14" s="5" t="s">
        <v>81</v>
      </c>
      <c r="B14" s="101">
        <f>$C$9*'C - DL Budget'!F8</f>
        <v>22826.948936867971</v>
      </c>
      <c r="C14" s="101">
        <f>$C$9*'C - DL Budget'!G8</f>
        <v>23223.939353161331</v>
      </c>
      <c r="D14" s="101">
        <f>$C$9*'C - DL Budget'!H8</f>
        <v>21007.409528856755</v>
      </c>
      <c r="E14" s="101">
        <f>$C$9*'C - DL Budget'!I8</f>
        <v>25264.028992446627</v>
      </c>
      <c r="F14" s="101">
        <f>$C$9*'C - DL Budget'!J8</f>
        <v>27800.356652098628</v>
      </c>
      <c r="G14" s="101">
        <f>$C$9*'C - DL Budget'!K8</f>
        <v>24017.92018574804</v>
      </c>
      <c r="H14" s="101">
        <f>$C$9*'C - DL Budget'!L8</f>
        <v>30226.409196113582</v>
      </c>
      <c r="I14" s="101">
        <f>$C$9*'C - DL Budget'!M8</f>
        <v>25991.844755651116</v>
      </c>
      <c r="J14" s="101">
        <f>$C$9*'C - DL Budget'!N8</f>
        <v>23488.599630690231</v>
      </c>
      <c r="K14" s="101">
        <f>$C$9*'C - DL Budget'!O8</f>
        <v>17324.220666579509</v>
      </c>
      <c r="L14" s="101">
        <f>$C$9*'C - DL Budget'!P8</f>
        <v>18868.072285498118</v>
      </c>
      <c r="M14" s="101">
        <f>$C$9*'C - DL Budget'!Q8</f>
        <v>20147.26362688782</v>
      </c>
      <c r="N14" s="121">
        <f t="shared" si="0"/>
        <v>280187.01381059975</v>
      </c>
    </row>
    <row r="15" spans="1:15" x14ac:dyDescent="0.15">
      <c r="A15" s="5" t="s">
        <v>80</v>
      </c>
      <c r="B15" s="102">
        <f>$C$9*'C - DL Budget'!F9</f>
        <v>24451.852765779811</v>
      </c>
      <c r="C15" s="102">
        <f>$C$9*'C - DL Budget'!G9</f>
        <v>36010.706594995303</v>
      </c>
      <c r="D15" s="102">
        <f>$C$9*'C - DL Budget'!H9</f>
        <v>39699.225421195013</v>
      </c>
      <c r="E15" s="102">
        <f>$C$9*'C - DL Budget'!I9</f>
        <v>45013.383243744131</v>
      </c>
      <c r="F15" s="102">
        <f>$C$9*'C - DL Budget'!J9</f>
        <v>40551.284481350565</v>
      </c>
      <c r="G15" s="102">
        <f>$C$9*'C - DL Budget'!K9</f>
        <v>47760.152582403491</v>
      </c>
      <c r="H15" s="102">
        <f>$C$9*'C - DL Budget'!L9</f>
        <v>50361.17497656255</v>
      </c>
      <c r="I15" s="102">
        <f>$C$9*'C - DL Budget'!M9</f>
        <v>41033.370528543841</v>
      </c>
      <c r="J15" s="102">
        <f>$C$9*'C - DL Budget'!N9</f>
        <v>38566.883775461967</v>
      </c>
      <c r="K15" s="102">
        <f>$C$9*'C - DL Budget'!O9</f>
        <v>35270.760569070742</v>
      </c>
      <c r="L15" s="102">
        <f>$C$9*'C - DL Budget'!P9</f>
        <v>33286.359863182144</v>
      </c>
      <c r="M15" s="102">
        <f>$C$9*'C - DL Budget'!Q9</f>
        <v>40327.058412888575</v>
      </c>
      <c r="N15" s="121">
        <f>SUM(B15:M15)</f>
        <v>472332.21321517811</v>
      </c>
    </row>
    <row r="16" spans="1:15" x14ac:dyDescent="0.15">
      <c r="A16" s="5" t="s">
        <v>0</v>
      </c>
      <c r="B16" s="108">
        <f>SUM(B12:B15)</f>
        <v>70101.339634890275</v>
      </c>
      <c r="C16" s="108">
        <f t="shared" ref="C16:M16" si="1">SUM(C12:C15)</f>
        <v>91398.956509731855</v>
      </c>
      <c r="D16" s="108">
        <f t="shared" si="1"/>
        <v>86819.047165466065</v>
      </c>
      <c r="E16" s="108">
        <f t="shared" si="1"/>
        <v>90089.439511541976</v>
      </c>
      <c r="F16" s="108">
        <f t="shared" si="1"/>
        <v>103971.97381908935</v>
      </c>
      <c r="G16" s="108">
        <f t="shared" si="1"/>
        <v>116334.36565758011</v>
      </c>
      <c r="H16" s="108">
        <f t="shared" si="1"/>
        <v>121731.229816857</v>
      </c>
      <c r="I16" s="108">
        <f t="shared" si="1"/>
        <v>109727.41589604603</v>
      </c>
      <c r="J16" s="108">
        <f t="shared" si="1"/>
        <v>97764.771351739575</v>
      </c>
      <c r="K16" s="108">
        <f t="shared" si="1"/>
        <v>88640.240700211827</v>
      </c>
      <c r="L16" s="108">
        <f t="shared" si="1"/>
        <v>80731.860782301257</v>
      </c>
      <c r="M16" s="108">
        <f t="shared" si="1"/>
        <v>92689.359154544654</v>
      </c>
      <c r="N16" s="108">
        <f>SUM(B16:M16)</f>
        <v>1150000</v>
      </c>
    </row>
    <row r="19" spans="1:14" x14ac:dyDescent="0.15">
      <c r="A19" s="5" t="s">
        <v>200</v>
      </c>
      <c r="B19" s="69"/>
      <c r="C19" s="127">
        <f>C5/C8</f>
        <v>4.3950227246647717</v>
      </c>
    </row>
    <row r="21" spans="1:14" ht="14" x14ac:dyDescent="0.15">
      <c r="A21" s="6" t="s">
        <v>4</v>
      </c>
      <c r="B21" s="10" t="s">
        <v>160</v>
      </c>
      <c r="C21" s="10" t="s">
        <v>161</v>
      </c>
      <c r="D21" s="10" t="s">
        <v>162</v>
      </c>
      <c r="E21" s="10" t="s">
        <v>163</v>
      </c>
      <c r="F21" s="10" t="s">
        <v>164</v>
      </c>
      <c r="G21" s="10" t="s">
        <v>165</v>
      </c>
      <c r="H21" s="10" t="s">
        <v>166</v>
      </c>
      <c r="I21" s="10" t="s">
        <v>167</v>
      </c>
      <c r="J21" s="10" t="s">
        <v>168</v>
      </c>
      <c r="K21" s="10" t="s">
        <v>169</v>
      </c>
      <c r="L21" s="10" t="s">
        <v>170</v>
      </c>
      <c r="M21" s="10" t="s">
        <v>171</v>
      </c>
      <c r="N21" s="89" t="s">
        <v>201</v>
      </c>
    </row>
    <row r="22" spans="1:14" x14ac:dyDescent="0.15">
      <c r="A22" s="5" t="s">
        <v>76</v>
      </c>
      <c r="B22" s="121">
        <f>$C$19*'C - DL Budget'!F6</f>
        <v>11408.775789593801</v>
      </c>
      <c r="C22" s="121">
        <f>$C$19*'C - DL Budget'!G6</f>
        <v>18013.264338402048</v>
      </c>
      <c r="D22" s="121">
        <f>$C$19*'C - DL Budget'!H6</f>
        <v>13321.489679367909</v>
      </c>
      <c r="E22" s="121">
        <f>$C$19*'C - DL Budget'!I6</f>
        <v>8370.9360823055122</v>
      </c>
      <c r="F22" s="121">
        <f>$C$19*'C - DL Budget'!J6</f>
        <v>17405.69639694439</v>
      </c>
      <c r="G22" s="121">
        <f>$C$19*'C - DL Budget'!K6</f>
        <v>24550.245338159442</v>
      </c>
      <c r="H22" s="121">
        <f>$C$19*'C - DL Budget'!L6</f>
        <v>25652.86863932334</v>
      </c>
      <c r="I22" s="121">
        <f>$C$19*'C - DL Budget'!M6</f>
        <v>26552.969293334685</v>
      </c>
      <c r="J22" s="121">
        <f>$C$19*'C - DL Budget'!N6</f>
        <v>18935.867508763677</v>
      </c>
      <c r="K22" s="121">
        <f>$C$19*'C - DL Budget'!O6</f>
        <v>18339.550825481161</v>
      </c>
      <c r="L22" s="121">
        <f>$C$19*'C - DL Budget'!P6</f>
        <v>16618.108324684461</v>
      </c>
      <c r="M22" s="121">
        <f>$C$19*'C - DL Budget'!Q6</f>
        <v>17439.450171469813</v>
      </c>
      <c r="N22" s="121">
        <f>SUM(B22:M22)</f>
        <v>216609.22238783026</v>
      </c>
    </row>
    <row r="23" spans="1:14" x14ac:dyDescent="0.15">
      <c r="A23" s="5" t="s">
        <v>79</v>
      </c>
      <c r="B23" s="101">
        <f>$C$19*'C - DL Budget'!F7</f>
        <v>10421.477884725105</v>
      </c>
      <c r="C23" s="101">
        <f>$C$19*'C - DL Budget'!G7</f>
        <v>12752.5979378873</v>
      </c>
      <c r="D23" s="101">
        <f>$C$19*'C - DL Budget'!H7</f>
        <v>11655.600265810972</v>
      </c>
      <c r="E23" s="101">
        <f>$C$19*'C - DL Budget'!I7</f>
        <v>10579.698702813037</v>
      </c>
      <c r="F23" s="101">
        <f>$C$19*'C - DL Budget'!J7</f>
        <v>16665.926171928812</v>
      </c>
      <c r="G23" s="101">
        <f>$C$19*'C - DL Budget'!K7</f>
        <v>18068.81742564181</v>
      </c>
      <c r="H23" s="101">
        <f>$C$19*'C - DL Budget'!L7</f>
        <v>13701.922846414889</v>
      </c>
      <c r="I23" s="101">
        <f>$C$19*'C - DL Budget'!M7</f>
        <v>14292.613900609836</v>
      </c>
      <c r="J23" s="101">
        <f>$C$19*'C - DL Budget'!N7</f>
        <v>15220.842700059035</v>
      </c>
      <c r="K23" s="101">
        <f>$C$19*'C - DL Budget'!O7</f>
        <v>16138.52344496904</v>
      </c>
      <c r="L23" s="101">
        <f>$C$19*'C - DL Budget'!P7</f>
        <v>10716.823411822577</v>
      </c>
      <c r="M23" s="101">
        <f>$C$19*'C - DL Budget'!Q7</f>
        <v>13374.933155699831</v>
      </c>
      <c r="N23" s="101">
        <f>SUM(B23:M23)</f>
        <v>163589.77784838225</v>
      </c>
    </row>
    <row r="24" spans="1:14" x14ac:dyDescent="0.15">
      <c r="A24" s="5" t="s">
        <v>81</v>
      </c>
      <c r="B24" s="101">
        <f>$C$19*'C - DL Budget'!F8</f>
        <v>21834.472896134583</v>
      </c>
      <c r="C24" s="101">
        <f>$C$19*'C - DL Budget'!G8</f>
        <v>22214.202859545621</v>
      </c>
      <c r="D24" s="101">
        <f>$C$19*'C - DL Budget'!H8</f>
        <v>20094.043897167332</v>
      </c>
      <c r="E24" s="101">
        <f>$C$19*'C - DL Budget'!I8</f>
        <v>24165.592949296777</v>
      </c>
      <c r="F24" s="101">
        <f>$C$19*'C - DL Budget'!J8</f>
        <v>26591.645493311727</v>
      </c>
      <c r="G24" s="101">
        <f>$C$19*'C - DL Budget'!K8</f>
        <v>22973.662786367691</v>
      </c>
      <c r="H24" s="101">
        <f>$C$19*'C - DL Budget'!L8</f>
        <v>28912.217491934727</v>
      </c>
      <c r="I24" s="101">
        <f>$C$19*'C - DL Budget'!M8</f>
        <v>24861.764548883679</v>
      </c>
      <c r="J24" s="101">
        <f>$C$19*'C - DL Budget'!N8</f>
        <v>22467.356168486309</v>
      </c>
      <c r="K24" s="101">
        <f>$C$19*'C - DL Budget'!O8</f>
        <v>16570.993681076056</v>
      </c>
      <c r="L24" s="101">
        <f>$C$19*'C - DL Budget'!P8</f>
        <v>18047.721316563417</v>
      </c>
      <c r="M24" s="101">
        <f>$C$19*'C - DL Budget'!Q8</f>
        <v>19271.295643110087</v>
      </c>
      <c r="N24" s="101">
        <f>SUM(B24:M24)</f>
        <v>268004.96973187797</v>
      </c>
    </row>
    <row r="25" spans="1:14" x14ac:dyDescent="0.15">
      <c r="A25" s="5" t="s">
        <v>80</v>
      </c>
      <c r="B25" s="102">
        <f>$C$19*'C - DL Budget'!F9</f>
        <v>23388.728732485037</v>
      </c>
      <c r="C25" s="102">
        <f>$C$19*'C - DL Budget'!G9</f>
        <v>34445.023699560727</v>
      </c>
      <c r="D25" s="102">
        <f>$C$19*'C - DL Budget'!H9</f>
        <v>37973.17214201262</v>
      </c>
      <c r="E25" s="102">
        <f>$C$19*'C - DL Budget'!I9</f>
        <v>43056.279624450901</v>
      </c>
      <c r="F25" s="102">
        <f>$C$19*'C - DL Budget'!J9</f>
        <v>38788.185156074454</v>
      </c>
      <c r="G25" s="102">
        <f>$C$19*'C - DL Budget'!K9</f>
        <v>45683.624209255511</v>
      </c>
      <c r="H25" s="102">
        <f>$C$19*'C - DL Budget'!L9</f>
        <v>48171.558673233747</v>
      </c>
      <c r="I25" s="102">
        <f>$C$19*'C - DL Budget'!M9</f>
        <v>39249.31094034628</v>
      </c>
      <c r="J25" s="102">
        <f>$C$19*'C - DL Budget'!N9</f>
        <v>36890.062741746231</v>
      </c>
      <c r="K25" s="102">
        <f>$C$19*'C - DL Budget'!O9</f>
        <v>33737.249239980709</v>
      </c>
      <c r="L25" s="102">
        <f>$C$19*'C - DL Budget'!P9</f>
        <v>31839.126825652489</v>
      </c>
      <c r="M25" s="102">
        <f>$C$19*'C - DL Budget'!Q9</f>
        <v>38573.708047110813</v>
      </c>
      <c r="N25" s="102">
        <f>SUM(B25:M25)</f>
        <v>451796.03003190953</v>
      </c>
    </row>
    <row r="26" spans="1:14" x14ac:dyDescent="0.15">
      <c r="A26" s="5" t="s">
        <v>0</v>
      </c>
      <c r="B26" s="108">
        <f>SUM(B22:B25)</f>
        <v>67053.455302938528</v>
      </c>
      <c r="C26" s="108">
        <f t="shared" ref="C26:M26" si="2">SUM(C22:C25)</f>
        <v>87425.088835395698</v>
      </c>
      <c r="D26" s="108">
        <f t="shared" si="2"/>
        <v>83044.305984358827</v>
      </c>
      <c r="E26" s="108">
        <f t="shared" si="2"/>
        <v>86172.50735886622</v>
      </c>
      <c r="F26" s="108">
        <f t="shared" si="2"/>
        <v>99451.453218259383</v>
      </c>
      <c r="G26" s="108">
        <f t="shared" si="2"/>
        <v>111276.34975942445</v>
      </c>
      <c r="H26" s="108">
        <f t="shared" si="2"/>
        <v>116438.56765090671</v>
      </c>
      <c r="I26" s="108">
        <f t="shared" si="2"/>
        <v>104956.65868317446</v>
      </c>
      <c r="J26" s="108">
        <f t="shared" si="2"/>
        <v>93514.129119055258</v>
      </c>
      <c r="K26" s="108">
        <f t="shared" si="2"/>
        <v>84786.317191506969</v>
      </c>
      <c r="L26" s="108">
        <f t="shared" si="2"/>
        <v>77221.77987872294</v>
      </c>
      <c r="M26" s="108">
        <f t="shared" si="2"/>
        <v>88659.387017390545</v>
      </c>
      <c r="N26" s="108">
        <f>SUM(N22:N25)</f>
        <v>1100000</v>
      </c>
    </row>
    <row r="29" spans="1:14" x14ac:dyDescent="0.15">
      <c r="A29" s="6" t="s">
        <v>4</v>
      </c>
      <c r="B29" s="6" t="s">
        <v>202</v>
      </c>
      <c r="C29" s="6"/>
    </row>
    <row r="30" spans="1:14" x14ac:dyDescent="0.15">
      <c r="A30" s="5" t="s">
        <v>76</v>
      </c>
      <c r="B30" s="144">
        <f>'E - FOH'!N12+'E - FOH'!N22</f>
        <v>443064.31852056191</v>
      </c>
      <c r="C30" s="144"/>
    </row>
    <row r="31" spans="1:14" x14ac:dyDescent="0.15">
      <c r="A31" s="5" t="s">
        <v>79</v>
      </c>
      <c r="B31" s="144">
        <f>'E - FOH'!N13+'E - FOH'!N23</f>
        <v>334615.4546898728</v>
      </c>
      <c r="C31" s="144"/>
    </row>
    <row r="32" spans="1:14" x14ac:dyDescent="0.15">
      <c r="A32" s="5" t="s">
        <v>81</v>
      </c>
      <c r="B32" s="144">
        <f>'E - FOH'!N14+'E - FOH'!N24</f>
        <v>548191.98354247771</v>
      </c>
      <c r="C32" s="144"/>
    </row>
    <row r="33" spans="1:14" x14ac:dyDescent="0.15">
      <c r="A33" s="5" t="s">
        <v>80</v>
      </c>
      <c r="B33" s="144">
        <f>'E - FOH'!N15+'E - FOH'!N25</f>
        <v>924128.24324708758</v>
      </c>
      <c r="C33" s="144"/>
    </row>
    <row r="34" spans="1:14" x14ac:dyDescent="0.15">
      <c r="A34" s="5" t="s">
        <v>0</v>
      </c>
      <c r="B34" s="145">
        <f>SUM(B30:C33)</f>
        <v>2250000</v>
      </c>
      <c r="C34" s="145"/>
    </row>
    <row r="37" spans="1:14" x14ac:dyDescent="0.15">
      <c r="A37" s="11"/>
    </row>
    <row r="38" spans="1:14" x14ac:dyDescent="0.15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</row>
    <row r="39" spans="1:14" x14ac:dyDescent="0.15">
      <c r="A39" s="143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</row>
    <row r="40" spans="1:14" x14ac:dyDescent="0.15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</row>
    <row r="41" spans="1:14" x14ac:dyDescent="0.15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</row>
    <row r="42" spans="1:14" x14ac:dyDescent="0.15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</row>
    <row r="43" spans="1:14" x14ac:dyDescent="0.15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</row>
    <row r="44" spans="1:14" x14ac:dyDescent="0.15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</row>
    <row r="45" spans="1:14" x14ac:dyDescent="0.1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</row>
    <row r="46" spans="1:14" x14ac:dyDescent="0.15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4" x14ac:dyDescent="0.15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4" x14ac:dyDescent="0.15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</row>
    <row r="49" spans="1:14" ht="28.5" customHeight="1" x14ac:dyDescent="0.15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1:14" x14ac:dyDescent="0.15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</row>
    <row r="51" spans="1:14" x14ac:dyDescent="0.1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</row>
    <row r="52" spans="1:14" x14ac:dyDescent="0.15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</row>
    <row r="53" spans="1:14" x14ac:dyDescent="0.15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</row>
    <row r="54" spans="1:14" ht="11.25" customHeight="1" x14ac:dyDescent="0.15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</row>
    <row r="56" spans="1:14" x14ac:dyDescent="0.1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x14ac:dyDescent="0.1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</row>
    <row r="58" spans="1:14" x14ac:dyDescent="0.1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</row>
  </sheetData>
  <mergeCells count="8">
    <mergeCell ref="A51:N54"/>
    <mergeCell ref="A56:N58"/>
    <mergeCell ref="B30:C30"/>
    <mergeCell ref="B31:C31"/>
    <mergeCell ref="B32:C32"/>
    <mergeCell ref="B33:C33"/>
    <mergeCell ref="B34:C34"/>
    <mergeCell ref="A39:N49"/>
  </mergeCells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P28"/>
  <sheetViews>
    <sheetView showGridLines="0" workbookViewId="0">
      <selection activeCell="D28" sqref="D28"/>
    </sheetView>
  </sheetViews>
  <sheetFormatPr baseColWidth="10" defaultColWidth="8.83203125" defaultRowHeight="13" x14ac:dyDescent="0.15"/>
  <cols>
    <col min="1" max="1" width="25.1640625" style="5" bestFit="1" customWidth="1"/>
    <col min="2" max="2" width="14.1640625" style="5" bestFit="1" customWidth="1"/>
    <col min="3" max="3" width="13.6640625" style="5" bestFit="1" customWidth="1"/>
    <col min="4" max="4" width="11" style="28" bestFit="1" customWidth="1"/>
    <col min="5" max="5" width="10.5" style="5" customWidth="1"/>
    <col min="6" max="6" width="10" style="5" bestFit="1" customWidth="1"/>
    <col min="7" max="15" width="9.5" style="5" bestFit="1" customWidth="1"/>
    <col min="16" max="16" width="15.6640625" style="5" bestFit="1" customWidth="1"/>
    <col min="17" max="16384" width="8.83203125" style="5"/>
  </cols>
  <sheetData>
    <row r="1" spans="1:15" x14ac:dyDescent="0.15">
      <c r="A1" s="11"/>
      <c r="D1" s="5"/>
      <c r="O1" s="3"/>
    </row>
    <row r="2" spans="1:15" x14ac:dyDescent="0.15">
      <c r="A2" s="11" t="s">
        <v>203</v>
      </c>
    </row>
    <row r="4" spans="1:15" x14ac:dyDescent="0.15">
      <c r="A4" s="6" t="s">
        <v>204</v>
      </c>
      <c r="B4" s="6" t="s">
        <v>13</v>
      </c>
      <c r="C4" s="7" t="s">
        <v>205</v>
      </c>
      <c r="D4" s="7" t="s">
        <v>206</v>
      </c>
    </row>
    <row r="5" spans="1:15" x14ac:dyDescent="0.15">
      <c r="A5" s="5" t="s">
        <v>14</v>
      </c>
      <c r="B5" s="5" t="s">
        <v>62</v>
      </c>
      <c r="C5" s="105">
        <f>'Other Information'!D34</f>
        <v>250000</v>
      </c>
      <c r="D5" s="122">
        <f>'F - Selling Admin Exp'!C5/12</f>
        <v>20833.333333333332</v>
      </c>
    </row>
    <row r="6" spans="1:15" x14ac:dyDescent="0.15">
      <c r="A6" s="5" t="s">
        <v>15</v>
      </c>
      <c r="B6" s="5" t="s">
        <v>62</v>
      </c>
      <c r="C6" s="105">
        <f>'Other Information'!D35</f>
        <v>115000</v>
      </c>
      <c r="D6" s="122">
        <f>'F - Selling Admin Exp'!C6/12</f>
        <v>9583.3333333333339</v>
      </c>
    </row>
    <row r="7" spans="1:15" x14ac:dyDescent="0.15">
      <c r="A7" s="5" t="s">
        <v>16</v>
      </c>
      <c r="B7" s="5" t="s">
        <v>62</v>
      </c>
      <c r="C7" s="105">
        <f>'Other Information'!D36</f>
        <v>115000</v>
      </c>
      <c r="D7" s="122">
        <f>'F - Selling Admin Exp'!C7/12</f>
        <v>9583.3333333333339</v>
      </c>
    </row>
    <row r="8" spans="1:15" x14ac:dyDescent="0.15">
      <c r="A8" s="5" t="s">
        <v>66</v>
      </c>
      <c r="B8" s="5" t="s">
        <v>62</v>
      </c>
      <c r="C8" s="105">
        <f>'Other Information'!D37</f>
        <v>115000</v>
      </c>
      <c r="D8" s="122">
        <f>'F - Selling Admin Exp'!C8/12</f>
        <v>9583.3333333333339</v>
      </c>
    </row>
    <row r="9" spans="1:15" x14ac:dyDescent="0.15">
      <c r="A9" s="5" t="s">
        <v>17</v>
      </c>
      <c r="B9" s="5" t="s">
        <v>62</v>
      </c>
      <c r="C9" s="105">
        <f>'Other Information'!D38</f>
        <v>100000</v>
      </c>
      <c r="D9" s="122">
        <f>'F - Selling Admin Exp'!C9/12</f>
        <v>8333.3333333333339</v>
      </c>
    </row>
    <row r="10" spans="1:15" x14ac:dyDescent="0.15">
      <c r="A10" s="5" t="s">
        <v>65</v>
      </c>
      <c r="B10" s="5" t="s">
        <v>62</v>
      </c>
      <c r="C10" s="105">
        <f>'Other Information'!D39</f>
        <v>40000</v>
      </c>
      <c r="D10" s="122">
        <f>'F - Selling Admin Exp'!C10/12</f>
        <v>3333.3333333333335</v>
      </c>
    </row>
    <row r="11" spans="1:15" x14ac:dyDescent="0.15">
      <c r="A11" s="5" t="s">
        <v>64</v>
      </c>
      <c r="B11" s="5" t="s">
        <v>62</v>
      </c>
      <c r="C11" s="105">
        <f>'Other Information'!D40</f>
        <v>32000</v>
      </c>
      <c r="D11" s="122">
        <f>'F - Selling Admin Exp'!C11/12</f>
        <v>2666.6666666666665</v>
      </c>
    </row>
    <row r="12" spans="1:15" x14ac:dyDescent="0.15">
      <c r="A12" s="5" t="s">
        <v>63</v>
      </c>
      <c r="B12" s="5" t="s">
        <v>62</v>
      </c>
      <c r="C12" s="105">
        <f>'Other Information'!D41</f>
        <v>65000</v>
      </c>
      <c r="D12" s="122">
        <f>'F - Selling Admin Exp'!C12/12</f>
        <v>5416.666666666667</v>
      </c>
    </row>
    <row r="13" spans="1:15" x14ac:dyDescent="0.15">
      <c r="A13" s="5" t="s">
        <v>207</v>
      </c>
      <c r="C13" s="123">
        <f>SUM(C5:C12)</f>
        <v>832000</v>
      </c>
      <c r="D13" s="123">
        <f>SUM(D5:D12)</f>
        <v>69333.333333333343</v>
      </c>
    </row>
    <row r="15" spans="1:15" x14ac:dyDescent="0.15">
      <c r="A15" s="6" t="s">
        <v>60</v>
      </c>
      <c r="B15" s="6" t="s">
        <v>13</v>
      </c>
      <c r="C15" s="7" t="s">
        <v>205</v>
      </c>
      <c r="D15" s="7" t="s">
        <v>208</v>
      </c>
    </row>
    <row r="16" spans="1:15" x14ac:dyDescent="0.15">
      <c r="A16" s="5" t="s">
        <v>24</v>
      </c>
      <c r="B16" s="5" t="s">
        <v>60</v>
      </c>
      <c r="C16" s="121">
        <f>D16*12</f>
        <v>42000</v>
      </c>
      <c r="D16" s="121">
        <f>'Other Information'!C49</f>
        <v>3500</v>
      </c>
      <c r="E16" s="95"/>
    </row>
    <row r="17" spans="1:16" x14ac:dyDescent="0.15">
      <c r="A17" s="5" t="s">
        <v>55</v>
      </c>
      <c r="B17" s="5" t="s">
        <v>60</v>
      </c>
      <c r="C17" s="121">
        <f t="shared" ref="C17:C18" si="0">D17*12</f>
        <v>12000</v>
      </c>
      <c r="D17" s="121">
        <f>'Other Information'!C50</f>
        <v>1000</v>
      </c>
      <c r="E17" s="95"/>
    </row>
    <row r="18" spans="1:16" x14ac:dyDescent="0.15">
      <c r="A18" s="5" t="s">
        <v>56</v>
      </c>
      <c r="B18" s="5" t="s">
        <v>60</v>
      </c>
      <c r="C18" s="121">
        <f t="shared" si="0"/>
        <v>18000</v>
      </c>
      <c r="D18" s="121">
        <f>'Other Information'!C51</f>
        <v>1500</v>
      </c>
      <c r="E18" s="95"/>
    </row>
    <row r="19" spans="1:16" x14ac:dyDescent="0.15">
      <c r="A19" s="5" t="s">
        <v>25</v>
      </c>
      <c r="B19" s="5" t="s">
        <v>60</v>
      </c>
      <c r="C19" s="101">
        <f>'Other Information'!C52</f>
        <v>8000</v>
      </c>
      <c r="D19" s="124">
        <f>C19/12</f>
        <v>666.66666666666663</v>
      </c>
    </row>
    <row r="20" spans="1:16" x14ac:dyDescent="0.15">
      <c r="A20" s="5" t="s">
        <v>57</v>
      </c>
      <c r="B20" s="5" t="s">
        <v>60</v>
      </c>
      <c r="C20" s="101">
        <f>'Other Information'!C53</f>
        <v>15000</v>
      </c>
      <c r="D20" s="124">
        <f t="shared" ref="D20:D23" si="1">C20/12</f>
        <v>1250</v>
      </c>
    </row>
    <row r="21" spans="1:16" x14ac:dyDescent="0.15">
      <c r="A21" s="5" t="s">
        <v>26</v>
      </c>
      <c r="B21" s="5" t="s">
        <v>60</v>
      </c>
      <c r="C21" s="101">
        <f>'Other Information'!C54</f>
        <v>12000</v>
      </c>
      <c r="D21" s="124">
        <f t="shared" si="1"/>
        <v>1000</v>
      </c>
    </row>
    <row r="22" spans="1:16" x14ac:dyDescent="0.15">
      <c r="A22" s="5" t="s">
        <v>58</v>
      </c>
      <c r="B22" s="5" t="s">
        <v>60</v>
      </c>
      <c r="C22" s="101">
        <f>'Other Information'!C55</f>
        <v>60000</v>
      </c>
      <c r="D22" s="124">
        <f t="shared" si="1"/>
        <v>5000</v>
      </c>
    </row>
    <row r="23" spans="1:16" x14ac:dyDescent="0.15">
      <c r="A23" s="5" t="s">
        <v>59</v>
      </c>
      <c r="B23" s="5" t="s">
        <v>60</v>
      </c>
      <c r="C23" s="101">
        <f>'Other Information'!C56</f>
        <v>75000</v>
      </c>
      <c r="D23" s="124">
        <f t="shared" si="1"/>
        <v>6250</v>
      </c>
      <c r="E23"/>
    </row>
    <row r="24" spans="1:16" x14ac:dyDescent="0.15">
      <c r="A24" s="5" t="s">
        <v>209</v>
      </c>
      <c r="C24" s="123">
        <f>SUM(C16:C23)</f>
        <v>242000</v>
      </c>
      <c r="D24" s="123">
        <f>SUM(D16:D23)</f>
        <v>20166.666666666668</v>
      </c>
      <c r="E24"/>
      <c r="F24"/>
    </row>
    <row r="25" spans="1:16" x14ac:dyDescent="0.15">
      <c r="C25" s="28"/>
      <c r="F25" s="95"/>
    </row>
    <row r="27" spans="1:16" x14ac:dyDescent="0.15">
      <c r="A27" s="6"/>
      <c r="B27" s="6" t="s">
        <v>210</v>
      </c>
      <c r="C27" s="6"/>
      <c r="D27" s="10" t="s">
        <v>160</v>
      </c>
      <c r="E27" s="10" t="s">
        <v>161</v>
      </c>
      <c r="F27" s="10" t="s">
        <v>162</v>
      </c>
      <c r="G27" s="10" t="s">
        <v>163</v>
      </c>
      <c r="H27" s="10" t="s">
        <v>164</v>
      </c>
      <c r="I27" s="10" t="s">
        <v>165</v>
      </c>
      <c r="J27" s="10" t="s">
        <v>166</v>
      </c>
      <c r="K27" s="10" t="s">
        <v>167</v>
      </c>
      <c r="L27" s="10" t="s">
        <v>168</v>
      </c>
      <c r="M27" s="10" t="s">
        <v>169</v>
      </c>
      <c r="N27" s="10" t="s">
        <v>170</v>
      </c>
      <c r="O27" s="10" t="s">
        <v>171</v>
      </c>
      <c r="P27" s="96" t="s">
        <v>211</v>
      </c>
    </row>
    <row r="28" spans="1:16" x14ac:dyDescent="0.15">
      <c r="A28" s="5" t="s">
        <v>212</v>
      </c>
      <c r="B28" s="125">
        <f>1.25%</f>
        <v>1.2500000000000001E-2</v>
      </c>
      <c r="C28" s="97"/>
      <c r="D28" s="123">
        <f>$B$28*'A - Revenue Budget'!C9</f>
        <v>23168.5</v>
      </c>
      <c r="E28" s="123">
        <f>$B$28*'A - Revenue Budget'!D9</f>
        <v>29149.75</v>
      </c>
      <c r="F28" s="123">
        <f>$B$28*'A - Revenue Budget'!E9</f>
        <v>27170.25</v>
      </c>
      <c r="G28" s="123">
        <f>$B$28*'A - Revenue Budget'!F9</f>
        <v>28152.75</v>
      </c>
      <c r="H28" s="123">
        <f>$B$28*'A - Revenue Budget'!G9</f>
        <v>33412.5</v>
      </c>
      <c r="I28" s="123">
        <f>$B$28*'A - Revenue Budget'!H9</f>
        <v>36550.5</v>
      </c>
      <c r="J28" s="123">
        <f>$B$28*'A - Revenue Budget'!I9</f>
        <v>38433.5</v>
      </c>
      <c r="K28" s="123">
        <f>$B$28*'A - Revenue Budget'!J9</f>
        <v>34941.5</v>
      </c>
      <c r="L28" s="123">
        <f>$B$28*'A - Revenue Budget'!K9</f>
        <v>31128.25</v>
      </c>
      <c r="M28" s="123">
        <f>$B$28*'A - Revenue Budget'!L9</f>
        <v>27953.5</v>
      </c>
      <c r="N28" s="123">
        <f>$B$28*'A - Revenue Budget'!M9</f>
        <v>25467</v>
      </c>
      <c r="O28" s="123">
        <f>$B$28*'A - Revenue Budget'!N9</f>
        <v>28997.75</v>
      </c>
      <c r="P28" s="108">
        <f>SUM(D28:O28)</f>
        <v>364525.75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R25"/>
  <sheetViews>
    <sheetView showGridLines="0" workbookViewId="0">
      <selection activeCell="N25" sqref="N25"/>
    </sheetView>
  </sheetViews>
  <sheetFormatPr baseColWidth="10" defaultColWidth="8.83203125" defaultRowHeight="13" x14ac:dyDescent="0.15"/>
  <cols>
    <col min="1" max="1" width="22.5" style="5" bestFit="1" customWidth="1"/>
    <col min="2" max="6" width="10.5" style="5" bestFit="1" customWidth="1"/>
    <col min="7" max="7" width="11.5" style="5" bestFit="1" customWidth="1"/>
    <col min="8" max="9" width="11" style="5" bestFit="1" customWidth="1"/>
    <col min="10" max="11" width="10.5" style="5" bestFit="1" customWidth="1"/>
    <col min="12" max="12" width="10.1640625" style="5" bestFit="1" customWidth="1"/>
    <col min="13" max="13" width="10.5" style="5" bestFit="1" customWidth="1"/>
    <col min="14" max="14" width="19.5" style="5" bestFit="1" customWidth="1"/>
    <col min="15" max="16384" width="8.83203125" style="5"/>
  </cols>
  <sheetData>
    <row r="1" spans="1:18" x14ac:dyDescent="0.15">
      <c r="A1" s="11"/>
      <c r="O1" s="3"/>
    </row>
    <row r="2" spans="1:18" x14ac:dyDescent="0.15">
      <c r="A2" s="11" t="s">
        <v>213</v>
      </c>
    </row>
    <row r="4" spans="1:18" x14ac:dyDescent="0.15">
      <c r="A4" s="5" t="s">
        <v>214</v>
      </c>
      <c r="B4" s="119">
        <f>1.05</f>
        <v>1.05</v>
      </c>
    </row>
    <row r="6" spans="1:18" x14ac:dyDescent="0.15">
      <c r="A6" s="6" t="s">
        <v>4</v>
      </c>
      <c r="B6" s="79" t="s">
        <v>160</v>
      </c>
      <c r="C6" s="79" t="s">
        <v>161</v>
      </c>
      <c r="D6" s="79" t="s">
        <v>162</v>
      </c>
      <c r="E6" s="79" t="s">
        <v>163</v>
      </c>
      <c r="F6" s="79" t="s">
        <v>164</v>
      </c>
      <c r="G6" s="79" t="s">
        <v>165</v>
      </c>
      <c r="H6" s="79" t="s">
        <v>166</v>
      </c>
      <c r="I6" s="79" t="s">
        <v>167</v>
      </c>
      <c r="J6" s="79" t="s">
        <v>168</v>
      </c>
      <c r="K6" s="79" t="s">
        <v>169</v>
      </c>
      <c r="L6" s="79" t="s">
        <v>170</v>
      </c>
      <c r="M6" s="79" t="s">
        <v>171</v>
      </c>
      <c r="N6" s="98" t="s">
        <v>215</v>
      </c>
    </row>
    <row r="7" spans="1:18" x14ac:dyDescent="0.15">
      <c r="A7" s="5" t="s">
        <v>76</v>
      </c>
      <c r="B7" s="100">
        <f>$B$4*'Sales Demand'!B4</f>
        <v>10647</v>
      </c>
      <c r="C7" s="100">
        <f>$B$4*'Sales Demand'!C4</f>
        <v>16810.5</v>
      </c>
      <c r="D7" s="100">
        <f>$B$4*'Sales Demand'!D4</f>
        <v>12432</v>
      </c>
      <c r="E7" s="100">
        <f>$B$4*'Sales Demand'!E4</f>
        <v>7812</v>
      </c>
      <c r="F7" s="100">
        <f>$B$4*'Sales Demand'!F4</f>
        <v>16243.5</v>
      </c>
      <c r="G7" s="100">
        <f>$B$4*'Sales Demand'!G4</f>
        <v>22911</v>
      </c>
      <c r="H7" s="100">
        <f>$B$4*'Sales Demand'!H4</f>
        <v>23940</v>
      </c>
      <c r="I7" s="100">
        <f>$B$4*'Sales Demand'!I4</f>
        <v>24780</v>
      </c>
      <c r="J7" s="100">
        <f>$B$4*'Sales Demand'!J4</f>
        <v>17671.5</v>
      </c>
      <c r="K7" s="100">
        <f>$B$4*'Sales Demand'!K4</f>
        <v>17115</v>
      </c>
      <c r="L7" s="100">
        <f>$B$4*'Sales Demand'!L4</f>
        <v>15508.5</v>
      </c>
      <c r="M7" s="100">
        <f>$B$4*'Sales Demand'!M4</f>
        <v>16275</v>
      </c>
      <c r="N7" s="100">
        <f>SUM(B7:M7)</f>
        <v>202146</v>
      </c>
    </row>
    <row r="8" spans="1:18" x14ac:dyDescent="0.15">
      <c r="A8" s="5" t="s">
        <v>79</v>
      </c>
      <c r="B8" s="109">
        <f>$B$4*'Sales Demand'!B5</f>
        <v>10374</v>
      </c>
      <c r="C8" s="109">
        <f>$B$4*'Sales Demand'!C5</f>
        <v>12694.5</v>
      </c>
      <c r="D8" s="109">
        <f>$B$4*'Sales Demand'!D5</f>
        <v>11602.5</v>
      </c>
      <c r="E8" s="109">
        <f>$B$4*'Sales Demand'!E5</f>
        <v>10531.5</v>
      </c>
      <c r="F8" s="109">
        <f>$B$4*'Sales Demand'!F5</f>
        <v>16590</v>
      </c>
      <c r="G8" s="109">
        <f>$B$4*'Sales Demand'!G5</f>
        <v>17986.5</v>
      </c>
      <c r="H8" s="109">
        <f>$B$4*'Sales Demand'!H5</f>
        <v>13639.5</v>
      </c>
      <c r="I8" s="109">
        <f>$B$4*'Sales Demand'!I5</f>
        <v>14227.5</v>
      </c>
      <c r="J8" s="109">
        <f>$B$4*'Sales Demand'!J5</f>
        <v>15151.5</v>
      </c>
      <c r="K8" s="109">
        <f>$B$4*'Sales Demand'!K5</f>
        <v>16065</v>
      </c>
      <c r="L8" s="109">
        <f>$B$4*'Sales Demand'!L5</f>
        <v>10668</v>
      </c>
      <c r="M8" s="109">
        <f>$B$4*'Sales Demand'!M5</f>
        <v>13314</v>
      </c>
      <c r="N8" s="100">
        <f t="shared" ref="N8:N10" si="0">SUM(B8:M8)</f>
        <v>162844.5</v>
      </c>
    </row>
    <row r="9" spans="1:18" x14ac:dyDescent="0.15">
      <c r="A9" s="5" t="s">
        <v>81</v>
      </c>
      <c r="B9" s="109">
        <f>$B$4*'Sales Demand'!B6</f>
        <v>21735</v>
      </c>
      <c r="C9" s="109">
        <f>$B$4*'Sales Demand'!C6</f>
        <v>22113</v>
      </c>
      <c r="D9" s="109">
        <f>$B$4*'Sales Demand'!D6</f>
        <v>20002.5</v>
      </c>
      <c r="E9" s="109">
        <f>$B$4*'Sales Demand'!E6</f>
        <v>24055.5</v>
      </c>
      <c r="F9" s="109">
        <f>$B$4*'Sales Demand'!F6</f>
        <v>26470.5</v>
      </c>
      <c r="G9" s="109">
        <f>$B$4*'Sales Demand'!G6</f>
        <v>22869</v>
      </c>
      <c r="H9" s="109">
        <f>$B$4*'Sales Demand'!H6</f>
        <v>28780.5</v>
      </c>
      <c r="I9" s="109">
        <f>$B$4*'Sales Demand'!I6</f>
        <v>24748.5</v>
      </c>
      <c r="J9" s="109">
        <f>$B$4*'Sales Demand'!J6</f>
        <v>22365</v>
      </c>
      <c r="K9" s="109">
        <f>$B$4*'Sales Demand'!K6</f>
        <v>16495.5</v>
      </c>
      <c r="L9" s="109">
        <f>$B$4*'Sales Demand'!L6</f>
        <v>17965.5</v>
      </c>
      <c r="M9" s="109">
        <f>$B$4*'Sales Demand'!M6</f>
        <v>19183.5</v>
      </c>
      <c r="N9" s="100">
        <f t="shared" si="0"/>
        <v>266784</v>
      </c>
    </row>
    <row r="10" spans="1:18" x14ac:dyDescent="0.15">
      <c r="A10" s="5" t="s">
        <v>80</v>
      </c>
      <c r="B10" s="118">
        <f>$B$4*'Sales Demand'!B7</f>
        <v>22900.5</v>
      </c>
      <c r="C10" s="118">
        <f>$B$4*'Sales Demand'!C7</f>
        <v>33726</v>
      </c>
      <c r="D10" s="118">
        <f>$B$4*'Sales Demand'!D7</f>
        <v>37180.5</v>
      </c>
      <c r="E10" s="118">
        <f>$B$4*'Sales Demand'!E7</f>
        <v>42157.5</v>
      </c>
      <c r="F10" s="118">
        <f>$B$4*'Sales Demand'!F7</f>
        <v>37978.5</v>
      </c>
      <c r="G10" s="118">
        <f>$B$4*'Sales Demand'!G7</f>
        <v>44730</v>
      </c>
      <c r="H10" s="118">
        <f>$B$4*'Sales Demand'!H7</f>
        <v>47166</v>
      </c>
      <c r="I10" s="118">
        <f>$B$4*'Sales Demand'!I7</f>
        <v>38430</v>
      </c>
      <c r="J10" s="118">
        <f>$B$4*'Sales Demand'!J7</f>
        <v>36120</v>
      </c>
      <c r="K10" s="118">
        <f>$B$4*'Sales Demand'!K7</f>
        <v>33033</v>
      </c>
      <c r="L10" s="118">
        <f>$B$4*'Sales Demand'!L7</f>
        <v>31174.5</v>
      </c>
      <c r="M10" s="118">
        <f>$B$4*'Sales Demand'!M7</f>
        <v>37768.5</v>
      </c>
      <c r="N10" s="100">
        <f t="shared" si="0"/>
        <v>442365</v>
      </c>
    </row>
    <row r="11" spans="1:18" x14ac:dyDescent="0.15">
      <c r="A11" s="5" t="s">
        <v>0</v>
      </c>
      <c r="B11" s="110">
        <f>SUM(B7:B10)</f>
        <v>65656.5</v>
      </c>
      <c r="C11" s="110">
        <f t="shared" ref="C11:M11" si="1">SUM(C7:C10)</f>
        <v>85344</v>
      </c>
      <c r="D11" s="110">
        <f t="shared" si="1"/>
        <v>81217.5</v>
      </c>
      <c r="E11" s="110">
        <f t="shared" si="1"/>
        <v>84556.5</v>
      </c>
      <c r="F11" s="110">
        <f t="shared" si="1"/>
        <v>97282.5</v>
      </c>
      <c r="G11" s="110">
        <f t="shared" si="1"/>
        <v>108496.5</v>
      </c>
      <c r="H11" s="110">
        <f t="shared" si="1"/>
        <v>113526</v>
      </c>
      <c r="I11" s="110">
        <f t="shared" si="1"/>
        <v>102186</v>
      </c>
      <c r="J11" s="110">
        <f t="shared" si="1"/>
        <v>91308</v>
      </c>
      <c r="K11" s="110">
        <f t="shared" si="1"/>
        <v>82708.5</v>
      </c>
      <c r="L11" s="110">
        <f t="shared" si="1"/>
        <v>75316.5</v>
      </c>
      <c r="M11" s="110">
        <f t="shared" si="1"/>
        <v>86541</v>
      </c>
      <c r="N11" s="110">
        <f>SUM(N7:N10)</f>
        <v>1074139.5</v>
      </c>
    </row>
    <row r="15" spans="1:18" x14ac:dyDescent="0.15">
      <c r="R15" s="36"/>
    </row>
    <row r="25" spans="14:14" x14ac:dyDescent="0.15">
      <c r="N25" s="5" t="s">
        <v>242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O32"/>
  <sheetViews>
    <sheetView showGridLines="0" workbookViewId="0">
      <selection activeCell="C6" sqref="C6"/>
    </sheetView>
  </sheetViews>
  <sheetFormatPr baseColWidth="10" defaultColWidth="8.83203125" defaultRowHeight="13" x14ac:dyDescent="0.15"/>
  <cols>
    <col min="1" max="1" width="19.83203125" style="5" customWidth="1"/>
    <col min="2" max="2" width="11.5" style="5" customWidth="1"/>
    <col min="3" max="4" width="12" style="5" bestFit="1" customWidth="1"/>
    <col min="5" max="5" width="12.1640625" style="5" customWidth="1"/>
    <col min="6" max="15" width="12.1640625" style="5" bestFit="1" customWidth="1"/>
    <col min="16" max="16384" width="8.83203125" style="5"/>
  </cols>
  <sheetData>
    <row r="1" spans="1:15" x14ac:dyDescent="0.15">
      <c r="A1" s="11"/>
      <c r="O1" s="3"/>
    </row>
    <row r="2" spans="1:15" x14ac:dyDescent="0.15">
      <c r="A2" s="11" t="s">
        <v>216</v>
      </c>
    </row>
    <row r="4" spans="1:15" x14ac:dyDescent="0.15">
      <c r="A4" s="6"/>
      <c r="B4" s="6" t="s">
        <v>217</v>
      </c>
      <c r="C4" s="10" t="s">
        <v>160</v>
      </c>
      <c r="D4" s="10" t="s">
        <v>161</v>
      </c>
      <c r="E4" s="10" t="s">
        <v>162</v>
      </c>
      <c r="F4" s="10" t="s">
        <v>163</v>
      </c>
      <c r="G4" s="10" t="s">
        <v>164</v>
      </c>
      <c r="H4" s="10" t="s">
        <v>165</v>
      </c>
      <c r="I4" s="10" t="s">
        <v>166</v>
      </c>
      <c r="J4" s="10" t="s">
        <v>167</v>
      </c>
      <c r="K4" s="10" t="s">
        <v>168</v>
      </c>
      <c r="L4" s="10" t="s">
        <v>169</v>
      </c>
      <c r="M4" s="10" t="s">
        <v>170</v>
      </c>
      <c r="N4" s="10" t="s">
        <v>171</v>
      </c>
      <c r="O4" s="10" t="s">
        <v>239</v>
      </c>
    </row>
    <row r="5" spans="1:15" x14ac:dyDescent="0.15">
      <c r="A5" s="38" t="s">
        <v>67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5" x14ac:dyDescent="0.15">
      <c r="A6" s="5" t="s">
        <v>218</v>
      </c>
      <c r="B6" s="120">
        <v>0.5</v>
      </c>
      <c r="C6" s="121">
        <f>'A - Revenue Budget'!C9*0.5</f>
        <v>926740</v>
      </c>
      <c r="D6" s="121">
        <f>'A - Revenue Budget'!D9*0.5</f>
        <v>1165990</v>
      </c>
      <c r="E6" s="121">
        <f>'A - Revenue Budget'!E9*0.5</f>
        <v>1086810</v>
      </c>
      <c r="F6" s="121">
        <f>'A - Revenue Budget'!F9*0.5</f>
        <v>1126110</v>
      </c>
      <c r="G6" s="121">
        <f>'A - Revenue Budget'!G9*0.5</f>
        <v>1336500</v>
      </c>
      <c r="H6" s="121">
        <f>'A - Revenue Budget'!H9*0.5</f>
        <v>1462020</v>
      </c>
      <c r="I6" s="121">
        <f>'A - Revenue Budget'!I9*0.5</f>
        <v>1537340</v>
      </c>
      <c r="J6" s="121">
        <f>'A - Revenue Budget'!J9*0.5</f>
        <v>1397660</v>
      </c>
      <c r="K6" s="121">
        <f>'A - Revenue Budget'!K9*0.5</f>
        <v>1245130</v>
      </c>
      <c r="L6" s="121">
        <f>'A - Revenue Budget'!L9*0.5</f>
        <v>1118140</v>
      </c>
      <c r="M6" s="121">
        <f>'A - Revenue Budget'!M9*0.5</f>
        <v>1018680</v>
      </c>
      <c r="N6" s="121">
        <f>'A - Revenue Budget'!N9*0.5</f>
        <v>1159910</v>
      </c>
      <c r="O6" s="121">
        <v>0</v>
      </c>
    </row>
    <row r="7" spans="1:15" x14ac:dyDescent="0.15">
      <c r="A7" s="5" t="s">
        <v>219</v>
      </c>
      <c r="B7" s="120">
        <v>0.5</v>
      </c>
      <c r="C7" s="106">
        <f>899528-794360</f>
        <v>105168</v>
      </c>
      <c r="D7" s="106">
        <f>'A - Revenue Budget'!C9*0.5</f>
        <v>926740</v>
      </c>
      <c r="E7" s="106">
        <f>'A - Revenue Budget'!D9*0.5</f>
        <v>1165990</v>
      </c>
      <c r="F7" s="106">
        <f>'A - Revenue Budget'!E9*0.5</f>
        <v>1086810</v>
      </c>
      <c r="G7" s="106">
        <f>'A - Revenue Budget'!F9*0.5</f>
        <v>1126110</v>
      </c>
      <c r="H7" s="106">
        <f>'A - Revenue Budget'!G9*0.5</f>
        <v>1336500</v>
      </c>
      <c r="I7" s="106">
        <f>'A - Revenue Budget'!H9*0.5</f>
        <v>1462020</v>
      </c>
      <c r="J7" s="106">
        <f>'A - Revenue Budget'!I9*0.5</f>
        <v>1537340</v>
      </c>
      <c r="K7" s="106">
        <f>'A - Revenue Budget'!J9*0.5</f>
        <v>1397660</v>
      </c>
      <c r="L7" s="106">
        <f>'A - Revenue Budget'!K9*0.5</f>
        <v>1245130</v>
      </c>
      <c r="M7" s="106">
        <f>'A - Revenue Budget'!L9*0.5</f>
        <v>1118140</v>
      </c>
      <c r="N7" s="106">
        <f>'A - Revenue Budget'!M9*0.5</f>
        <v>1018680</v>
      </c>
      <c r="O7" s="106">
        <f>'A - Revenue Budget'!N9*0.5</f>
        <v>1159910</v>
      </c>
    </row>
    <row r="8" spans="1:15" x14ac:dyDescent="0.15">
      <c r="A8" s="5" t="s">
        <v>220</v>
      </c>
      <c r="B8" s="99"/>
      <c r="C8" s="108">
        <f>SUM(C6:C7)</f>
        <v>1031908</v>
      </c>
      <c r="D8" s="108">
        <f t="shared" ref="D8:N8" si="0">SUM(D6:D7)</f>
        <v>2092730</v>
      </c>
      <c r="E8" s="108">
        <f t="shared" si="0"/>
        <v>2252800</v>
      </c>
      <c r="F8" s="108">
        <f t="shared" si="0"/>
        <v>2212920</v>
      </c>
      <c r="G8" s="108">
        <f t="shared" si="0"/>
        <v>2462610</v>
      </c>
      <c r="H8" s="108">
        <f t="shared" si="0"/>
        <v>2798520</v>
      </c>
      <c r="I8" s="108">
        <f t="shared" si="0"/>
        <v>2999360</v>
      </c>
      <c r="J8" s="108">
        <f t="shared" si="0"/>
        <v>2935000</v>
      </c>
      <c r="K8" s="108">
        <f t="shared" si="0"/>
        <v>2642790</v>
      </c>
      <c r="L8" s="108">
        <f t="shared" si="0"/>
        <v>2363270</v>
      </c>
      <c r="M8" s="108">
        <f t="shared" si="0"/>
        <v>2136820</v>
      </c>
      <c r="N8" s="108">
        <f t="shared" si="0"/>
        <v>2178590</v>
      </c>
      <c r="O8" s="108">
        <f>O7</f>
        <v>1159910</v>
      </c>
    </row>
    <row r="9" spans="1:15" x14ac:dyDescent="0.15">
      <c r="B9" s="99"/>
    </row>
    <row r="10" spans="1:15" x14ac:dyDescent="0.15">
      <c r="B10" s="99"/>
    </row>
    <row r="11" spans="1:15" x14ac:dyDescent="0.15">
      <c r="A11" s="38" t="s">
        <v>221</v>
      </c>
      <c r="B11" s="9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5" x14ac:dyDescent="0.15">
      <c r="A12" s="5" t="s">
        <v>218</v>
      </c>
      <c r="B12" s="120">
        <v>0.4</v>
      </c>
      <c r="C12" s="121">
        <f>'B - DM Budget'!E9*0.4</f>
        <v>458975.69568</v>
      </c>
      <c r="D12" s="121">
        <f>'B - DM Budget'!F9*0.4</f>
        <v>599555.13792000001</v>
      </c>
      <c r="E12" s="121">
        <f>'B - DM Budget'!G9*0.4</f>
        <v>569989.14240000001</v>
      </c>
      <c r="F12" s="121">
        <f>'B - DM Budget'!H9*0.4</f>
        <v>590913.35231999995</v>
      </c>
      <c r="G12" s="121">
        <f>'B - DM Budget'!I9*0.4</f>
        <v>682219.97184000001</v>
      </c>
      <c r="H12" s="121">
        <f>'B - DM Budget'!J9*0.4</f>
        <v>764479.45440000005</v>
      </c>
      <c r="I12" s="121">
        <f>'B - DM Budget'!K9*0.4</f>
        <v>798159.02495999995</v>
      </c>
      <c r="J12" s="121">
        <f>'B - DM Budget'!L9*0.4</f>
        <v>719707.54080000008</v>
      </c>
      <c r="K12" s="121">
        <f>'B - DM Budget'!M9*0.4</f>
        <v>641838.05376000004</v>
      </c>
      <c r="L12" s="121">
        <f>'B - DM Budget'!N9*0.4</f>
        <v>583028.50176000001</v>
      </c>
      <c r="M12" s="121">
        <f>'B - DM Budget'!O9*0.4</f>
        <v>529833.14112000004</v>
      </c>
      <c r="N12" s="121">
        <f>'B - DM Budget'!P9*0.4</f>
        <v>608909.86079999991</v>
      </c>
      <c r="O12" s="121">
        <v>0</v>
      </c>
    </row>
    <row r="13" spans="1:15" x14ac:dyDescent="0.15">
      <c r="A13" s="5" t="s">
        <v>219</v>
      </c>
      <c r="B13" s="120">
        <v>0.6</v>
      </c>
      <c r="C13" s="106">
        <v>1032695</v>
      </c>
      <c r="D13" s="106">
        <f>'B - DM Budget'!E9*0.6</f>
        <v>688463.54351999995</v>
      </c>
      <c r="E13" s="106">
        <f>'B - DM Budget'!F9*0.6</f>
        <v>899332.70687999984</v>
      </c>
      <c r="F13" s="106">
        <f>'B - DM Budget'!G9*0.6</f>
        <v>854983.7135999999</v>
      </c>
      <c r="G13" s="106">
        <f>'B - DM Budget'!H9*0.6</f>
        <v>886370.02847999998</v>
      </c>
      <c r="H13" s="106">
        <f>'B - DM Budget'!I9*0.6</f>
        <v>1023329.9577599999</v>
      </c>
      <c r="I13" s="106">
        <f>'B - DM Budget'!J9*0.6</f>
        <v>1146719.1816</v>
      </c>
      <c r="J13" s="106">
        <f>'B - DM Budget'!K9*0.6</f>
        <v>1197238.5374399999</v>
      </c>
      <c r="K13" s="106">
        <f>'B - DM Budget'!L9*0.6</f>
        <v>1079561.3111999999</v>
      </c>
      <c r="L13" s="106">
        <f>'B - DM Budget'!M9*0.6</f>
        <v>962757.08063999983</v>
      </c>
      <c r="M13" s="106">
        <f>'B - DM Budget'!N9*0.6</f>
        <v>874542.75263999996</v>
      </c>
      <c r="N13" s="106">
        <f>'B - DM Budget'!O9*0.6</f>
        <v>794749.71167999995</v>
      </c>
      <c r="O13" s="106">
        <f>'B - DM Budget'!P9*0.6</f>
        <v>913364.79119999986</v>
      </c>
    </row>
    <row r="14" spans="1:15" x14ac:dyDescent="0.15">
      <c r="A14" s="5" t="s">
        <v>222</v>
      </c>
      <c r="B14" s="99"/>
      <c r="C14" s="108">
        <f>SUM(C12:C13)</f>
        <v>1491670.6956799999</v>
      </c>
      <c r="D14" s="108">
        <f t="shared" ref="D14:N14" si="1">SUM(D12:D13)</f>
        <v>1288018.68144</v>
      </c>
      <c r="E14" s="108">
        <f t="shared" si="1"/>
        <v>1469321.8492799997</v>
      </c>
      <c r="F14" s="108">
        <f t="shared" si="1"/>
        <v>1445897.06592</v>
      </c>
      <c r="G14" s="108">
        <f t="shared" si="1"/>
        <v>1568590.0003200001</v>
      </c>
      <c r="H14" s="108">
        <f t="shared" si="1"/>
        <v>1787809.4121599998</v>
      </c>
      <c r="I14" s="108">
        <f t="shared" si="1"/>
        <v>1944878.2065599998</v>
      </c>
      <c r="J14" s="108">
        <f t="shared" si="1"/>
        <v>1916946.0782399999</v>
      </c>
      <c r="K14" s="108">
        <f t="shared" si="1"/>
        <v>1721399.3649599999</v>
      </c>
      <c r="L14" s="108">
        <f t="shared" si="1"/>
        <v>1545785.5823999997</v>
      </c>
      <c r="M14" s="108">
        <f t="shared" si="1"/>
        <v>1404375.8937599999</v>
      </c>
      <c r="N14" s="108">
        <f t="shared" si="1"/>
        <v>1403659.5724799999</v>
      </c>
      <c r="O14" s="108">
        <f>O13</f>
        <v>913364.79119999986</v>
      </c>
    </row>
    <row r="15" spans="1:15" x14ac:dyDescent="0.15">
      <c r="B15" s="99"/>
    </row>
    <row r="16" spans="1:15" x14ac:dyDescent="0.15">
      <c r="B16" s="99"/>
    </row>
    <row r="17" spans="1:15" x14ac:dyDescent="0.15">
      <c r="A17" s="38" t="s">
        <v>223</v>
      </c>
      <c r="B17" s="9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5" x14ac:dyDescent="0.15">
      <c r="A18" s="5" t="s">
        <v>218</v>
      </c>
      <c r="B18" s="120">
        <v>0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</row>
    <row r="19" spans="1:15" x14ac:dyDescent="0.15">
      <c r="A19" s="5" t="s">
        <v>219</v>
      </c>
      <c r="B19" s="120">
        <v>1</v>
      </c>
      <c r="C19" s="106">
        <v>75365</v>
      </c>
      <c r="D19" s="106">
        <f>'D - VOH'!B11</f>
        <v>76283.399999999994</v>
      </c>
      <c r="E19" s="106">
        <f>'D - VOH'!C11</f>
        <v>99459.200000000012</v>
      </c>
      <c r="F19" s="106">
        <f>'D - VOH'!D11</f>
        <v>94475.4</v>
      </c>
      <c r="G19" s="106">
        <f>'D - VOH'!E11</f>
        <v>98034.2</v>
      </c>
      <c r="H19" s="106">
        <f>'D - VOH'!F11</f>
        <v>113141</v>
      </c>
      <c r="I19" s="106">
        <f>'D - VOH'!G11</f>
        <v>126593.60000000001</v>
      </c>
      <c r="J19" s="106">
        <f>'D - VOH'!H11</f>
        <v>132466.40000000002</v>
      </c>
      <c r="K19" s="106">
        <f>'D - VOH'!I11</f>
        <v>119404</v>
      </c>
      <c r="L19" s="106">
        <f>'D - VOH'!J11</f>
        <v>106386.4</v>
      </c>
      <c r="M19" s="106">
        <f>'D - VOH'!K11</f>
        <v>96457.200000000012</v>
      </c>
      <c r="N19" s="106">
        <f>'D - VOH'!L11</f>
        <v>87851.4</v>
      </c>
      <c r="O19" s="106">
        <f>'D - VOH'!M11</f>
        <v>100863.4</v>
      </c>
    </row>
    <row r="20" spans="1:15" x14ac:dyDescent="0.15">
      <c r="A20" s="5" t="s">
        <v>222</v>
      </c>
      <c r="B20" s="99"/>
      <c r="C20" s="108">
        <f>SUM(C18:C19)</f>
        <v>75365</v>
      </c>
      <c r="D20" s="108">
        <f t="shared" ref="D20:O20" si="2">SUM(D18:D19)</f>
        <v>76283.399999999994</v>
      </c>
      <c r="E20" s="108">
        <f t="shared" si="2"/>
        <v>99459.200000000012</v>
      </c>
      <c r="F20" s="108">
        <f t="shared" si="2"/>
        <v>94475.4</v>
      </c>
      <c r="G20" s="108">
        <f t="shared" si="2"/>
        <v>98034.2</v>
      </c>
      <c r="H20" s="108">
        <f t="shared" si="2"/>
        <v>113141</v>
      </c>
      <c r="I20" s="108">
        <f t="shared" si="2"/>
        <v>126593.60000000001</v>
      </c>
      <c r="J20" s="108">
        <f t="shared" si="2"/>
        <v>132466.40000000002</v>
      </c>
      <c r="K20" s="108">
        <f t="shared" si="2"/>
        <v>119404</v>
      </c>
      <c r="L20" s="108">
        <f t="shared" si="2"/>
        <v>106386.4</v>
      </c>
      <c r="M20" s="108">
        <f t="shared" si="2"/>
        <v>96457.200000000012</v>
      </c>
      <c r="N20" s="108">
        <f t="shared" si="2"/>
        <v>87851.4</v>
      </c>
      <c r="O20" s="108">
        <f t="shared" si="2"/>
        <v>100863.4</v>
      </c>
    </row>
    <row r="21" spans="1:15" x14ac:dyDescent="0.15">
      <c r="B21" s="99"/>
    </row>
    <row r="22" spans="1:15" x14ac:dyDescent="0.15">
      <c r="B22" s="99"/>
    </row>
    <row r="23" spans="1:15" x14ac:dyDescent="0.15">
      <c r="A23" s="38" t="s">
        <v>27</v>
      </c>
      <c r="B23" s="99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</row>
    <row r="24" spans="1:15" x14ac:dyDescent="0.15">
      <c r="A24" s="5" t="s">
        <v>218</v>
      </c>
      <c r="B24" s="120">
        <v>0</v>
      </c>
      <c r="C24" s="121"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</row>
    <row r="25" spans="1:15" x14ac:dyDescent="0.15">
      <c r="A25" s="5" t="s">
        <v>219</v>
      </c>
      <c r="B25" s="120">
        <v>1</v>
      </c>
      <c r="C25" s="106">
        <v>22488.2</v>
      </c>
      <c r="D25" s="106">
        <f>'F - Selling Admin Exp'!D28</f>
        <v>23168.5</v>
      </c>
      <c r="E25" s="106">
        <f>'F - Selling Admin Exp'!E28</f>
        <v>29149.75</v>
      </c>
      <c r="F25" s="106">
        <f>'F - Selling Admin Exp'!F28</f>
        <v>27170.25</v>
      </c>
      <c r="G25" s="106">
        <f>'F - Selling Admin Exp'!G28</f>
        <v>28152.75</v>
      </c>
      <c r="H25" s="106">
        <f>'F - Selling Admin Exp'!H28</f>
        <v>33412.5</v>
      </c>
      <c r="I25" s="106">
        <f>'F - Selling Admin Exp'!I28</f>
        <v>36550.5</v>
      </c>
      <c r="J25" s="106">
        <f>'F - Selling Admin Exp'!J28</f>
        <v>38433.5</v>
      </c>
      <c r="K25" s="106">
        <f>'F - Selling Admin Exp'!K28</f>
        <v>34941.5</v>
      </c>
      <c r="L25" s="106">
        <f>'F - Selling Admin Exp'!L28</f>
        <v>31128.25</v>
      </c>
      <c r="M25" s="106">
        <f>'F - Selling Admin Exp'!M28</f>
        <v>27953.5</v>
      </c>
      <c r="N25" s="106">
        <f>'F - Selling Admin Exp'!N28</f>
        <v>25467</v>
      </c>
      <c r="O25" s="106">
        <f>'F - Selling Admin Exp'!O28</f>
        <v>28997.75</v>
      </c>
    </row>
    <row r="26" spans="1:15" x14ac:dyDescent="0.15">
      <c r="A26" s="5" t="s">
        <v>222</v>
      </c>
      <c r="B26" s="99"/>
      <c r="C26" s="108">
        <f>SUM(C24:C25)</f>
        <v>22488.2</v>
      </c>
      <c r="D26" s="108">
        <f t="shared" ref="D26:O26" si="3">SUM(D24:D25)</f>
        <v>23168.5</v>
      </c>
      <c r="E26" s="108">
        <f t="shared" si="3"/>
        <v>29149.75</v>
      </c>
      <c r="F26" s="108">
        <f t="shared" si="3"/>
        <v>27170.25</v>
      </c>
      <c r="G26" s="108">
        <f t="shared" si="3"/>
        <v>28152.75</v>
      </c>
      <c r="H26" s="108">
        <f t="shared" si="3"/>
        <v>33412.5</v>
      </c>
      <c r="I26" s="108">
        <f t="shared" si="3"/>
        <v>36550.5</v>
      </c>
      <c r="J26" s="108">
        <f t="shared" si="3"/>
        <v>38433.5</v>
      </c>
      <c r="K26" s="108">
        <f t="shared" si="3"/>
        <v>34941.5</v>
      </c>
      <c r="L26" s="108">
        <f t="shared" si="3"/>
        <v>31128.25</v>
      </c>
      <c r="M26" s="108">
        <f t="shared" si="3"/>
        <v>27953.5</v>
      </c>
      <c r="N26" s="108">
        <f t="shared" si="3"/>
        <v>25467</v>
      </c>
      <c r="O26" s="108">
        <f t="shared" si="3"/>
        <v>28997.75</v>
      </c>
    </row>
    <row r="27" spans="1:15" x14ac:dyDescent="0.15">
      <c r="B27" s="99"/>
    </row>
    <row r="28" spans="1:15" x14ac:dyDescent="0.15">
      <c r="B28" s="99"/>
    </row>
    <row r="29" spans="1:15" x14ac:dyDescent="0.15">
      <c r="A29" s="38" t="s">
        <v>19</v>
      </c>
      <c r="B29" s="9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5" x14ac:dyDescent="0.15">
      <c r="A30" s="5" t="s">
        <v>218</v>
      </c>
      <c r="B30" s="120">
        <v>0</v>
      </c>
      <c r="C30" s="121">
        <v>0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</row>
    <row r="31" spans="1:15" x14ac:dyDescent="0.15">
      <c r="A31" s="5" t="s">
        <v>219</v>
      </c>
      <c r="B31" s="120">
        <v>1</v>
      </c>
      <c r="C31" s="106">
        <v>76890</v>
      </c>
      <c r="D31" s="106">
        <f>'G - Transport Budget'!B11</f>
        <v>65656.5</v>
      </c>
      <c r="E31" s="106">
        <f>'G - Transport Budget'!C11</f>
        <v>85344</v>
      </c>
      <c r="F31" s="106">
        <f>'G - Transport Budget'!D11</f>
        <v>81217.5</v>
      </c>
      <c r="G31" s="106">
        <f>'G - Transport Budget'!E11</f>
        <v>84556.5</v>
      </c>
      <c r="H31" s="106">
        <f>'G - Transport Budget'!F11</f>
        <v>97282.5</v>
      </c>
      <c r="I31" s="106">
        <f>'G - Transport Budget'!G11</f>
        <v>108496.5</v>
      </c>
      <c r="J31" s="106">
        <f>'G - Transport Budget'!H11</f>
        <v>113526</v>
      </c>
      <c r="K31" s="106">
        <f>'G - Transport Budget'!I11</f>
        <v>102186</v>
      </c>
      <c r="L31" s="106">
        <f>'G - Transport Budget'!J11</f>
        <v>91308</v>
      </c>
      <c r="M31" s="106">
        <f>'G - Transport Budget'!K11</f>
        <v>82708.5</v>
      </c>
      <c r="N31" s="106">
        <f>'G - Transport Budget'!L11</f>
        <v>75316.5</v>
      </c>
      <c r="O31" s="106">
        <f>'G - Transport Budget'!M11</f>
        <v>86541</v>
      </c>
    </row>
    <row r="32" spans="1:15" x14ac:dyDescent="0.15">
      <c r="A32" s="5" t="s">
        <v>222</v>
      </c>
      <c r="B32" s="99"/>
      <c r="C32" s="108">
        <f>SUM(C30:C31)</f>
        <v>76890</v>
      </c>
      <c r="D32" s="108">
        <f t="shared" ref="D32:O32" si="4">SUM(D30:D31)</f>
        <v>65656.5</v>
      </c>
      <c r="E32" s="108">
        <f t="shared" si="4"/>
        <v>85344</v>
      </c>
      <c r="F32" s="108">
        <f t="shared" si="4"/>
        <v>81217.5</v>
      </c>
      <c r="G32" s="108">
        <f t="shared" si="4"/>
        <v>84556.5</v>
      </c>
      <c r="H32" s="108">
        <f t="shared" si="4"/>
        <v>97282.5</v>
      </c>
      <c r="I32" s="108">
        <f t="shared" si="4"/>
        <v>108496.5</v>
      </c>
      <c r="J32" s="108">
        <f t="shared" si="4"/>
        <v>113526</v>
      </c>
      <c r="K32" s="108">
        <f t="shared" si="4"/>
        <v>102186</v>
      </c>
      <c r="L32" s="108">
        <f t="shared" si="4"/>
        <v>91308</v>
      </c>
      <c r="M32" s="108">
        <f t="shared" si="4"/>
        <v>82708.5</v>
      </c>
      <c r="N32" s="108">
        <f t="shared" si="4"/>
        <v>75316.5</v>
      </c>
      <c r="O32" s="108">
        <f t="shared" si="4"/>
        <v>86541</v>
      </c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/>
  </sheetPr>
  <dimension ref="A1:O21"/>
  <sheetViews>
    <sheetView showGridLines="0" workbookViewId="0">
      <selection activeCell="B20" sqref="B20"/>
    </sheetView>
  </sheetViews>
  <sheetFormatPr baseColWidth="10" defaultColWidth="8.83203125" defaultRowHeight="13" x14ac:dyDescent="0.15"/>
  <cols>
    <col min="1" max="1" width="23.5" style="5" bestFit="1" customWidth="1"/>
    <col min="2" max="3" width="13.1640625" style="5" bestFit="1" customWidth="1"/>
    <col min="4" max="8" width="13.5" style="5" bestFit="1" customWidth="1"/>
    <col min="9" max="9" width="13.1640625" style="5" bestFit="1" customWidth="1"/>
    <col min="10" max="10" width="12.6640625" style="5" bestFit="1" customWidth="1"/>
    <col min="11" max="12" width="13.1640625" style="5" bestFit="1" customWidth="1"/>
    <col min="13" max="13" width="13.5" style="5" bestFit="1" customWidth="1"/>
    <col min="14" max="16384" width="8.83203125" style="5"/>
  </cols>
  <sheetData>
    <row r="1" spans="1:15" x14ac:dyDescent="0.15">
      <c r="A1" s="44"/>
      <c r="O1" s="3"/>
    </row>
    <row r="2" spans="1:15" x14ac:dyDescent="0.15">
      <c r="A2" s="11" t="s">
        <v>35</v>
      </c>
    </row>
    <row r="4" spans="1:15" x14ac:dyDescent="0.15">
      <c r="B4" s="10" t="s">
        <v>160</v>
      </c>
      <c r="C4" s="10" t="s">
        <v>161</v>
      </c>
      <c r="D4" s="10" t="s">
        <v>162</v>
      </c>
      <c r="E4" s="10" t="s">
        <v>163</v>
      </c>
      <c r="F4" s="10" t="s">
        <v>164</v>
      </c>
      <c r="G4" s="10" t="s">
        <v>165</v>
      </c>
      <c r="H4" s="10" t="s">
        <v>166</v>
      </c>
      <c r="I4" s="10" t="s">
        <v>167</v>
      </c>
      <c r="J4" s="10" t="s">
        <v>168</v>
      </c>
      <c r="K4" s="10" t="s">
        <v>169</v>
      </c>
      <c r="L4" s="10" t="s">
        <v>170</v>
      </c>
      <c r="M4" s="10" t="s">
        <v>171</v>
      </c>
    </row>
    <row r="5" spans="1:15" x14ac:dyDescent="0.15">
      <c r="A5" s="17" t="s">
        <v>20</v>
      </c>
    </row>
    <row r="6" spans="1:15" x14ac:dyDescent="0.15">
      <c r="A6" s="5" t="s">
        <v>67</v>
      </c>
      <c r="B6" s="100">
        <f>'H - Cash Receipts and Payments'!C8</f>
        <v>1031908</v>
      </c>
      <c r="C6" s="100">
        <f>'H - Cash Receipts and Payments'!D8</f>
        <v>2092730</v>
      </c>
      <c r="D6" s="100">
        <f>'H - Cash Receipts and Payments'!E8</f>
        <v>2252800</v>
      </c>
      <c r="E6" s="100">
        <f>'H - Cash Receipts and Payments'!F8</f>
        <v>2212920</v>
      </c>
      <c r="F6" s="100">
        <f>'H - Cash Receipts and Payments'!G8</f>
        <v>2462610</v>
      </c>
      <c r="G6" s="100">
        <f>'H - Cash Receipts and Payments'!H8</f>
        <v>2798520</v>
      </c>
      <c r="H6" s="100">
        <f>'H - Cash Receipts and Payments'!I8</f>
        <v>2999360</v>
      </c>
      <c r="I6" s="100">
        <f>'H - Cash Receipts and Payments'!J8</f>
        <v>2935000</v>
      </c>
      <c r="J6" s="100">
        <f>'H - Cash Receipts and Payments'!K8</f>
        <v>2642790</v>
      </c>
      <c r="K6" s="100">
        <f>'H - Cash Receipts and Payments'!L8</f>
        <v>2363270</v>
      </c>
      <c r="L6" s="100">
        <f>'H - Cash Receipts and Payments'!M8</f>
        <v>2136820</v>
      </c>
      <c r="M6" s="100">
        <f>'H - Cash Receipts and Payments'!N8</f>
        <v>2178590</v>
      </c>
    </row>
    <row r="8" spans="1:15" x14ac:dyDescent="0.15">
      <c r="A8" s="17" t="s">
        <v>68</v>
      </c>
    </row>
    <row r="9" spans="1:15" x14ac:dyDescent="0.15">
      <c r="A9" s="5" t="s">
        <v>36</v>
      </c>
      <c r="B9" s="109">
        <f>'H - Cash Receipts and Payments'!C14</f>
        <v>1491670.6956799999</v>
      </c>
      <c r="C9" s="109">
        <f>'H - Cash Receipts and Payments'!D14</f>
        <v>1288018.68144</v>
      </c>
      <c r="D9" s="109">
        <f>'H - Cash Receipts and Payments'!E14</f>
        <v>1469321.8492799997</v>
      </c>
      <c r="E9" s="109">
        <f>'H - Cash Receipts and Payments'!F14</f>
        <v>1445897.06592</v>
      </c>
      <c r="F9" s="109">
        <f>'H - Cash Receipts and Payments'!G14</f>
        <v>1568590.0003200001</v>
      </c>
      <c r="G9" s="109">
        <f>'H - Cash Receipts and Payments'!H14</f>
        <v>1787809.4121599998</v>
      </c>
      <c r="H9" s="109">
        <f>'H - Cash Receipts and Payments'!I14</f>
        <v>1944878.2065599998</v>
      </c>
      <c r="I9" s="109">
        <f>'H - Cash Receipts and Payments'!J14</f>
        <v>1916946.0782399999</v>
      </c>
      <c r="J9" s="109">
        <f>'H - Cash Receipts and Payments'!K14</f>
        <v>1721399.3649599999</v>
      </c>
      <c r="K9" s="109">
        <f>'H - Cash Receipts and Payments'!L14</f>
        <v>1545785.5823999997</v>
      </c>
      <c r="L9" s="109">
        <f>'H - Cash Receipts and Payments'!M14</f>
        <v>1404375.8937599999</v>
      </c>
      <c r="M9" s="109">
        <f>'H - Cash Receipts and Payments'!N14</f>
        <v>1403659.5724799999</v>
      </c>
    </row>
    <row r="10" spans="1:15" x14ac:dyDescent="0.15">
      <c r="A10" s="5" t="s">
        <v>37</v>
      </c>
      <c r="B10" s="101">
        <f>'C - DL Budget'!C19</f>
        <v>213593.52000000002</v>
      </c>
      <c r="C10" s="101">
        <f>'C - DL Budget'!D19</f>
        <v>278485.76000000001</v>
      </c>
      <c r="D10" s="101">
        <f>'C - DL Budget'!E19</f>
        <v>264531.12</v>
      </c>
      <c r="E10" s="101">
        <f>'C - DL Budget'!F19</f>
        <v>274495.76</v>
      </c>
      <c r="F10" s="101">
        <f>'C - DL Budget'!G19</f>
        <v>316794.8</v>
      </c>
      <c r="G10" s="101">
        <f>'C - DL Budget'!H19</f>
        <v>354462.08</v>
      </c>
      <c r="H10" s="101">
        <f>'C - DL Budget'!I19</f>
        <v>370905.92</v>
      </c>
      <c r="I10" s="101">
        <f>'C - DL Budget'!J19</f>
        <v>334331.2</v>
      </c>
      <c r="J10" s="101">
        <f>'C - DL Budget'!K19</f>
        <v>297881.92</v>
      </c>
      <c r="K10" s="101">
        <f>'C - DL Budget'!L19</f>
        <v>270080.16000000003</v>
      </c>
      <c r="L10" s="101">
        <f>'C - DL Budget'!M19</f>
        <v>245983.92</v>
      </c>
      <c r="M10" s="101">
        <f>'C - DL Budget'!N19</f>
        <v>282417.51999999996</v>
      </c>
    </row>
    <row r="11" spans="1:15" x14ac:dyDescent="0.15">
      <c r="A11" s="5" t="s">
        <v>21</v>
      </c>
      <c r="B11" s="104">
        <f>'H - Cash Receipts and Payments'!C20</f>
        <v>75365</v>
      </c>
      <c r="C11" s="104">
        <f>'H - Cash Receipts and Payments'!D20</f>
        <v>76283.399999999994</v>
      </c>
      <c r="D11" s="104">
        <f>'H - Cash Receipts and Payments'!E20</f>
        <v>99459.200000000012</v>
      </c>
      <c r="E11" s="104">
        <f>'H - Cash Receipts and Payments'!F20</f>
        <v>94475.4</v>
      </c>
      <c r="F11" s="104">
        <f>'H - Cash Receipts and Payments'!G20</f>
        <v>98034.2</v>
      </c>
      <c r="G11" s="104">
        <f>'H - Cash Receipts and Payments'!H20</f>
        <v>113141</v>
      </c>
      <c r="H11" s="104">
        <f>'H - Cash Receipts and Payments'!I20</f>
        <v>126593.60000000001</v>
      </c>
      <c r="I11" s="104">
        <f>'H - Cash Receipts and Payments'!J20</f>
        <v>132466.40000000002</v>
      </c>
      <c r="J11" s="104">
        <f>'H - Cash Receipts and Payments'!K20</f>
        <v>119404</v>
      </c>
      <c r="K11" s="104">
        <f>'H - Cash Receipts and Payments'!L20</f>
        <v>106386.4</v>
      </c>
      <c r="L11" s="104">
        <f>'H - Cash Receipts and Payments'!M20</f>
        <v>96457.200000000012</v>
      </c>
      <c r="M11" s="104">
        <f>'H - Cash Receipts and Payments'!N20</f>
        <v>87851.4</v>
      </c>
    </row>
    <row r="12" spans="1:15" x14ac:dyDescent="0.15">
      <c r="A12" s="5" t="s">
        <v>27</v>
      </c>
      <c r="B12" s="104">
        <f>'H - Cash Receipts and Payments'!C26</f>
        <v>22488.2</v>
      </c>
      <c r="C12" s="104">
        <f>'H - Cash Receipts and Payments'!D26</f>
        <v>23168.5</v>
      </c>
      <c r="D12" s="104">
        <f>'H - Cash Receipts and Payments'!E26</f>
        <v>29149.75</v>
      </c>
      <c r="E12" s="104">
        <f>'H - Cash Receipts and Payments'!F26</f>
        <v>27170.25</v>
      </c>
      <c r="F12" s="104">
        <f>'H - Cash Receipts and Payments'!G26</f>
        <v>28152.75</v>
      </c>
      <c r="G12" s="104">
        <f>'H - Cash Receipts and Payments'!H26</f>
        <v>33412.5</v>
      </c>
      <c r="H12" s="104">
        <f>'H - Cash Receipts and Payments'!I26</f>
        <v>36550.5</v>
      </c>
      <c r="I12" s="104">
        <f>'H - Cash Receipts and Payments'!J26</f>
        <v>38433.5</v>
      </c>
      <c r="J12" s="104">
        <f>'H - Cash Receipts and Payments'!K26</f>
        <v>34941.5</v>
      </c>
      <c r="K12" s="104">
        <f>'H - Cash Receipts and Payments'!L26</f>
        <v>31128.25</v>
      </c>
      <c r="L12" s="104">
        <f>'H - Cash Receipts and Payments'!M26</f>
        <v>27953.5</v>
      </c>
      <c r="M12" s="104">
        <f>'H - Cash Receipts and Payments'!N26</f>
        <v>25467</v>
      </c>
    </row>
    <row r="13" spans="1:15" x14ac:dyDescent="0.15">
      <c r="A13" s="5" t="s">
        <v>19</v>
      </c>
      <c r="B13" s="104">
        <f>'H - Cash Receipts and Payments'!C32</f>
        <v>76890</v>
      </c>
      <c r="C13" s="104">
        <f>'H - Cash Receipts and Payments'!D32</f>
        <v>65656.5</v>
      </c>
      <c r="D13" s="104">
        <f>'H - Cash Receipts and Payments'!E32</f>
        <v>85344</v>
      </c>
      <c r="E13" s="104">
        <f>'H - Cash Receipts and Payments'!F32</f>
        <v>81217.5</v>
      </c>
      <c r="F13" s="104">
        <f>'H - Cash Receipts and Payments'!G32</f>
        <v>84556.5</v>
      </c>
      <c r="G13" s="104">
        <f>'H - Cash Receipts and Payments'!H32</f>
        <v>97282.5</v>
      </c>
      <c r="H13" s="104">
        <f>'H - Cash Receipts and Payments'!I32</f>
        <v>108496.5</v>
      </c>
      <c r="I13" s="104">
        <f>'H - Cash Receipts and Payments'!J32</f>
        <v>113526</v>
      </c>
      <c r="J13" s="104">
        <f>'H - Cash Receipts and Payments'!K32</f>
        <v>102186</v>
      </c>
      <c r="K13" s="104">
        <f>'H - Cash Receipts and Payments'!L32</f>
        <v>91308</v>
      </c>
      <c r="L13" s="104">
        <f>'H - Cash Receipts and Payments'!M32</f>
        <v>82708.5</v>
      </c>
      <c r="M13" s="104">
        <f>'H - Cash Receipts and Payments'!N32</f>
        <v>75316.5</v>
      </c>
    </row>
    <row r="14" spans="1:15" x14ac:dyDescent="0.15">
      <c r="A14" s="5" t="s">
        <v>38</v>
      </c>
      <c r="B14" s="101">
        <f>'E - FOH'!B16</f>
        <v>70101.339634890275</v>
      </c>
      <c r="C14" s="101">
        <f>'E - FOH'!C16</f>
        <v>91398.956509731855</v>
      </c>
      <c r="D14" s="101">
        <f>'E - FOH'!D16</f>
        <v>86819.047165466065</v>
      </c>
      <c r="E14" s="101">
        <f>'E - FOH'!E16</f>
        <v>90089.439511541976</v>
      </c>
      <c r="F14" s="101">
        <f>'E - FOH'!F16</f>
        <v>103971.97381908935</v>
      </c>
      <c r="G14" s="101">
        <f>'E - FOH'!G16</f>
        <v>116334.36565758011</v>
      </c>
      <c r="H14" s="101">
        <f>'E - FOH'!H16</f>
        <v>121731.229816857</v>
      </c>
      <c r="I14" s="101">
        <f>'E - FOH'!I16</f>
        <v>109727.41589604603</v>
      </c>
      <c r="J14" s="101">
        <f>'E - FOH'!J16</f>
        <v>97764.771351739575</v>
      </c>
      <c r="K14" s="101">
        <f>'E - FOH'!K16</f>
        <v>88640.240700211827</v>
      </c>
      <c r="L14" s="101">
        <f>'E - FOH'!L16</f>
        <v>80731.860782301257</v>
      </c>
      <c r="M14" s="101">
        <f>'E - FOH'!M16</f>
        <v>92689.359154544654</v>
      </c>
    </row>
    <row r="15" spans="1:15" x14ac:dyDescent="0.15">
      <c r="A15" s="5" t="s">
        <v>42</v>
      </c>
      <c r="B15" s="101">
        <f>'F - Selling Admin Exp'!$D$13</f>
        <v>69333.333333333343</v>
      </c>
      <c r="C15" s="101">
        <f>'F - Selling Admin Exp'!$D$13</f>
        <v>69333.333333333343</v>
      </c>
      <c r="D15" s="101">
        <f>'F - Selling Admin Exp'!$D$13</f>
        <v>69333.333333333343</v>
      </c>
      <c r="E15" s="101">
        <f>'F - Selling Admin Exp'!$D$13</f>
        <v>69333.333333333343</v>
      </c>
      <c r="F15" s="101">
        <f>'F - Selling Admin Exp'!$D$13</f>
        <v>69333.333333333343</v>
      </c>
      <c r="G15" s="101">
        <f>'F - Selling Admin Exp'!$D$13</f>
        <v>69333.333333333343</v>
      </c>
      <c r="H15" s="101">
        <f>'F - Selling Admin Exp'!$D$13</f>
        <v>69333.333333333343</v>
      </c>
      <c r="I15" s="101">
        <f>'F - Selling Admin Exp'!$D$13</f>
        <v>69333.333333333343</v>
      </c>
      <c r="J15" s="101">
        <f>'F - Selling Admin Exp'!$D$13</f>
        <v>69333.333333333343</v>
      </c>
      <c r="K15" s="101">
        <f>'F - Selling Admin Exp'!$D$13</f>
        <v>69333.333333333343</v>
      </c>
      <c r="L15" s="101">
        <f>'F - Selling Admin Exp'!$D$13</f>
        <v>69333.333333333343</v>
      </c>
      <c r="M15" s="101">
        <f>'F - Selling Admin Exp'!$D$13</f>
        <v>69333.333333333343</v>
      </c>
    </row>
    <row r="16" spans="1:15" x14ac:dyDescent="0.15">
      <c r="A16" s="5" t="s">
        <v>41</v>
      </c>
      <c r="B16" s="101">
        <f>'F - Selling Admin Exp'!$D$24</f>
        <v>20166.666666666668</v>
      </c>
      <c r="C16" s="101">
        <f>'F - Selling Admin Exp'!$D$24</f>
        <v>20166.666666666668</v>
      </c>
      <c r="D16" s="101">
        <f>'F - Selling Admin Exp'!$D$24</f>
        <v>20166.666666666668</v>
      </c>
      <c r="E16" s="101">
        <f>'F - Selling Admin Exp'!$D$24</f>
        <v>20166.666666666668</v>
      </c>
      <c r="F16" s="101">
        <f>'F - Selling Admin Exp'!$D$24</f>
        <v>20166.666666666668</v>
      </c>
      <c r="G16" s="101">
        <f>'F - Selling Admin Exp'!$D$24</f>
        <v>20166.666666666668</v>
      </c>
      <c r="H16" s="101">
        <f>'F - Selling Admin Exp'!$D$24</f>
        <v>20166.666666666668</v>
      </c>
      <c r="I16" s="101">
        <f>'F - Selling Admin Exp'!$D$24</f>
        <v>20166.666666666668</v>
      </c>
      <c r="J16" s="101">
        <f>'F - Selling Admin Exp'!$D$24</f>
        <v>20166.666666666668</v>
      </c>
      <c r="K16" s="101">
        <f>'F - Selling Admin Exp'!$D$24</f>
        <v>20166.666666666668</v>
      </c>
      <c r="L16" s="101">
        <f>'F - Selling Admin Exp'!$D$24</f>
        <v>20166.666666666668</v>
      </c>
      <c r="M16" s="101">
        <f>'F - Selling Admin Exp'!$D$24</f>
        <v>20166.666666666668</v>
      </c>
    </row>
    <row r="17" spans="1:13" x14ac:dyDescent="0.15">
      <c r="A17" s="5" t="s">
        <v>122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50000</v>
      </c>
    </row>
    <row r="18" spans="1:13" x14ac:dyDescent="0.15">
      <c r="A18" s="5" t="s">
        <v>22</v>
      </c>
      <c r="B18" s="101">
        <f>B20-SUM(B9:B17)</f>
        <v>192299.24468510994</v>
      </c>
      <c r="C18" s="101">
        <f t="shared" ref="C18:M18" si="0">C6-SUM(C9:C17)</f>
        <v>180218.20205026818</v>
      </c>
      <c r="D18" s="101">
        <f t="shared" si="0"/>
        <v>128675.03355453443</v>
      </c>
      <c r="E18" s="101">
        <f t="shared" si="0"/>
        <v>110074.58456845814</v>
      </c>
      <c r="F18" s="101">
        <f t="shared" si="0"/>
        <v>173009.7758609103</v>
      </c>
      <c r="G18" s="101">
        <f t="shared" si="0"/>
        <v>206578.14218242001</v>
      </c>
      <c r="H18" s="101">
        <f t="shared" si="0"/>
        <v>200704.04362314334</v>
      </c>
      <c r="I18" s="101">
        <f t="shared" si="0"/>
        <v>200069.40586395422</v>
      </c>
      <c r="J18" s="101">
        <f t="shared" si="0"/>
        <v>179712.44368826039</v>
      </c>
      <c r="K18" s="101">
        <f t="shared" si="0"/>
        <v>140441.36689978838</v>
      </c>
      <c r="L18" s="101">
        <f t="shared" si="0"/>
        <v>109109.12545769894</v>
      </c>
      <c r="M18" s="101">
        <f t="shared" si="0"/>
        <v>71688.64836545568</v>
      </c>
    </row>
    <row r="19" spans="1:13" x14ac:dyDescent="0.1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x14ac:dyDescent="0.15">
      <c r="A20" s="5" t="s">
        <v>69</v>
      </c>
      <c r="B20" s="102">
        <f>1200000+B6</f>
        <v>2231908</v>
      </c>
      <c r="C20" s="102">
        <f>C6</f>
        <v>2092730</v>
      </c>
      <c r="D20" s="102">
        <f t="shared" ref="D20:M20" si="1">D6</f>
        <v>2252800</v>
      </c>
      <c r="E20" s="102">
        <f t="shared" si="1"/>
        <v>2212920</v>
      </c>
      <c r="F20" s="102">
        <f t="shared" si="1"/>
        <v>2462610</v>
      </c>
      <c r="G20" s="102">
        <f t="shared" si="1"/>
        <v>2798520</v>
      </c>
      <c r="H20" s="102">
        <f t="shared" si="1"/>
        <v>2999360</v>
      </c>
      <c r="I20" s="102">
        <f t="shared" si="1"/>
        <v>2935000</v>
      </c>
      <c r="J20" s="102">
        <f t="shared" si="1"/>
        <v>2642790</v>
      </c>
      <c r="K20" s="102">
        <f t="shared" si="1"/>
        <v>2363270</v>
      </c>
      <c r="L20" s="102">
        <f t="shared" si="1"/>
        <v>2136820</v>
      </c>
      <c r="M20" s="102">
        <f t="shared" si="1"/>
        <v>2178590</v>
      </c>
    </row>
    <row r="21" spans="1:13" s="3" customFormat="1" x14ac:dyDescent="0.15">
      <c r="A21" s="5" t="s">
        <v>70</v>
      </c>
      <c r="B21" s="110">
        <f>B18</f>
        <v>192299.24468510994</v>
      </c>
      <c r="C21" s="110">
        <f t="shared" ref="C21:M21" si="2">C18</f>
        <v>180218.20205026818</v>
      </c>
      <c r="D21" s="110">
        <f t="shared" si="2"/>
        <v>128675.03355453443</v>
      </c>
      <c r="E21" s="110">
        <f t="shared" si="2"/>
        <v>110074.58456845814</v>
      </c>
      <c r="F21" s="110">
        <f t="shared" si="2"/>
        <v>173009.7758609103</v>
      </c>
      <c r="G21" s="110">
        <f t="shared" si="2"/>
        <v>206578.14218242001</v>
      </c>
      <c r="H21" s="110">
        <f t="shared" si="2"/>
        <v>200704.04362314334</v>
      </c>
      <c r="I21" s="110">
        <f t="shared" si="2"/>
        <v>200069.40586395422</v>
      </c>
      <c r="J21" s="110">
        <f t="shared" si="2"/>
        <v>179712.44368826039</v>
      </c>
      <c r="K21" s="110">
        <f t="shared" si="2"/>
        <v>140441.36689978838</v>
      </c>
      <c r="L21" s="110">
        <f t="shared" si="2"/>
        <v>109109.12545769894</v>
      </c>
      <c r="M21" s="110">
        <f t="shared" si="2"/>
        <v>71688.64836545568</v>
      </c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1:O27"/>
  <sheetViews>
    <sheetView showGridLines="0" zoomScaleNormal="100" workbookViewId="0">
      <selection activeCell="B12" sqref="B12"/>
    </sheetView>
  </sheetViews>
  <sheetFormatPr baseColWidth="10" defaultColWidth="8.83203125" defaultRowHeight="13" x14ac:dyDescent="0.15"/>
  <cols>
    <col min="1" max="1" width="27.5" style="5" bestFit="1" customWidth="1"/>
    <col min="2" max="3" width="13.5" style="5" bestFit="1" customWidth="1"/>
    <col min="4" max="4" width="13.1640625" style="5" bestFit="1" customWidth="1"/>
    <col min="5" max="5" width="14.1640625" style="5" bestFit="1" customWidth="1"/>
    <col min="6" max="6" width="12" style="5" bestFit="1" customWidth="1"/>
    <col min="7" max="7" width="14.1640625" style="5" bestFit="1" customWidth="1"/>
    <col min="8" max="8" width="8.83203125" style="5"/>
    <col min="9" max="9" width="19" style="5" bestFit="1" customWidth="1"/>
    <col min="10" max="16384" width="8.83203125" style="5"/>
  </cols>
  <sheetData>
    <row r="1" spans="1:15" x14ac:dyDescent="0.15">
      <c r="A1" s="44"/>
      <c r="O1" s="3"/>
    </row>
    <row r="2" spans="1:15" x14ac:dyDescent="0.15">
      <c r="A2" s="11" t="s">
        <v>147</v>
      </c>
    </row>
    <row r="4" spans="1:15" x14ac:dyDescent="0.15">
      <c r="B4" s="36"/>
      <c r="C4" s="36"/>
      <c r="D4" s="36"/>
      <c r="E4" s="36"/>
      <c r="F4" s="36"/>
    </row>
    <row r="5" spans="1:15" ht="28" x14ac:dyDescent="0.15">
      <c r="A5" s="6"/>
      <c r="B5" s="59" t="s">
        <v>76</v>
      </c>
      <c r="C5" s="59" t="s">
        <v>79</v>
      </c>
      <c r="D5" s="59" t="s">
        <v>81</v>
      </c>
      <c r="E5" s="59" t="s">
        <v>80</v>
      </c>
      <c r="F5" s="60" t="s">
        <v>114</v>
      </c>
      <c r="G5" s="39" t="s">
        <v>0</v>
      </c>
      <c r="H5" s="67"/>
    </row>
    <row r="6" spans="1:15" x14ac:dyDescent="0.15">
      <c r="A6" s="5" t="s">
        <v>18</v>
      </c>
      <c r="B6" s="100">
        <f>'A - Revenue Budget'!O5</f>
        <v>5783700</v>
      </c>
      <c r="C6" s="100">
        <f>'A - Revenue Budget'!O6</f>
        <v>4962880</v>
      </c>
      <c r="D6" s="100">
        <f>'A - Revenue Budget'!O7</f>
        <v>9146880</v>
      </c>
      <c r="E6" s="100">
        <f>'A - Revenue Budget'!O8</f>
        <v>9268600</v>
      </c>
      <c r="F6" s="68"/>
      <c r="G6" s="105">
        <f>SUM(B6:E6)</f>
        <v>29162060</v>
      </c>
      <c r="I6" s="2"/>
      <c r="K6" s="40"/>
    </row>
    <row r="7" spans="1:15" x14ac:dyDescent="0.15">
      <c r="A7" s="5" t="s">
        <v>113</v>
      </c>
      <c r="B7" s="28"/>
      <c r="C7" s="28"/>
      <c r="D7" s="28"/>
      <c r="E7" s="28"/>
      <c r="F7" s="69"/>
      <c r="G7" s="69"/>
    </row>
    <row r="8" spans="1:15" x14ac:dyDescent="0.15">
      <c r="A8" s="66" t="s">
        <v>116</v>
      </c>
      <c r="B8" s="101">
        <f>'B - DM Budget'!Q5</f>
        <v>3703360.9247999992</v>
      </c>
      <c r="C8" s="101">
        <f>'B - DM Budget'!Q6</f>
        <v>2878383.5496000005</v>
      </c>
      <c r="D8" s="101">
        <f>'B - DM Budget'!Q7</f>
        <v>4475263.4879999999</v>
      </c>
      <c r="E8" s="101">
        <f>'B - DM Budget'!Q8</f>
        <v>7812014.2319999989</v>
      </c>
      <c r="F8" s="28"/>
      <c r="G8" s="104">
        <f>SUM(B8:E8)</f>
        <v>18869022.194399998</v>
      </c>
    </row>
    <row r="9" spans="1:15" x14ac:dyDescent="0.15">
      <c r="A9" s="66" t="s">
        <v>117</v>
      </c>
      <c r="B9" s="101">
        <f>'C - DL Budget'!O15</f>
        <v>689991.68000000005</v>
      </c>
      <c r="C9" s="101">
        <f>'C - DL Budget'!O16</f>
        <v>521102.39999999991</v>
      </c>
      <c r="D9" s="101">
        <f>'C - DL Budget'!O17</f>
        <v>853708.79999999981</v>
      </c>
      <c r="E9" s="101">
        <f>'C - DL Budget'!O18</f>
        <v>1439160.8</v>
      </c>
      <c r="F9" s="28"/>
      <c r="G9" s="104">
        <f>SUM(B9:E9)</f>
        <v>3503963.6799999997</v>
      </c>
    </row>
    <row r="10" spans="1:15" x14ac:dyDescent="0.15">
      <c r="A10" s="66" t="s">
        <v>118</v>
      </c>
      <c r="B10" s="101">
        <f>'D - VOH'!N7</f>
        <v>246425.60000000001</v>
      </c>
      <c r="C10" s="101">
        <f>'D - VOH'!N8</f>
        <v>186107.99999999997</v>
      </c>
      <c r="D10" s="101">
        <f>'D - VOH'!N9</f>
        <v>304896</v>
      </c>
      <c r="E10" s="101">
        <f>'D - VOH'!N10</f>
        <v>513986.00000000006</v>
      </c>
      <c r="F10" s="28"/>
      <c r="G10" s="104">
        <f>SUM(B10:E10)</f>
        <v>1251415.6000000001</v>
      </c>
    </row>
    <row r="11" spans="1:15" x14ac:dyDescent="0.15">
      <c r="A11" s="66" t="s">
        <v>119</v>
      </c>
      <c r="B11" s="102">
        <v>443064</v>
      </c>
      <c r="C11" s="102">
        <v>334615</v>
      </c>
      <c r="D11" s="102">
        <v>548192</v>
      </c>
      <c r="E11" s="102">
        <v>924128</v>
      </c>
      <c r="F11" s="70"/>
      <c r="G11" s="102">
        <f>SUM(B11:E11)</f>
        <v>2249999</v>
      </c>
    </row>
    <row r="12" spans="1:15" x14ac:dyDescent="0.15">
      <c r="A12" s="5" t="s">
        <v>113</v>
      </c>
      <c r="B12" s="101">
        <f>SUM(B8:B11)</f>
        <v>5082842.2047999986</v>
      </c>
      <c r="C12" s="101">
        <f>SUM(C8:C11)</f>
        <v>3920208.9496000004</v>
      </c>
      <c r="D12" s="101">
        <f>SUM(D8:D11)</f>
        <v>6182060.2879999997</v>
      </c>
      <c r="E12" s="101">
        <f>SUM(E8:E11)</f>
        <v>10689289.032</v>
      </c>
      <c r="F12" s="28"/>
      <c r="G12" s="101">
        <f>SUM(G8:G11)</f>
        <v>25874400.474399999</v>
      </c>
    </row>
    <row r="13" spans="1:15" x14ac:dyDescent="0.15">
      <c r="A13" s="5" t="s">
        <v>229</v>
      </c>
      <c r="B13" s="103">
        <f>(B6-B12)*100%</f>
        <v>700857.79520000145</v>
      </c>
      <c r="C13" s="103">
        <f>(C6-C12)*100%</f>
        <v>1042671.0503999996</v>
      </c>
      <c r="D13" s="103">
        <f>D6-D12</f>
        <v>2964819.7120000003</v>
      </c>
      <c r="E13" s="103">
        <f>E6-E12</f>
        <v>-1420689.0319999997</v>
      </c>
      <c r="F13" s="28"/>
      <c r="G13" s="103">
        <f>G6-G12</f>
        <v>3287659.5256000012</v>
      </c>
    </row>
    <row r="14" spans="1:15" x14ac:dyDescent="0.15">
      <c r="A14" s="5" t="s">
        <v>139</v>
      </c>
      <c r="B14" s="28"/>
      <c r="C14" s="28"/>
      <c r="D14" s="28"/>
      <c r="E14" s="28"/>
      <c r="F14" s="28"/>
      <c r="G14" s="71"/>
    </row>
    <row r="15" spans="1:15" x14ac:dyDescent="0.15">
      <c r="A15" s="66" t="s">
        <v>27</v>
      </c>
      <c r="B15" s="101">
        <f>0.0125*'A - Revenue Budget'!O5</f>
        <v>72296.25</v>
      </c>
      <c r="C15" s="101">
        <f>0.0125*'Segment Income Statement'!C6</f>
        <v>62036</v>
      </c>
      <c r="D15" s="101">
        <f>0.0125*D6</f>
        <v>114336</v>
      </c>
      <c r="E15" s="101">
        <f>0.0125*E6</f>
        <v>115857.5</v>
      </c>
      <c r="F15" s="28"/>
      <c r="G15" s="104">
        <f>SUM(B15:E15)</f>
        <v>364525.75</v>
      </c>
    </row>
    <row r="16" spans="1:15" x14ac:dyDescent="0.15">
      <c r="A16" s="66" t="s">
        <v>115</v>
      </c>
      <c r="B16" s="101">
        <f>'G - Transport Budget'!N7</f>
        <v>202146</v>
      </c>
      <c r="C16" s="101">
        <f>'G - Transport Budget'!N8</f>
        <v>162844.5</v>
      </c>
      <c r="D16" s="101">
        <f>'G - Transport Budget'!N9</f>
        <v>266784</v>
      </c>
      <c r="E16" s="101">
        <f>'G - Transport Budget'!N10</f>
        <v>442365</v>
      </c>
      <c r="F16" s="28"/>
      <c r="G16" s="104">
        <f>SUM(B16:E16)</f>
        <v>1074139.5</v>
      </c>
    </row>
    <row r="17" spans="1:7" x14ac:dyDescent="0.15">
      <c r="A17" s="66" t="s">
        <v>120</v>
      </c>
      <c r="F17" s="104">
        <f>'F - Selling Admin Exp'!C13</f>
        <v>832000</v>
      </c>
      <c r="G17" s="104">
        <f>F17</f>
        <v>832000</v>
      </c>
    </row>
    <row r="18" spans="1:7" x14ac:dyDescent="0.15">
      <c r="A18" s="66" t="s">
        <v>140</v>
      </c>
      <c r="B18" s="6"/>
      <c r="C18" s="6"/>
      <c r="D18" s="6"/>
      <c r="E18" s="6"/>
      <c r="F18" s="102">
        <f>'F - Selling Admin Exp'!C24</f>
        <v>242000</v>
      </c>
      <c r="G18" s="106">
        <f>F18</f>
        <v>242000</v>
      </c>
    </row>
    <row r="19" spans="1:7" x14ac:dyDescent="0.15">
      <c r="A19" s="5" t="s">
        <v>71</v>
      </c>
      <c r="G19" s="104">
        <f>G6-G12-SUM(G15:G18)</f>
        <v>774994.27560000122</v>
      </c>
    </row>
    <row r="20" spans="1:7" x14ac:dyDescent="0.15">
      <c r="A20" s="5" t="s">
        <v>78</v>
      </c>
      <c r="B20" s="70"/>
      <c r="C20" s="70"/>
      <c r="D20" s="70"/>
      <c r="E20" s="70"/>
      <c r="F20" s="70"/>
      <c r="G20" s="107">
        <f>0.3*G19</f>
        <v>232498.28268000035</v>
      </c>
    </row>
    <row r="21" spans="1:7" x14ac:dyDescent="0.15">
      <c r="A21" s="5" t="s">
        <v>77</v>
      </c>
      <c r="B21" s="90"/>
      <c r="C21" s="90"/>
      <c r="D21" s="90"/>
      <c r="E21" s="90"/>
      <c r="F21" s="90"/>
      <c r="G21" s="108">
        <f>G19-G20</f>
        <v>542495.9929200008</v>
      </c>
    </row>
    <row r="27" spans="1:7" x14ac:dyDescent="0.15">
      <c r="G27" s="5">
        <v>4692496</v>
      </c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2:D24"/>
  <sheetViews>
    <sheetView showGridLines="0" workbookViewId="0">
      <selection activeCell="E12" sqref="E12"/>
    </sheetView>
  </sheetViews>
  <sheetFormatPr baseColWidth="10" defaultColWidth="8.83203125" defaultRowHeight="13" x14ac:dyDescent="0.15"/>
  <cols>
    <col min="1" max="1" width="34.83203125" bestFit="1" customWidth="1"/>
    <col min="3" max="3" width="12.5" customWidth="1"/>
    <col min="4" max="4" width="13.6640625" customWidth="1"/>
  </cols>
  <sheetData>
    <row r="2" spans="1:4" x14ac:dyDescent="0.15">
      <c r="A2" s="11" t="s">
        <v>148</v>
      </c>
    </row>
    <row r="3" spans="1:4" x14ac:dyDescent="0.15">
      <c r="A3" s="5"/>
      <c r="C3" s="52" t="s">
        <v>98</v>
      </c>
      <c r="D3" s="52" t="s">
        <v>99</v>
      </c>
    </row>
    <row r="4" spans="1:4" x14ac:dyDescent="0.15">
      <c r="A4" s="6"/>
      <c r="B4" s="47"/>
      <c r="C4" s="77">
        <v>2019</v>
      </c>
      <c r="D4" s="77">
        <v>2020</v>
      </c>
    </row>
    <row r="5" spans="1:4" x14ac:dyDescent="0.15">
      <c r="A5" s="38" t="s">
        <v>86</v>
      </c>
    </row>
    <row r="6" spans="1:4" x14ac:dyDescent="0.15">
      <c r="A6" s="48" t="s">
        <v>87</v>
      </c>
      <c r="C6" s="111">
        <v>1200000</v>
      </c>
      <c r="D6" s="111">
        <f>SUM('Cash Budget'!B21:M21)</f>
        <v>1892580.016800002</v>
      </c>
    </row>
    <row r="7" spans="1:4" x14ac:dyDescent="0.15">
      <c r="A7" s="48" t="s">
        <v>88</v>
      </c>
      <c r="C7" s="111">
        <f>205000</f>
        <v>205000</v>
      </c>
      <c r="D7" s="111">
        <v>205000</v>
      </c>
    </row>
    <row r="8" spans="1:4" x14ac:dyDescent="0.15">
      <c r="A8" s="48" t="s">
        <v>89</v>
      </c>
      <c r="C8" s="111">
        <f>899528</f>
        <v>899528</v>
      </c>
      <c r="D8" s="111">
        <f>'H - Cash Receipts and Payments'!O7</f>
        <v>1159910</v>
      </c>
    </row>
    <row r="9" spans="1:4" x14ac:dyDescent="0.15">
      <c r="A9" s="53" t="s">
        <v>90</v>
      </c>
      <c r="B9" s="50"/>
      <c r="C9" s="112">
        <f>SUM(C6:C8)</f>
        <v>2304528</v>
      </c>
      <c r="D9" s="112">
        <f>SUM(D6:D8)</f>
        <v>3257490.0168000022</v>
      </c>
    </row>
    <row r="10" spans="1:4" x14ac:dyDescent="0.15">
      <c r="C10" s="51"/>
      <c r="D10" s="72"/>
    </row>
    <row r="11" spans="1:4" x14ac:dyDescent="0.15">
      <c r="A11" s="48" t="s">
        <v>231</v>
      </c>
      <c r="C11" s="111">
        <v>2300000</v>
      </c>
      <c r="D11" s="111">
        <v>2300000</v>
      </c>
    </row>
    <row r="12" spans="1:4" x14ac:dyDescent="0.15">
      <c r="A12" s="48" t="s">
        <v>91</v>
      </c>
      <c r="C12" s="111">
        <v>600000</v>
      </c>
      <c r="D12" s="111">
        <v>600000</v>
      </c>
    </row>
    <row r="13" spans="1:4" x14ac:dyDescent="0.15">
      <c r="C13" s="51"/>
      <c r="D13" s="72"/>
    </row>
    <row r="14" spans="1:4" ht="14" thickBot="1" x14ac:dyDescent="0.2">
      <c r="A14" s="54" t="s">
        <v>92</v>
      </c>
      <c r="B14" s="55"/>
      <c r="C14" s="113">
        <f>SUM(C9:C12)</f>
        <v>5204528</v>
      </c>
      <c r="D14" s="113">
        <f>SUM(D9:D12)</f>
        <v>6157490.0168000022</v>
      </c>
    </row>
    <row r="15" spans="1:4" x14ac:dyDescent="0.15">
      <c r="C15" s="51"/>
      <c r="D15" s="72"/>
    </row>
    <row r="16" spans="1:4" x14ac:dyDescent="0.15">
      <c r="A16" s="38" t="s">
        <v>96</v>
      </c>
      <c r="C16" s="51"/>
      <c r="D16" s="72"/>
    </row>
    <row r="17" spans="1:4" x14ac:dyDescent="0.15">
      <c r="A17" s="48" t="s">
        <v>93</v>
      </c>
      <c r="C17" s="111">
        <v>794360</v>
      </c>
      <c r="D17" s="111">
        <f>SUM('H - Cash Receipts and Payments'!O14,'H - Cash Receipts and Payments'!O20,'H - Cash Receipts and Payments'!O26,'H - Cash Receipts and Payments'!O32) +102729</f>
        <v>1232495.9411999998</v>
      </c>
    </row>
    <row r="18" spans="1:4" x14ac:dyDescent="0.15">
      <c r="A18" s="48" t="s">
        <v>101</v>
      </c>
      <c r="C18" s="111">
        <v>0</v>
      </c>
      <c r="D18" s="111">
        <v>232498</v>
      </c>
    </row>
    <row r="19" spans="1:4" x14ac:dyDescent="0.15">
      <c r="A19" s="49" t="s">
        <v>97</v>
      </c>
      <c r="C19" s="51"/>
      <c r="D19" s="72"/>
    </row>
    <row r="20" spans="1:4" x14ac:dyDescent="0.15">
      <c r="A20" s="48" t="s">
        <v>94</v>
      </c>
      <c r="C20" s="111">
        <f>3600000+600000</f>
        <v>4200000</v>
      </c>
      <c r="D20" s="111">
        <v>4200000</v>
      </c>
    </row>
    <row r="21" spans="1:4" x14ac:dyDescent="0.15">
      <c r="A21" s="48" t="s">
        <v>100</v>
      </c>
      <c r="C21" s="111">
        <v>210167.8</v>
      </c>
      <c r="D21" s="111">
        <f>'Segment Income Statement'!G21-50000</f>
        <v>492495.9929200008</v>
      </c>
    </row>
    <row r="22" spans="1:4" ht="14" thickBot="1" x14ac:dyDescent="0.2">
      <c r="A22" s="56" t="s">
        <v>95</v>
      </c>
      <c r="B22" s="56"/>
      <c r="C22" s="113">
        <f>SUM(C17:C21)</f>
        <v>5204527.8</v>
      </c>
      <c r="D22" s="113">
        <f>SUM(D17:D21)</f>
        <v>6157489.9341200003</v>
      </c>
    </row>
    <row r="23" spans="1:4" x14ac:dyDescent="0.15">
      <c r="C23" s="51"/>
      <c r="D23" s="72"/>
    </row>
    <row r="24" spans="1:4" x14ac:dyDescent="0.15">
      <c r="A24" s="62" t="s">
        <v>121</v>
      </c>
      <c r="B24" s="62"/>
      <c r="C24" s="61">
        <f>C22-C14</f>
        <v>-0.20000000018626451</v>
      </c>
      <c r="D24" s="73">
        <f>D22-D14</f>
        <v>-8.2680001854896545E-2</v>
      </c>
    </row>
  </sheetData>
  <pageMargins left="0.74803149606299213" right="0.74803149606299213" top="0.98425196850393704" bottom="0.98425196850393704" header="0.51181102362204722" footer="0.51181102362204722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/>
  </sheetPr>
  <dimension ref="A2:C27"/>
  <sheetViews>
    <sheetView showGridLines="0" workbookViewId="0">
      <selection activeCell="H30" sqref="H30"/>
    </sheetView>
  </sheetViews>
  <sheetFormatPr baseColWidth="10" defaultColWidth="8.83203125" defaultRowHeight="13" x14ac:dyDescent="0.15"/>
  <cols>
    <col min="1" max="1" width="44" customWidth="1"/>
    <col min="2" max="2" width="13.6640625" customWidth="1"/>
  </cols>
  <sheetData>
    <row r="2" spans="1:2" x14ac:dyDescent="0.15">
      <c r="A2" s="11" t="s">
        <v>149</v>
      </c>
    </row>
    <row r="4" spans="1:2" x14ac:dyDescent="0.15">
      <c r="A4" s="64" t="s">
        <v>124</v>
      </c>
    </row>
    <row r="5" spans="1:2" x14ac:dyDescent="0.15">
      <c r="A5" s="5"/>
      <c r="B5" s="52"/>
    </row>
    <row r="6" spans="1:2" x14ac:dyDescent="0.15">
      <c r="A6" s="5"/>
      <c r="B6" s="52">
        <v>2020</v>
      </c>
    </row>
    <row r="7" spans="1:2" x14ac:dyDescent="0.15">
      <c r="A7" s="49" t="s">
        <v>125</v>
      </c>
    </row>
    <row r="8" spans="1:2" x14ac:dyDescent="0.15">
      <c r="A8" s="48" t="s">
        <v>77</v>
      </c>
      <c r="B8" s="111">
        <f>'Segment Income Statement'!G21</f>
        <v>542495.9929200008</v>
      </c>
    </row>
    <row r="9" spans="1:2" x14ac:dyDescent="0.15">
      <c r="A9" s="48" t="s">
        <v>134</v>
      </c>
      <c r="B9" s="114">
        <v>0</v>
      </c>
    </row>
    <row r="10" spans="1:2" x14ac:dyDescent="0.15">
      <c r="A10" s="48" t="s">
        <v>126</v>
      </c>
      <c r="B10" s="114">
        <v>1159910</v>
      </c>
    </row>
    <row r="11" spans="1:2" x14ac:dyDescent="0.15">
      <c r="A11" s="48" t="s">
        <v>132</v>
      </c>
      <c r="B11" s="114">
        <v>1129767</v>
      </c>
    </row>
    <row r="12" spans="1:2" x14ac:dyDescent="0.15">
      <c r="A12" s="48" t="s">
        <v>133</v>
      </c>
      <c r="B12" s="114">
        <v>232498</v>
      </c>
    </row>
    <row r="13" spans="1:2" x14ac:dyDescent="0.15">
      <c r="A13" s="57" t="s">
        <v>135</v>
      </c>
      <c r="B13" s="100">
        <f>B8+B12+B11-B10</f>
        <v>744850.9929200008</v>
      </c>
    </row>
    <row r="14" spans="1:2" x14ac:dyDescent="0.15">
      <c r="B14" s="74"/>
    </row>
    <row r="15" spans="1:2" x14ac:dyDescent="0.15">
      <c r="A15" s="49" t="s">
        <v>127</v>
      </c>
      <c r="B15" s="75"/>
    </row>
    <row r="16" spans="1:2" x14ac:dyDescent="0.15">
      <c r="B16" s="74"/>
    </row>
    <row r="17" spans="1:3" x14ac:dyDescent="0.15">
      <c r="A17" s="63" t="s">
        <v>138</v>
      </c>
      <c r="B17" s="115">
        <v>4200000</v>
      </c>
    </row>
    <row r="18" spans="1:3" x14ac:dyDescent="0.15">
      <c r="A18" s="48"/>
    </row>
    <row r="19" spans="1:3" x14ac:dyDescent="0.15">
      <c r="A19" s="49" t="s">
        <v>128</v>
      </c>
      <c r="B19" s="74"/>
    </row>
    <row r="20" spans="1:3" x14ac:dyDescent="0.15">
      <c r="A20" s="48" t="s">
        <v>136</v>
      </c>
      <c r="B20" s="100">
        <v>50000</v>
      </c>
    </row>
    <row r="21" spans="1:3" x14ac:dyDescent="0.15">
      <c r="A21" s="48"/>
    </row>
    <row r="22" spans="1:3" x14ac:dyDescent="0.15">
      <c r="A22" s="63" t="s">
        <v>137</v>
      </c>
      <c r="B22" s="100">
        <v>50000</v>
      </c>
    </row>
    <row r="23" spans="1:3" x14ac:dyDescent="0.15">
      <c r="A23" s="63"/>
    </row>
    <row r="24" spans="1:3" x14ac:dyDescent="0.15">
      <c r="A24" s="49" t="s">
        <v>129</v>
      </c>
      <c r="B24" s="116">
        <f>B13+B17-B22</f>
        <v>4894850.992920001</v>
      </c>
    </row>
    <row r="25" spans="1:3" x14ac:dyDescent="0.15">
      <c r="A25" s="65" t="s">
        <v>130</v>
      </c>
      <c r="B25" s="117">
        <f>'Cash Budget'!B20</f>
        <v>2231908</v>
      </c>
      <c r="C25" s="75"/>
    </row>
    <row r="26" spans="1:3" x14ac:dyDescent="0.15">
      <c r="A26" s="65" t="s">
        <v>131</v>
      </c>
      <c r="B26" s="117">
        <f>SUM(B24:B25)</f>
        <v>7126758.992920001</v>
      </c>
      <c r="C26" s="75"/>
    </row>
    <row r="27" spans="1:3" x14ac:dyDescent="0.15">
      <c r="B27" s="76"/>
    </row>
  </sheetData>
  <pageMargins left="0.74803149606299213" right="0.74803149606299213" top="0.98425196850393704" bottom="0.98425196850393704" header="0.51181102362204722" footer="0.5118110236220472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C9"/>
  <sheetViews>
    <sheetView showGridLines="0" workbookViewId="0"/>
  </sheetViews>
  <sheetFormatPr baseColWidth="10" defaultColWidth="16" defaultRowHeight="13" x14ac:dyDescent="0.15"/>
  <cols>
    <col min="1" max="1" width="19.1640625" style="5" customWidth="1"/>
    <col min="2" max="3" width="26.1640625" style="5" customWidth="1"/>
    <col min="4" max="16384" width="16" style="5"/>
  </cols>
  <sheetData>
    <row r="1" spans="1:3" x14ac:dyDescent="0.15">
      <c r="A1" s="11" t="s">
        <v>103</v>
      </c>
    </row>
    <row r="3" spans="1:3" ht="28" x14ac:dyDescent="0.15">
      <c r="A3" s="41" t="s">
        <v>4</v>
      </c>
      <c r="B3" s="59" t="s">
        <v>108</v>
      </c>
      <c r="C3"/>
    </row>
    <row r="4" spans="1:3" x14ac:dyDescent="0.15">
      <c r="A4" s="12" t="s">
        <v>76</v>
      </c>
      <c r="B4" s="58">
        <v>30</v>
      </c>
      <c r="C4"/>
    </row>
    <row r="5" spans="1:3" x14ac:dyDescent="0.15">
      <c r="A5" s="12" t="s">
        <v>79</v>
      </c>
      <c r="B5" s="58">
        <v>32</v>
      </c>
      <c r="C5"/>
    </row>
    <row r="6" spans="1:3" x14ac:dyDescent="0.15">
      <c r="A6" s="12" t="s">
        <v>81</v>
      </c>
      <c r="B6" s="58">
        <v>36</v>
      </c>
      <c r="C6"/>
    </row>
    <row r="7" spans="1:3" x14ac:dyDescent="0.15">
      <c r="A7" s="12" t="s">
        <v>80</v>
      </c>
      <c r="B7" s="58">
        <v>22</v>
      </c>
      <c r="C7"/>
    </row>
    <row r="8" spans="1:3" x14ac:dyDescent="0.15">
      <c r="C8"/>
    </row>
    <row r="9" spans="1:3" x14ac:dyDescent="0.15">
      <c r="A9" s="5" t="s">
        <v>109</v>
      </c>
      <c r="C9"/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O13"/>
  <sheetViews>
    <sheetView showGridLines="0" workbookViewId="0">
      <selection activeCell="B13" sqref="B13"/>
    </sheetView>
  </sheetViews>
  <sheetFormatPr baseColWidth="10" defaultColWidth="16.5" defaultRowHeight="13" x14ac:dyDescent="0.15"/>
  <cols>
    <col min="1" max="1" width="20.83203125" style="5" customWidth="1"/>
    <col min="2" max="2" width="11.1640625" style="5" bestFit="1" customWidth="1"/>
    <col min="3" max="6" width="8.5" style="5" bestFit="1" customWidth="1"/>
    <col min="7" max="8" width="9.5" style="5" bestFit="1" customWidth="1"/>
    <col min="9" max="13" width="8.5" style="5" bestFit="1" customWidth="1"/>
    <col min="14" max="14" width="11.1640625" style="5" bestFit="1" customWidth="1"/>
    <col min="15" max="16384" width="16.5" style="5"/>
  </cols>
  <sheetData>
    <row r="1" spans="1:15" x14ac:dyDescent="0.15">
      <c r="A1" s="43" t="s">
        <v>110</v>
      </c>
    </row>
    <row r="3" spans="1:15" x14ac:dyDescent="0.15">
      <c r="A3" s="6" t="s">
        <v>4</v>
      </c>
      <c r="B3" s="10" t="s">
        <v>160</v>
      </c>
      <c r="C3" s="10" t="s">
        <v>161</v>
      </c>
      <c r="D3" s="10" t="s">
        <v>162</v>
      </c>
      <c r="E3" s="10" t="s">
        <v>163</v>
      </c>
      <c r="F3" s="10" t="s">
        <v>164</v>
      </c>
      <c r="G3" s="10" t="s">
        <v>165</v>
      </c>
      <c r="H3" s="10" t="s">
        <v>166</v>
      </c>
      <c r="I3" s="10" t="s">
        <v>167</v>
      </c>
      <c r="J3" s="10" t="s">
        <v>168</v>
      </c>
      <c r="K3" s="10" t="s">
        <v>169</v>
      </c>
      <c r="L3" s="10" t="s">
        <v>170</v>
      </c>
      <c r="M3" s="10" t="s">
        <v>171</v>
      </c>
      <c r="N3" s="7" t="s">
        <v>0</v>
      </c>
    </row>
    <row r="4" spans="1:15" x14ac:dyDescent="0.15">
      <c r="A4" s="5" t="s">
        <v>76</v>
      </c>
      <c r="B4" s="2">
        <v>10140</v>
      </c>
      <c r="C4" s="2">
        <v>16010</v>
      </c>
      <c r="D4" s="2">
        <v>11840</v>
      </c>
      <c r="E4" s="2">
        <v>7440</v>
      </c>
      <c r="F4" s="2">
        <v>15470</v>
      </c>
      <c r="G4" s="2">
        <v>21820</v>
      </c>
      <c r="H4" s="2">
        <v>22800</v>
      </c>
      <c r="I4" s="2">
        <v>23600</v>
      </c>
      <c r="J4" s="2">
        <v>16830</v>
      </c>
      <c r="K4" s="2">
        <v>16300</v>
      </c>
      <c r="L4" s="2">
        <v>14770</v>
      </c>
      <c r="M4" s="2">
        <v>15500</v>
      </c>
      <c r="N4" s="2">
        <f t="shared" ref="N4:N7" si="0">SUM(B4:M4)</f>
        <v>192520</v>
      </c>
    </row>
    <row r="5" spans="1:15" x14ac:dyDescent="0.15">
      <c r="A5" s="5" t="s">
        <v>79</v>
      </c>
      <c r="B5" s="2">
        <v>9880</v>
      </c>
      <c r="C5" s="2">
        <v>12090</v>
      </c>
      <c r="D5" s="2">
        <v>11050</v>
      </c>
      <c r="E5" s="2">
        <v>10030</v>
      </c>
      <c r="F5" s="2">
        <v>15800</v>
      </c>
      <c r="G5" s="2">
        <v>17130</v>
      </c>
      <c r="H5" s="2">
        <v>12990</v>
      </c>
      <c r="I5" s="2">
        <v>13550</v>
      </c>
      <c r="J5" s="2">
        <v>14430</v>
      </c>
      <c r="K5" s="2">
        <v>15300</v>
      </c>
      <c r="L5" s="2">
        <v>10160</v>
      </c>
      <c r="M5" s="2">
        <v>12680</v>
      </c>
      <c r="N5" s="2">
        <f t="shared" si="0"/>
        <v>155090</v>
      </c>
    </row>
    <row r="6" spans="1:15" x14ac:dyDescent="0.15">
      <c r="A6" s="5" t="s">
        <v>81</v>
      </c>
      <c r="B6" s="2">
        <v>20700</v>
      </c>
      <c r="C6" s="2">
        <v>21060</v>
      </c>
      <c r="D6" s="2">
        <v>19050</v>
      </c>
      <c r="E6" s="2">
        <v>22910</v>
      </c>
      <c r="F6" s="2">
        <v>25210</v>
      </c>
      <c r="G6" s="2">
        <v>21780</v>
      </c>
      <c r="H6" s="2">
        <v>27410</v>
      </c>
      <c r="I6" s="2">
        <v>23570</v>
      </c>
      <c r="J6" s="2">
        <v>21300</v>
      </c>
      <c r="K6" s="2">
        <v>15710</v>
      </c>
      <c r="L6" s="2">
        <v>17110</v>
      </c>
      <c r="M6" s="2">
        <v>18270</v>
      </c>
      <c r="N6" s="2">
        <f t="shared" si="0"/>
        <v>254080</v>
      </c>
    </row>
    <row r="7" spans="1:15" x14ac:dyDescent="0.15">
      <c r="A7" s="5" t="s">
        <v>80</v>
      </c>
      <c r="B7" s="1">
        <v>21810</v>
      </c>
      <c r="C7" s="1">
        <v>32120</v>
      </c>
      <c r="D7" s="1">
        <v>35410</v>
      </c>
      <c r="E7" s="1">
        <v>40150</v>
      </c>
      <c r="F7" s="1">
        <v>36170</v>
      </c>
      <c r="G7" s="1">
        <v>42600</v>
      </c>
      <c r="H7" s="1">
        <v>44920</v>
      </c>
      <c r="I7" s="1">
        <v>36600</v>
      </c>
      <c r="J7" s="1">
        <v>34400</v>
      </c>
      <c r="K7" s="1">
        <v>31460</v>
      </c>
      <c r="L7" s="1">
        <v>29690</v>
      </c>
      <c r="M7" s="1">
        <v>35970</v>
      </c>
      <c r="N7" s="1">
        <f t="shared" si="0"/>
        <v>421300</v>
      </c>
    </row>
    <row r="8" spans="1:15" x14ac:dyDescent="0.15">
      <c r="A8" s="5" t="s">
        <v>111</v>
      </c>
      <c r="B8" s="37">
        <f t="shared" ref="B8:N8" si="1">SUM(B4:B7)</f>
        <v>62530</v>
      </c>
      <c r="C8" s="37">
        <f t="shared" si="1"/>
        <v>81280</v>
      </c>
      <c r="D8" s="37">
        <f t="shared" si="1"/>
        <v>77350</v>
      </c>
      <c r="E8" s="37">
        <f t="shared" si="1"/>
        <v>80530</v>
      </c>
      <c r="F8" s="37">
        <f t="shared" si="1"/>
        <v>92650</v>
      </c>
      <c r="G8" s="37">
        <f t="shared" si="1"/>
        <v>103330</v>
      </c>
      <c r="H8" s="37">
        <f t="shared" si="1"/>
        <v>108120</v>
      </c>
      <c r="I8" s="37">
        <f t="shared" si="1"/>
        <v>97320</v>
      </c>
      <c r="J8" s="37">
        <f t="shared" si="1"/>
        <v>86960</v>
      </c>
      <c r="K8" s="37">
        <f t="shared" si="1"/>
        <v>78770</v>
      </c>
      <c r="L8" s="37">
        <f t="shared" si="1"/>
        <v>71730</v>
      </c>
      <c r="M8" s="37">
        <f t="shared" si="1"/>
        <v>82420</v>
      </c>
      <c r="N8" s="37">
        <f t="shared" si="1"/>
        <v>1022990</v>
      </c>
    </row>
    <row r="9" spans="1:15" ht="15.75" customHeight="1" x14ac:dyDescent="0.15"/>
    <row r="10" spans="1:15" x14ac:dyDescent="0.15">
      <c r="A10" s="5" t="s">
        <v>111</v>
      </c>
      <c r="B10" s="5">
        <f>N8</f>
        <v>1022990</v>
      </c>
      <c r="O10" s="8"/>
    </row>
    <row r="11" spans="1:15" x14ac:dyDescent="0.15">
      <c r="A11" s="5" t="s">
        <v>112</v>
      </c>
      <c r="B11" s="5">
        <v>24</v>
      </c>
    </row>
    <row r="12" spans="1:15" x14ac:dyDescent="0.15">
      <c r="A12" s="5" t="s">
        <v>43</v>
      </c>
      <c r="B12" s="9">
        <f>355/1000</f>
        <v>0.35499999999999998</v>
      </c>
    </row>
    <row r="13" spans="1:15" x14ac:dyDescent="0.15">
      <c r="A13" s="5" t="s">
        <v>44</v>
      </c>
      <c r="B13" s="13">
        <f>B10*B11*B12</f>
        <v>8715874.7999999989</v>
      </c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K37"/>
  <sheetViews>
    <sheetView showGridLines="0" workbookViewId="0">
      <selection activeCell="I7" sqref="I7"/>
    </sheetView>
  </sheetViews>
  <sheetFormatPr baseColWidth="10" defaultColWidth="8.83203125" defaultRowHeight="13" x14ac:dyDescent="0.15"/>
  <cols>
    <col min="1" max="1" width="16.83203125" style="5" bestFit="1" customWidth="1"/>
    <col min="2" max="2" width="6.5" style="14" bestFit="1" customWidth="1"/>
    <col min="3" max="3" width="6.1640625" style="5" bestFit="1" customWidth="1"/>
    <col min="4" max="4" width="2.83203125" style="5" bestFit="1" customWidth="1"/>
    <col min="5" max="5" width="6.5" style="5" bestFit="1" customWidth="1"/>
    <col min="6" max="6" width="19.6640625" style="5" bestFit="1" customWidth="1"/>
    <col min="7" max="7" width="12.83203125" style="14" bestFit="1" customWidth="1"/>
    <col min="8" max="8" width="7" style="5" bestFit="1" customWidth="1"/>
    <col min="9" max="16384" width="8.83203125" style="5"/>
  </cols>
  <sheetData>
    <row r="1" spans="1:11" x14ac:dyDescent="0.15">
      <c r="A1" s="44" t="s">
        <v>74</v>
      </c>
    </row>
    <row r="3" spans="1:11" x14ac:dyDescent="0.15">
      <c r="H3" s="15"/>
      <c r="I3" s="15"/>
      <c r="J3" s="15"/>
      <c r="K3" s="16"/>
    </row>
    <row r="4" spans="1:11" x14ac:dyDescent="0.15">
      <c r="A4" s="17" t="s">
        <v>76</v>
      </c>
      <c r="G4" s="18"/>
      <c r="H4" s="15"/>
      <c r="I4" s="15"/>
      <c r="J4" s="15"/>
      <c r="K4" s="16"/>
    </row>
    <row r="5" spans="1:11" x14ac:dyDescent="0.15">
      <c r="A5" s="5" t="s">
        <v>5</v>
      </c>
      <c r="B5" s="14">
        <v>450</v>
      </c>
      <c r="C5" s="5" t="s">
        <v>11</v>
      </c>
      <c r="D5" s="5" t="s">
        <v>2</v>
      </c>
      <c r="E5" s="21">
        <v>0.04</v>
      </c>
      <c r="F5" s="5" t="s">
        <v>10</v>
      </c>
      <c r="G5" s="26">
        <f>(B5/1000)*E5</f>
        <v>1.8000000000000002E-2</v>
      </c>
      <c r="H5" s="15"/>
      <c r="I5" s="15"/>
      <c r="J5" s="15"/>
      <c r="K5" s="16"/>
    </row>
    <row r="6" spans="1:11" x14ac:dyDescent="0.15">
      <c r="A6" s="5" t="s">
        <v>46</v>
      </c>
      <c r="B6" s="14">
        <v>58</v>
      </c>
      <c r="C6" s="5" t="s">
        <v>1</v>
      </c>
      <c r="D6" s="5" t="s">
        <v>2</v>
      </c>
      <c r="E6" s="21">
        <v>2.19</v>
      </c>
      <c r="F6" s="5" t="s">
        <v>3</v>
      </c>
      <c r="G6" s="22">
        <f>B6*(E6/1000)</f>
        <v>0.12701999999999999</v>
      </c>
    </row>
    <row r="7" spans="1:11" x14ac:dyDescent="0.15">
      <c r="A7" s="5" t="s">
        <v>47</v>
      </c>
      <c r="B7" s="14">
        <v>25</v>
      </c>
      <c r="C7" s="5" t="s">
        <v>1</v>
      </c>
      <c r="D7" s="5" t="s">
        <v>2</v>
      </c>
      <c r="E7" s="21">
        <v>2.19</v>
      </c>
      <c r="F7" s="5" t="s">
        <v>3</v>
      </c>
      <c r="G7" s="22">
        <f>(B7/1000)*E7</f>
        <v>5.475E-2</v>
      </c>
    </row>
    <row r="8" spans="1:11" x14ac:dyDescent="0.15">
      <c r="A8" s="5" t="s">
        <v>6</v>
      </c>
      <c r="B8" s="14">
        <v>26</v>
      </c>
      <c r="C8" s="5" t="s">
        <v>1</v>
      </c>
      <c r="D8" s="5" t="s">
        <v>2</v>
      </c>
      <c r="E8" s="21">
        <v>1.99</v>
      </c>
      <c r="F8" s="5" t="s">
        <v>3</v>
      </c>
      <c r="G8" s="22">
        <f>B8*(E8/1000)</f>
        <v>5.1740000000000001E-2</v>
      </c>
    </row>
    <row r="9" spans="1:11" x14ac:dyDescent="0.15">
      <c r="A9" s="5" t="s">
        <v>23</v>
      </c>
      <c r="B9" s="14">
        <v>1</v>
      </c>
      <c r="C9" s="5" t="s">
        <v>8</v>
      </c>
      <c r="D9" s="5" t="s">
        <v>2</v>
      </c>
      <c r="E9" s="21">
        <v>0.55000000000000004</v>
      </c>
      <c r="F9" s="5" t="s">
        <v>9</v>
      </c>
      <c r="G9" s="23">
        <f>B9*E9</f>
        <v>0.55000000000000004</v>
      </c>
    </row>
    <row r="10" spans="1:11" x14ac:dyDescent="0.15">
      <c r="E10" s="21"/>
      <c r="F10" s="19" t="s">
        <v>7</v>
      </c>
      <c r="G10" s="27">
        <f>SUM(G5:G9)</f>
        <v>0.80150999999999994</v>
      </c>
    </row>
    <row r="11" spans="1:11" x14ac:dyDescent="0.15">
      <c r="E11" s="21"/>
      <c r="G11" s="24"/>
    </row>
    <row r="12" spans="1:11" x14ac:dyDescent="0.15">
      <c r="A12" s="17" t="s">
        <v>79</v>
      </c>
      <c r="E12" s="21"/>
      <c r="G12" s="25"/>
    </row>
    <row r="13" spans="1:11" x14ac:dyDescent="0.15">
      <c r="A13" s="5" t="s">
        <v>5</v>
      </c>
      <c r="B13" s="14">
        <v>438</v>
      </c>
      <c r="C13" s="5" t="s">
        <v>11</v>
      </c>
      <c r="D13" s="5" t="s">
        <v>2</v>
      </c>
      <c r="E13" s="21">
        <v>0.03</v>
      </c>
      <c r="F13" s="5" t="s">
        <v>10</v>
      </c>
      <c r="G13" s="26">
        <f>(B13/1000)*E13</f>
        <v>1.3139999999999999E-2</v>
      </c>
    </row>
    <row r="14" spans="1:11" x14ac:dyDescent="0.15">
      <c r="A14" s="5" t="s">
        <v>46</v>
      </c>
      <c r="B14" s="14">
        <v>58</v>
      </c>
      <c r="C14" s="5" t="s">
        <v>1</v>
      </c>
      <c r="D14" s="5" t="s">
        <v>2</v>
      </c>
      <c r="E14" s="21">
        <v>1.89</v>
      </c>
      <c r="F14" s="5" t="s">
        <v>3</v>
      </c>
      <c r="G14" s="24">
        <f>B14*(E14/1000)</f>
        <v>0.10962</v>
      </c>
    </row>
    <row r="15" spans="1:11" x14ac:dyDescent="0.15">
      <c r="A15" s="5" t="s">
        <v>47</v>
      </c>
      <c r="B15" s="14">
        <v>25</v>
      </c>
      <c r="C15" s="5" t="s">
        <v>1</v>
      </c>
      <c r="D15" s="5" t="s">
        <v>2</v>
      </c>
      <c r="E15" s="21">
        <v>1.89</v>
      </c>
      <c r="F15" s="5" t="s">
        <v>3</v>
      </c>
      <c r="G15" s="24">
        <f>(B15/1000)*E15</f>
        <v>4.725E-2</v>
      </c>
    </row>
    <row r="16" spans="1:11" x14ac:dyDescent="0.15">
      <c r="A16" s="5" t="s">
        <v>6</v>
      </c>
      <c r="B16" s="14">
        <v>26</v>
      </c>
      <c r="C16" s="5" t="s">
        <v>1</v>
      </c>
      <c r="D16" s="5" t="s">
        <v>2</v>
      </c>
      <c r="E16" s="21">
        <v>2.0499999999999998</v>
      </c>
      <c r="F16" s="5" t="s">
        <v>3</v>
      </c>
      <c r="G16" s="24">
        <f>B16*(E16/1000)</f>
        <v>5.3299999999999993E-2</v>
      </c>
    </row>
    <row r="17" spans="1:7" x14ac:dyDescent="0.15">
      <c r="A17" s="5" t="s">
        <v>23</v>
      </c>
      <c r="B17" s="14">
        <v>1</v>
      </c>
      <c r="C17" s="5" t="s">
        <v>8</v>
      </c>
      <c r="D17" s="5" t="s">
        <v>2</v>
      </c>
      <c r="E17" s="21">
        <v>0.55000000000000004</v>
      </c>
      <c r="F17" s="5" t="s">
        <v>9</v>
      </c>
      <c r="G17" s="23">
        <f>B17*E17</f>
        <v>0.55000000000000004</v>
      </c>
    </row>
    <row r="18" spans="1:7" x14ac:dyDescent="0.15">
      <c r="E18" s="21"/>
      <c r="F18" s="19" t="s">
        <v>7</v>
      </c>
      <c r="G18" s="27">
        <f>SUM(G13:G17)</f>
        <v>0.77331000000000005</v>
      </c>
    </row>
    <row r="19" spans="1:7" x14ac:dyDescent="0.15">
      <c r="E19" s="21"/>
      <c r="G19" s="24"/>
    </row>
    <row r="20" spans="1:7" x14ac:dyDescent="0.15">
      <c r="A20" s="17" t="s">
        <v>81</v>
      </c>
      <c r="E20" s="21"/>
      <c r="G20" s="25"/>
    </row>
    <row r="21" spans="1:7" x14ac:dyDescent="0.15">
      <c r="A21" s="5" t="s">
        <v>5</v>
      </c>
      <c r="B21" s="14">
        <v>402</v>
      </c>
      <c r="C21" s="5" t="s">
        <v>11</v>
      </c>
      <c r="D21" s="5" t="s">
        <v>2</v>
      </c>
      <c r="E21" s="21">
        <v>0.03</v>
      </c>
      <c r="F21" s="5" t="s">
        <v>10</v>
      </c>
      <c r="G21" s="26">
        <f>(B21/1000)*E21</f>
        <v>1.206E-2</v>
      </c>
    </row>
    <row r="22" spans="1:7" x14ac:dyDescent="0.15">
      <c r="A22" s="5" t="s">
        <v>46</v>
      </c>
      <c r="B22" s="14">
        <v>44</v>
      </c>
      <c r="C22" s="5" t="s">
        <v>1</v>
      </c>
      <c r="D22" s="5" t="s">
        <v>2</v>
      </c>
      <c r="E22" s="21">
        <v>1.84</v>
      </c>
      <c r="F22" s="5" t="s">
        <v>3</v>
      </c>
      <c r="G22" s="24">
        <f>B22*(E22/1000)</f>
        <v>8.0960000000000004E-2</v>
      </c>
    </row>
    <row r="23" spans="1:7" x14ac:dyDescent="0.15">
      <c r="A23" s="5" t="s">
        <v>47</v>
      </c>
      <c r="B23" s="14">
        <v>20</v>
      </c>
      <c r="C23" s="5" t="s">
        <v>1</v>
      </c>
      <c r="D23" s="5" t="s">
        <v>2</v>
      </c>
      <c r="E23" s="21">
        <v>1.84</v>
      </c>
      <c r="F23" s="5" t="s">
        <v>3</v>
      </c>
      <c r="G23" s="24">
        <f>(B23/1000)*E23</f>
        <v>3.6799999999999999E-2</v>
      </c>
    </row>
    <row r="24" spans="1:7" x14ac:dyDescent="0.15">
      <c r="A24" s="5" t="s">
        <v>6</v>
      </c>
      <c r="B24" s="14">
        <v>26</v>
      </c>
      <c r="C24" s="5" t="s">
        <v>1</v>
      </c>
      <c r="D24" s="5" t="s">
        <v>2</v>
      </c>
      <c r="E24" s="21">
        <v>2.08</v>
      </c>
      <c r="F24" s="5" t="s">
        <v>3</v>
      </c>
      <c r="G24" s="24">
        <f>B24*(E24/1000)</f>
        <v>5.4080000000000003E-2</v>
      </c>
    </row>
    <row r="25" spans="1:7" x14ac:dyDescent="0.15">
      <c r="A25" s="5" t="s">
        <v>23</v>
      </c>
      <c r="B25" s="14">
        <v>1</v>
      </c>
      <c r="C25" s="5" t="s">
        <v>8</v>
      </c>
      <c r="D25" s="5" t="s">
        <v>2</v>
      </c>
      <c r="E25" s="21">
        <v>0.55000000000000004</v>
      </c>
      <c r="F25" s="5" t="s">
        <v>9</v>
      </c>
      <c r="G25" s="23">
        <f>B25*E25</f>
        <v>0.55000000000000004</v>
      </c>
    </row>
    <row r="26" spans="1:7" x14ac:dyDescent="0.15">
      <c r="E26" s="21"/>
      <c r="F26" s="19" t="s">
        <v>7</v>
      </c>
      <c r="G26" s="27">
        <f>SUM(G21:G25)</f>
        <v>0.7339</v>
      </c>
    </row>
    <row r="27" spans="1:7" x14ac:dyDescent="0.15">
      <c r="E27" s="21"/>
      <c r="G27" s="24"/>
    </row>
    <row r="28" spans="1:7" x14ac:dyDescent="0.15">
      <c r="A28" s="17" t="s">
        <v>80</v>
      </c>
      <c r="E28" s="21"/>
      <c r="G28" s="25"/>
    </row>
    <row r="29" spans="1:7" x14ac:dyDescent="0.15">
      <c r="A29" s="5" t="s">
        <v>5</v>
      </c>
      <c r="B29" s="14">
        <v>464</v>
      </c>
      <c r="C29" s="5" t="s">
        <v>11</v>
      </c>
      <c r="D29" s="5" t="s">
        <v>2</v>
      </c>
      <c r="E29" s="21">
        <v>0.04</v>
      </c>
      <c r="F29" s="5" t="s">
        <v>10</v>
      </c>
      <c r="G29" s="26">
        <f>(B29/1000)*E29</f>
        <v>1.856E-2</v>
      </c>
    </row>
    <row r="30" spans="1:7" x14ac:dyDescent="0.15">
      <c r="A30" s="5" t="s">
        <v>46</v>
      </c>
      <c r="B30" s="14">
        <v>46</v>
      </c>
      <c r="C30" s="5" t="s">
        <v>1</v>
      </c>
      <c r="D30" s="5" t="s">
        <v>2</v>
      </c>
      <c r="E30" s="21">
        <v>2.25</v>
      </c>
      <c r="F30" s="5" t="s">
        <v>3</v>
      </c>
      <c r="G30" s="24">
        <f>B30*(E30/1000)</f>
        <v>0.10349999999999999</v>
      </c>
    </row>
    <row r="31" spans="1:7" x14ac:dyDescent="0.15">
      <c r="A31" s="5" t="s">
        <v>47</v>
      </c>
      <c r="B31" s="14">
        <v>21</v>
      </c>
      <c r="C31" s="5" t="s">
        <v>1</v>
      </c>
      <c r="D31" s="5" t="s">
        <v>2</v>
      </c>
      <c r="E31" s="21">
        <v>2.25</v>
      </c>
      <c r="F31" s="5" t="s">
        <v>3</v>
      </c>
      <c r="G31" s="24">
        <f>(B31/1000)*E31</f>
        <v>4.725E-2</v>
      </c>
    </row>
    <row r="32" spans="1:7" x14ac:dyDescent="0.15">
      <c r="A32" s="5" t="s">
        <v>6</v>
      </c>
      <c r="B32" s="14">
        <v>26</v>
      </c>
      <c r="C32" s="5" t="s">
        <v>1</v>
      </c>
      <c r="D32" s="5" t="s">
        <v>2</v>
      </c>
      <c r="E32" s="21">
        <v>2.0499999999999998</v>
      </c>
      <c r="F32" s="5" t="s">
        <v>3</v>
      </c>
      <c r="G32" s="24">
        <f>B32*(E32/1000)</f>
        <v>5.3299999999999993E-2</v>
      </c>
    </row>
    <row r="33" spans="1:7" x14ac:dyDescent="0.15">
      <c r="A33" s="5" t="s">
        <v>23</v>
      </c>
      <c r="B33" s="14">
        <v>1</v>
      </c>
      <c r="C33" s="5" t="s">
        <v>8</v>
      </c>
      <c r="D33" s="5" t="s">
        <v>2</v>
      </c>
      <c r="E33" s="21">
        <v>0.55000000000000004</v>
      </c>
      <c r="F33" s="5" t="s">
        <v>9</v>
      </c>
      <c r="G33" s="23">
        <f>B33*E33</f>
        <v>0.55000000000000004</v>
      </c>
    </row>
    <row r="34" spans="1:7" x14ac:dyDescent="0.15">
      <c r="F34" s="19" t="s">
        <v>7</v>
      </c>
      <c r="G34" s="27">
        <f>SUM(G29:G33)</f>
        <v>0.77261000000000002</v>
      </c>
    </row>
    <row r="35" spans="1:7" x14ac:dyDescent="0.15">
      <c r="G35" s="20"/>
    </row>
    <row r="37" spans="1:7" x14ac:dyDescent="0.15">
      <c r="A37" s="5" t="s">
        <v>29</v>
      </c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C10"/>
  <sheetViews>
    <sheetView showGridLines="0" workbookViewId="0"/>
  </sheetViews>
  <sheetFormatPr baseColWidth="10" defaultColWidth="8.83203125" defaultRowHeight="13" x14ac:dyDescent="0.15"/>
  <cols>
    <col min="1" max="1" width="18.1640625" style="5" bestFit="1" customWidth="1"/>
    <col min="2" max="2" width="10.5" style="5" bestFit="1" customWidth="1"/>
    <col min="3" max="4" width="14.5" style="5" bestFit="1" customWidth="1"/>
    <col min="5" max="5" width="16.1640625" style="5" customWidth="1"/>
    <col min="6" max="16384" width="8.83203125" style="5"/>
  </cols>
  <sheetData>
    <row r="1" spans="1:3" x14ac:dyDescent="0.15">
      <c r="A1" s="44" t="s">
        <v>104</v>
      </c>
    </row>
    <row r="4" spans="1:3" x14ac:dyDescent="0.15">
      <c r="A4" s="6" t="s">
        <v>4</v>
      </c>
      <c r="B4" s="140" t="s">
        <v>28</v>
      </c>
      <c r="C4" s="140"/>
    </row>
    <row r="5" spans="1:3" x14ac:dyDescent="0.15">
      <c r="A5" s="12" t="s">
        <v>76</v>
      </c>
      <c r="B5" s="29">
        <v>0.64</v>
      </c>
      <c r="C5" s="5" t="s">
        <v>12</v>
      </c>
    </row>
    <row r="6" spans="1:3" x14ac:dyDescent="0.15">
      <c r="A6" s="12" t="s">
        <v>79</v>
      </c>
      <c r="B6" s="29">
        <v>0.6</v>
      </c>
      <c r="C6" s="5" t="s">
        <v>12</v>
      </c>
    </row>
    <row r="7" spans="1:3" x14ac:dyDescent="0.15">
      <c r="A7" s="12" t="s">
        <v>81</v>
      </c>
      <c r="B7" s="29">
        <v>0.6</v>
      </c>
      <c r="C7" s="5" t="s">
        <v>12</v>
      </c>
    </row>
    <row r="8" spans="1:3" x14ac:dyDescent="0.15">
      <c r="A8" s="12" t="s">
        <v>80</v>
      </c>
      <c r="B8" s="29">
        <v>0.61</v>
      </c>
      <c r="C8" s="5" t="s">
        <v>12</v>
      </c>
    </row>
    <row r="9" spans="1:3" x14ac:dyDescent="0.15">
      <c r="A9" s="12"/>
      <c r="B9" s="2"/>
    </row>
    <row r="10" spans="1:3" x14ac:dyDescent="0.15">
      <c r="A10" s="12" t="s">
        <v>146</v>
      </c>
    </row>
  </sheetData>
  <mergeCells count="1">
    <mergeCell ref="B4:C4"/>
  </mergeCells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E73"/>
  <sheetViews>
    <sheetView showGridLines="0" zoomScale="120" zoomScaleNormal="120" zoomScalePageLayoutView="95" workbookViewId="0">
      <selection activeCell="D19" sqref="D19"/>
    </sheetView>
  </sheetViews>
  <sheetFormatPr baseColWidth="10" defaultColWidth="8.83203125" defaultRowHeight="13" x14ac:dyDescent="0.15"/>
  <cols>
    <col min="1" max="1" width="31" style="5" bestFit="1" customWidth="1"/>
    <col min="2" max="2" width="28" style="5" bestFit="1" customWidth="1"/>
    <col min="3" max="3" width="15.5" style="5" bestFit="1" customWidth="1"/>
    <col min="4" max="4" width="13.6640625" style="5" customWidth="1"/>
    <col min="5" max="5" width="12.1640625" style="5" bestFit="1" customWidth="1"/>
    <col min="6" max="9" width="12.6640625" style="5" bestFit="1" customWidth="1"/>
    <col min="10" max="10" width="19.1640625" style="5" bestFit="1" customWidth="1"/>
    <col min="11" max="11" width="12.1640625" style="5" bestFit="1" customWidth="1"/>
    <col min="12" max="16384" width="8.83203125" style="5"/>
  </cols>
  <sheetData>
    <row r="1" spans="1:5" x14ac:dyDescent="0.15">
      <c r="A1" s="11" t="s">
        <v>75</v>
      </c>
    </row>
    <row r="3" spans="1:5" x14ac:dyDescent="0.15">
      <c r="A3" s="5" t="s">
        <v>102</v>
      </c>
    </row>
    <row r="5" spans="1:5" x14ac:dyDescent="0.15">
      <c r="A5" s="5" t="s">
        <v>39</v>
      </c>
    </row>
    <row r="7" spans="1:5" x14ac:dyDescent="0.15">
      <c r="A7" s="5" t="s">
        <v>172</v>
      </c>
    </row>
    <row r="9" spans="1:5" x14ac:dyDescent="0.15">
      <c r="A9" s="5" t="s">
        <v>236</v>
      </c>
    </row>
    <row r="11" spans="1:5" x14ac:dyDescent="0.15">
      <c r="A11" t="s">
        <v>173</v>
      </c>
    </row>
    <row r="13" spans="1:5" x14ac:dyDescent="0.15">
      <c r="A13" s="5" t="s">
        <v>107</v>
      </c>
    </row>
    <row r="15" spans="1:5" x14ac:dyDescent="0.15">
      <c r="B15" s="7" t="s">
        <v>82</v>
      </c>
      <c r="C15" s="7"/>
      <c r="D15" s="30" t="s">
        <v>83</v>
      </c>
      <c r="E15" s="7"/>
    </row>
    <row r="16" spans="1:5" x14ac:dyDescent="0.15">
      <c r="B16" s="5" t="s">
        <v>45</v>
      </c>
      <c r="D16" s="33">
        <v>200000</v>
      </c>
    </row>
    <row r="17" spans="1:4" x14ac:dyDescent="0.15">
      <c r="B17" s="5" t="s">
        <v>48</v>
      </c>
      <c r="D17" s="31">
        <v>140000</v>
      </c>
    </row>
    <row r="18" spans="1:4" x14ac:dyDescent="0.15">
      <c r="B18" s="5" t="s">
        <v>49</v>
      </c>
      <c r="D18" s="31">
        <f>60000*4</f>
        <v>240000</v>
      </c>
    </row>
    <row r="19" spans="1:4" x14ac:dyDescent="0.15">
      <c r="B19" s="5" t="s">
        <v>50</v>
      </c>
      <c r="D19" s="31">
        <v>400000</v>
      </c>
    </row>
    <row r="20" spans="1:4" x14ac:dyDescent="0.15">
      <c r="B20" s="5" t="s">
        <v>51</v>
      </c>
      <c r="D20" s="31">
        <v>800000</v>
      </c>
    </row>
    <row r="21" spans="1:4" x14ac:dyDescent="0.15">
      <c r="B21" s="5" t="s">
        <v>52</v>
      </c>
      <c r="D21" s="31">
        <f>10000*12</f>
        <v>120000</v>
      </c>
    </row>
    <row r="22" spans="1:4" x14ac:dyDescent="0.15">
      <c r="B22" s="5" t="s">
        <v>53</v>
      </c>
      <c r="D22" s="31">
        <v>300000</v>
      </c>
    </row>
    <row r="23" spans="1:4" x14ac:dyDescent="0.15">
      <c r="B23" s="5" t="s">
        <v>54</v>
      </c>
      <c r="D23" s="31">
        <v>50000</v>
      </c>
    </row>
    <row r="24" spans="1:4" x14ac:dyDescent="0.15">
      <c r="D24" s="34">
        <v>2250000</v>
      </c>
    </row>
    <row r="25" spans="1:4" x14ac:dyDescent="0.15">
      <c r="D25" s="32"/>
    </row>
    <row r="26" spans="1:4" x14ac:dyDescent="0.15">
      <c r="A26" s="5" t="s">
        <v>230</v>
      </c>
      <c r="D26" s="32"/>
    </row>
    <row r="27" spans="1:4" x14ac:dyDescent="0.15">
      <c r="D27" s="32"/>
    </row>
    <row r="28" spans="1:4" x14ac:dyDescent="0.15">
      <c r="A28" s="5" t="s">
        <v>233</v>
      </c>
      <c r="D28" s="32"/>
    </row>
    <row r="29" spans="1:4" x14ac:dyDescent="0.15">
      <c r="D29" s="32"/>
    </row>
    <row r="30" spans="1:4" x14ac:dyDescent="0.15">
      <c r="A30" s="5" t="s">
        <v>232</v>
      </c>
      <c r="D30" s="32"/>
    </row>
    <row r="31" spans="1:4" x14ac:dyDescent="0.15">
      <c r="D31" s="32"/>
    </row>
    <row r="32" spans="1:4" x14ac:dyDescent="0.15">
      <c r="A32" s="5" t="s">
        <v>40</v>
      </c>
    </row>
    <row r="33" spans="1:4" x14ac:dyDescent="0.15">
      <c r="B33" s="7" t="s">
        <v>30</v>
      </c>
      <c r="C33" s="7" t="s">
        <v>13</v>
      </c>
      <c r="D33" s="41" t="s">
        <v>61</v>
      </c>
    </row>
    <row r="34" spans="1:4" x14ac:dyDescent="0.15">
      <c r="B34" s="5" t="s">
        <v>14</v>
      </c>
      <c r="C34" s="5" t="s">
        <v>62</v>
      </c>
      <c r="D34" s="4">
        <v>250000</v>
      </c>
    </row>
    <row r="35" spans="1:4" x14ac:dyDescent="0.15">
      <c r="B35" s="5" t="s">
        <v>15</v>
      </c>
      <c r="C35" s="5" t="s">
        <v>62</v>
      </c>
      <c r="D35" s="4">
        <v>115000</v>
      </c>
    </row>
    <row r="36" spans="1:4" x14ac:dyDescent="0.15">
      <c r="B36" s="5" t="s">
        <v>16</v>
      </c>
      <c r="C36" s="5" t="s">
        <v>62</v>
      </c>
      <c r="D36" s="4">
        <v>115000</v>
      </c>
    </row>
    <row r="37" spans="1:4" x14ac:dyDescent="0.15">
      <c r="B37" s="5" t="s">
        <v>66</v>
      </c>
      <c r="C37" s="5" t="s">
        <v>62</v>
      </c>
      <c r="D37" s="4">
        <v>115000</v>
      </c>
    </row>
    <row r="38" spans="1:4" x14ac:dyDescent="0.15">
      <c r="B38" s="5" t="s">
        <v>17</v>
      </c>
      <c r="C38" s="5" t="s">
        <v>62</v>
      </c>
      <c r="D38" s="4">
        <v>100000</v>
      </c>
    </row>
    <row r="39" spans="1:4" x14ac:dyDescent="0.15">
      <c r="B39" s="5" t="s">
        <v>65</v>
      </c>
      <c r="C39" s="5" t="s">
        <v>62</v>
      </c>
      <c r="D39" s="4">
        <v>40000</v>
      </c>
    </row>
    <row r="40" spans="1:4" x14ac:dyDescent="0.15">
      <c r="B40" s="5" t="s">
        <v>64</v>
      </c>
      <c r="C40" s="5" t="s">
        <v>62</v>
      </c>
      <c r="D40" s="4">
        <v>32000</v>
      </c>
    </row>
    <row r="41" spans="1:4" x14ac:dyDescent="0.15">
      <c r="B41" s="5" t="s">
        <v>63</v>
      </c>
      <c r="C41" s="5" t="s">
        <v>62</v>
      </c>
      <c r="D41" s="4">
        <v>65000</v>
      </c>
    </row>
    <row r="42" spans="1:4" x14ac:dyDescent="0.15">
      <c r="A42" s="5" t="s">
        <v>105</v>
      </c>
    </row>
    <row r="44" spans="1:4" x14ac:dyDescent="0.15">
      <c r="A44" s="5" t="s">
        <v>176</v>
      </c>
    </row>
    <row r="46" spans="1:4" x14ac:dyDescent="0.15">
      <c r="A46" s="5" t="s">
        <v>31</v>
      </c>
    </row>
    <row r="48" spans="1:4" x14ac:dyDescent="0.15">
      <c r="B48" s="17" t="s">
        <v>60</v>
      </c>
    </row>
    <row r="49" spans="1:4" x14ac:dyDescent="0.15">
      <c r="B49" s="5" t="s">
        <v>24</v>
      </c>
      <c r="C49" s="35">
        <v>3500</v>
      </c>
      <c r="D49" s="5" t="s">
        <v>32</v>
      </c>
    </row>
    <row r="50" spans="1:4" x14ac:dyDescent="0.15">
      <c r="B50" s="5" t="s">
        <v>55</v>
      </c>
      <c r="C50" s="35">
        <v>1000</v>
      </c>
      <c r="D50" s="5" t="s">
        <v>32</v>
      </c>
    </row>
    <row r="51" spans="1:4" x14ac:dyDescent="0.15">
      <c r="B51" s="5" t="s">
        <v>56</v>
      </c>
      <c r="C51" s="35">
        <v>1500</v>
      </c>
      <c r="D51" s="5" t="s">
        <v>32</v>
      </c>
    </row>
    <row r="52" spans="1:4" x14ac:dyDescent="0.15">
      <c r="B52" s="5" t="s">
        <v>25</v>
      </c>
      <c r="C52" s="35">
        <v>8000</v>
      </c>
      <c r="D52" s="5" t="s">
        <v>33</v>
      </c>
    </row>
    <row r="53" spans="1:4" x14ac:dyDescent="0.15">
      <c r="B53" s="5" t="s">
        <v>57</v>
      </c>
      <c r="C53" s="35">
        <v>15000</v>
      </c>
      <c r="D53" s="5" t="s">
        <v>33</v>
      </c>
    </row>
    <row r="54" spans="1:4" x14ac:dyDescent="0.15">
      <c r="B54" s="5" t="s">
        <v>26</v>
      </c>
      <c r="C54" s="35">
        <v>12000</v>
      </c>
      <c r="D54" s="5" t="s">
        <v>33</v>
      </c>
    </row>
    <row r="55" spans="1:4" x14ac:dyDescent="0.15">
      <c r="B55" s="5" t="s">
        <v>58</v>
      </c>
      <c r="C55" s="35">
        <v>60000</v>
      </c>
      <c r="D55" s="5" t="s">
        <v>33</v>
      </c>
    </row>
    <row r="56" spans="1:4" x14ac:dyDescent="0.15">
      <c r="B56" s="5" t="s">
        <v>59</v>
      </c>
      <c r="C56" s="35">
        <v>75000</v>
      </c>
      <c r="D56" s="5" t="s">
        <v>33</v>
      </c>
    </row>
    <row r="58" spans="1:4" x14ac:dyDescent="0.15">
      <c r="B58" s="5" t="s">
        <v>34</v>
      </c>
    </row>
    <row r="60" spans="1:4" x14ac:dyDescent="0.15">
      <c r="A60" s="5" t="s">
        <v>174</v>
      </c>
    </row>
    <row r="62" spans="1:4" x14ac:dyDescent="0.15">
      <c r="A62" s="5" t="s">
        <v>106</v>
      </c>
    </row>
    <row r="64" spans="1:4" x14ac:dyDescent="0.15">
      <c r="A64" s="5" t="s">
        <v>234</v>
      </c>
    </row>
    <row r="65" spans="1:1" x14ac:dyDescent="0.15">
      <c r="A65" s="57"/>
    </row>
    <row r="66" spans="1:1" x14ac:dyDescent="0.15">
      <c r="A66" s="5" t="s">
        <v>235</v>
      </c>
    </row>
    <row r="68" spans="1:1" x14ac:dyDescent="0.15">
      <c r="A68" s="5" t="s">
        <v>175</v>
      </c>
    </row>
    <row r="70" spans="1:1" x14ac:dyDescent="0.15">
      <c r="A70" s="5" t="s">
        <v>123</v>
      </c>
    </row>
    <row r="73" spans="1:1" ht="16" x14ac:dyDescent="0.2">
      <c r="A73" s="42"/>
    </row>
  </sheetData>
  <phoneticPr fontId="8" type="noConversion"/>
  <pageMargins left="0.74803149606299213" right="0.74803149606299213" top="0.98425196850393704" bottom="0.98425196850393704" header="0.51181102362204722" footer="0.51181102362204722"/>
  <pageSetup orientation="landscape"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O21"/>
  <sheetViews>
    <sheetView showGridLines="0" workbookViewId="0">
      <selection activeCell="C9" sqref="C9"/>
    </sheetView>
  </sheetViews>
  <sheetFormatPr baseColWidth="10" defaultColWidth="8.83203125" defaultRowHeight="13" x14ac:dyDescent="0.15"/>
  <cols>
    <col min="1" max="1" width="16.6640625" style="5" bestFit="1" customWidth="1"/>
    <col min="2" max="14" width="12.1640625" style="5" bestFit="1" customWidth="1"/>
    <col min="15" max="15" width="13.1640625" style="3" bestFit="1" customWidth="1"/>
    <col min="16" max="16384" width="8.83203125" style="5"/>
  </cols>
  <sheetData>
    <row r="1" spans="1:15" x14ac:dyDescent="0.15">
      <c r="A1" s="11"/>
    </row>
    <row r="2" spans="1:15" x14ac:dyDescent="0.15">
      <c r="A2" s="11" t="s">
        <v>177</v>
      </c>
    </row>
    <row r="3" spans="1:15" x14ac:dyDescent="0.1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5" x14ac:dyDescent="0.15">
      <c r="A4" s="6" t="s">
        <v>4</v>
      </c>
      <c r="B4" s="78" t="s">
        <v>178</v>
      </c>
      <c r="C4" s="79" t="s">
        <v>160</v>
      </c>
      <c r="D4" s="79" t="s">
        <v>161</v>
      </c>
      <c r="E4" s="79" t="s">
        <v>162</v>
      </c>
      <c r="F4" s="79" t="s">
        <v>163</v>
      </c>
      <c r="G4" s="79" t="s">
        <v>164</v>
      </c>
      <c r="H4" s="79" t="s">
        <v>165</v>
      </c>
      <c r="I4" s="79" t="s">
        <v>166</v>
      </c>
      <c r="J4" s="79" t="s">
        <v>167</v>
      </c>
      <c r="K4" s="79" t="s">
        <v>168</v>
      </c>
      <c r="L4" s="79" t="s">
        <v>169</v>
      </c>
      <c r="M4" s="79" t="s">
        <v>170</v>
      </c>
      <c r="N4" s="79" t="s">
        <v>171</v>
      </c>
      <c r="O4" s="7" t="s">
        <v>0</v>
      </c>
    </row>
    <row r="5" spans="1:15" x14ac:dyDescent="0.15">
      <c r="A5" s="5" t="s">
        <v>76</v>
      </c>
      <c r="B5" s="129">
        <v>30</v>
      </c>
      <c r="C5" s="136">
        <v>312300</v>
      </c>
      <c r="D5" s="136">
        <f>B5*'Sales Demand'!C4</f>
        <v>480300</v>
      </c>
      <c r="E5" s="136">
        <f>$B$5*'Sales Demand'!D4</f>
        <v>355200</v>
      </c>
      <c r="F5" s="136">
        <f>$B$5*'Sales Demand'!E4</f>
        <v>223200</v>
      </c>
      <c r="G5" s="136">
        <f>$B$5*'Sales Demand'!F4</f>
        <v>464100</v>
      </c>
      <c r="H5" s="136">
        <f>$B$5*'Sales Demand'!G4</f>
        <v>654600</v>
      </c>
      <c r="I5" s="136">
        <f>$B$5*'Sales Demand'!H4</f>
        <v>684000</v>
      </c>
      <c r="J5" s="136">
        <f>$B$5*'Sales Demand'!I4</f>
        <v>708000</v>
      </c>
      <c r="K5" s="136">
        <f>$B$5*'Sales Demand'!J4</f>
        <v>504900</v>
      </c>
      <c r="L5" s="136">
        <f>$B$5*'Sales Demand'!K4</f>
        <v>489000</v>
      </c>
      <c r="M5" s="136">
        <f>$B$5*'Sales Demand'!L4</f>
        <v>443100</v>
      </c>
      <c r="N5" s="136">
        <f>$B$5*'Sales Demand'!M4</f>
        <v>465000</v>
      </c>
      <c r="O5" s="136">
        <f>SUM(C5:N5)</f>
        <v>5783700</v>
      </c>
    </row>
    <row r="6" spans="1:15" x14ac:dyDescent="0.15">
      <c r="A6" s="5" t="s">
        <v>79</v>
      </c>
      <c r="B6" s="129">
        <v>32</v>
      </c>
      <c r="C6" s="109">
        <f>$B$6*'Sales Demand'!B5</f>
        <v>316160</v>
      </c>
      <c r="D6" s="109">
        <f>$B$6*'Sales Demand'!C5</f>
        <v>386880</v>
      </c>
      <c r="E6" s="109">
        <f>$B$6*'Sales Demand'!D5</f>
        <v>353600</v>
      </c>
      <c r="F6" s="109">
        <f>$B$6*'Sales Demand'!E5</f>
        <v>320960</v>
      </c>
      <c r="G6" s="109">
        <f>$B$6*'Sales Demand'!F5</f>
        <v>505600</v>
      </c>
      <c r="H6" s="109">
        <f>$B$6*'Sales Demand'!G5</f>
        <v>548160</v>
      </c>
      <c r="I6" s="109">
        <f>$B$6*'Sales Demand'!H5</f>
        <v>415680</v>
      </c>
      <c r="J6" s="109">
        <f>$B$6*'Sales Demand'!I5</f>
        <v>433600</v>
      </c>
      <c r="K6" s="109">
        <f>$B$6*'Sales Demand'!J5</f>
        <v>461760</v>
      </c>
      <c r="L6" s="109">
        <f>$B$6*'Sales Demand'!K5</f>
        <v>489600</v>
      </c>
      <c r="M6" s="109">
        <f>$B$6*'Sales Demand'!L5</f>
        <v>325120</v>
      </c>
      <c r="N6" s="109">
        <f>$B$6*'Sales Demand'!M5</f>
        <v>405760</v>
      </c>
      <c r="O6" s="109">
        <f>SUM(C6:N6)</f>
        <v>4962880</v>
      </c>
    </row>
    <row r="7" spans="1:15" x14ac:dyDescent="0.15">
      <c r="A7" s="5" t="s">
        <v>81</v>
      </c>
      <c r="B7" s="129">
        <v>36</v>
      </c>
      <c r="C7" s="109">
        <f>$B$7*'Sales Demand'!B6</f>
        <v>745200</v>
      </c>
      <c r="D7" s="109">
        <f>$B$7*'Sales Demand'!C6</f>
        <v>758160</v>
      </c>
      <c r="E7" s="109">
        <f>$B$7*'Sales Demand'!D6</f>
        <v>685800</v>
      </c>
      <c r="F7" s="109">
        <f>$B$7*'Sales Demand'!E6</f>
        <v>824760</v>
      </c>
      <c r="G7" s="109">
        <f>$B$7*'Sales Demand'!F6</f>
        <v>907560</v>
      </c>
      <c r="H7" s="109">
        <f>$B$7*'Sales Demand'!G6</f>
        <v>784080</v>
      </c>
      <c r="I7" s="109">
        <f>$B$7*'Sales Demand'!H6</f>
        <v>986760</v>
      </c>
      <c r="J7" s="109">
        <f>$B$7*'Sales Demand'!I6</f>
        <v>848520</v>
      </c>
      <c r="K7" s="109">
        <f>$B$7*'Sales Demand'!J6</f>
        <v>766800</v>
      </c>
      <c r="L7" s="109">
        <f>$B$7*'Sales Demand'!K6</f>
        <v>565560</v>
      </c>
      <c r="M7" s="109">
        <f>$B$7*'Sales Demand'!L6</f>
        <v>615960</v>
      </c>
      <c r="N7" s="109">
        <f>$B$7*'Sales Demand'!M6</f>
        <v>657720</v>
      </c>
      <c r="O7" s="109">
        <f>SUM(C7:N7)</f>
        <v>9146880</v>
      </c>
    </row>
    <row r="8" spans="1:15" x14ac:dyDescent="0.15">
      <c r="A8" s="5" t="s">
        <v>80</v>
      </c>
      <c r="B8" s="129">
        <v>22</v>
      </c>
      <c r="C8" s="118">
        <f>$B$8*'Sales Demand'!B7</f>
        <v>479820</v>
      </c>
      <c r="D8" s="118">
        <f>$B$8*'Sales Demand'!C7</f>
        <v>706640</v>
      </c>
      <c r="E8" s="118">
        <f>$B$8*'Sales Demand'!D7</f>
        <v>779020</v>
      </c>
      <c r="F8" s="118">
        <f>$B$8*'Sales Demand'!E7</f>
        <v>883300</v>
      </c>
      <c r="G8" s="118">
        <f>$B$8*'Sales Demand'!F7</f>
        <v>795740</v>
      </c>
      <c r="H8" s="118">
        <f>$B$8*'Sales Demand'!G7</f>
        <v>937200</v>
      </c>
      <c r="I8" s="118">
        <f>$B$8*'Sales Demand'!H7</f>
        <v>988240</v>
      </c>
      <c r="J8" s="118">
        <f>$B$8*'Sales Demand'!I7</f>
        <v>805200</v>
      </c>
      <c r="K8" s="118">
        <f>$B$8*'Sales Demand'!J7</f>
        <v>756800</v>
      </c>
      <c r="L8" s="118">
        <f>$B$8*'Sales Demand'!K7</f>
        <v>692120</v>
      </c>
      <c r="M8" s="118">
        <f>$B$8*'Sales Demand'!L7</f>
        <v>653180</v>
      </c>
      <c r="N8" s="118">
        <f>$B$8*'Sales Demand'!M7</f>
        <v>791340</v>
      </c>
      <c r="O8" s="109">
        <f>SUM(C8:N8)</f>
        <v>9268600</v>
      </c>
    </row>
    <row r="9" spans="1:15" x14ac:dyDescent="0.15">
      <c r="A9" s="5" t="s">
        <v>0</v>
      </c>
      <c r="C9" s="135">
        <f>SUM(C5:C8)</f>
        <v>1853480</v>
      </c>
      <c r="D9" s="135">
        <f t="shared" ref="D9:O9" si="0">SUM(D5:D8)</f>
        <v>2331980</v>
      </c>
      <c r="E9" s="135">
        <f t="shared" si="0"/>
        <v>2173620</v>
      </c>
      <c r="F9" s="135">
        <f t="shared" si="0"/>
        <v>2252220</v>
      </c>
      <c r="G9" s="135">
        <f t="shared" si="0"/>
        <v>2673000</v>
      </c>
      <c r="H9" s="135">
        <f t="shared" si="0"/>
        <v>2924040</v>
      </c>
      <c r="I9" s="135">
        <f t="shared" si="0"/>
        <v>3074680</v>
      </c>
      <c r="J9" s="135">
        <f t="shared" si="0"/>
        <v>2795320</v>
      </c>
      <c r="K9" s="135">
        <f t="shared" si="0"/>
        <v>2490260</v>
      </c>
      <c r="L9" s="135">
        <f t="shared" si="0"/>
        <v>2236280</v>
      </c>
      <c r="M9" s="135">
        <f t="shared" si="0"/>
        <v>2037360</v>
      </c>
      <c r="N9" s="135">
        <f t="shared" si="0"/>
        <v>2319820</v>
      </c>
      <c r="O9" s="135">
        <f t="shared" si="0"/>
        <v>29162060</v>
      </c>
    </row>
    <row r="10" spans="1:15" x14ac:dyDescent="0.15">
      <c r="O10" s="69"/>
    </row>
    <row r="11" spans="1:15" x14ac:dyDescent="0.15">
      <c r="O11" s="69"/>
    </row>
    <row r="12" spans="1:15" x14ac:dyDescent="0.15">
      <c r="O12" s="69"/>
    </row>
    <row r="13" spans="1:15" x14ac:dyDescent="0.15">
      <c r="O13" s="69"/>
    </row>
    <row r="14" spans="1:15" x14ac:dyDescent="0.15">
      <c r="A14"/>
      <c r="O14" s="69"/>
    </row>
    <row r="15" spans="1:15" x14ac:dyDescent="0.15">
      <c r="O15" s="69"/>
    </row>
    <row r="16" spans="1:15" x14ac:dyDescent="0.15">
      <c r="O16" s="80"/>
    </row>
    <row r="17" spans="1:15" x14ac:dyDescent="0.15">
      <c r="A17" s="2"/>
      <c r="B17" s="28"/>
      <c r="C17" s="28"/>
      <c r="D17" s="28"/>
      <c r="O17" s="69"/>
    </row>
    <row r="18" spans="1:15" x14ac:dyDescent="0.15">
      <c r="O18" s="69"/>
    </row>
    <row r="19" spans="1:15" x14ac:dyDescent="0.15">
      <c r="O19" s="69"/>
    </row>
    <row r="20" spans="1:15" x14ac:dyDescent="0.15">
      <c r="O20" s="69"/>
    </row>
    <row r="21" spans="1:15" x14ac:dyDescent="0.15">
      <c r="O21" s="69"/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Q12"/>
  <sheetViews>
    <sheetView showGridLines="0" workbookViewId="0">
      <selection activeCell="E9" sqref="E9"/>
    </sheetView>
  </sheetViews>
  <sheetFormatPr baseColWidth="10" defaultColWidth="8.83203125" defaultRowHeight="13" x14ac:dyDescent="0.15"/>
  <cols>
    <col min="1" max="1" width="16.6640625" style="5" bestFit="1" customWidth="1"/>
    <col min="2" max="2" width="18.6640625" style="5" bestFit="1" customWidth="1"/>
    <col min="3" max="3" width="17.1640625" style="36" bestFit="1" customWidth="1"/>
    <col min="4" max="4" width="18.5" style="5" bestFit="1" customWidth="1"/>
    <col min="5" max="16" width="12.1640625" style="5" bestFit="1" customWidth="1"/>
    <col min="17" max="17" width="13.83203125" style="5" bestFit="1" customWidth="1"/>
    <col min="18" max="16384" width="8.83203125" style="5"/>
  </cols>
  <sheetData>
    <row r="1" spans="1:17" x14ac:dyDescent="0.15">
      <c r="A1" s="11"/>
      <c r="C1" s="5"/>
      <c r="O1" s="3"/>
    </row>
    <row r="2" spans="1:17" x14ac:dyDescent="0.15">
      <c r="A2" s="11" t="s">
        <v>179</v>
      </c>
      <c r="B2" s="11"/>
      <c r="C2" s="81"/>
    </row>
    <row r="4" spans="1:17" x14ac:dyDescent="0.15">
      <c r="A4" s="6" t="s">
        <v>4</v>
      </c>
      <c r="B4" s="78" t="s">
        <v>180</v>
      </c>
      <c r="C4" s="78" t="s">
        <v>181</v>
      </c>
      <c r="D4" s="78" t="s">
        <v>182</v>
      </c>
      <c r="E4" s="10" t="s">
        <v>160</v>
      </c>
      <c r="F4" s="10" t="s">
        <v>161</v>
      </c>
      <c r="G4" s="10" t="s">
        <v>162</v>
      </c>
      <c r="H4" s="10" t="s">
        <v>163</v>
      </c>
      <c r="I4" s="10" t="s">
        <v>164</v>
      </c>
      <c r="J4" s="10" t="s">
        <v>165</v>
      </c>
      <c r="K4" s="10" t="s">
        <v>166</v>
      </c>
      <c r="L4" s="10" t="s">
        <v>167</v>
      </c>
      <c r="M4" s="10" t="s">
        <v>168</v>
      </c>
      <c r="N4" s="10" t="s">
        <v>169</v>
      </c>
      <c r="O4" s="10" t="s">
        <v>170</v>
      </c>
      <c r="P4" s="10" t="s">
        <v>171</v>
      </c>
      <c r="Q4" s="82" t="s">
        <v>183</v>
      </c>
    </row>
    <row r="5" spans="1:17" x14ac:dyDescent="0.15">
      <c r="A5" s="5" t="s">
        <v>76</v>
      </c>
      <c r="B5" s="134">
        <f>'Direct Materials'!G10</f>
        <v>0.80150999999999994</v>
      </c>
      <c r="C5" s="130">
        <v>24</v>
      </c>
      <c r="D5" s="129">
        <f>B5*$C$5</f>
        <v>19.236239999999999</v>
      </c>
      <c r="E5" s="121">
        <f>$D$5*'Sales Demand'!B4</f>
        <v>195055.4736</v>
      </c>
      <c r="F5" s="121">
        <f>$D$5*'Sales Demand'!C4</f>
        <v>307972.20239999995</v>
      </c>
      <c r="G5" s="121">
        <f>$D$5*'Sales Demand'!D4</f>
        <v>227757.08159999998</v>
      </c>
      <c r="H5" s="121">
        <f>$D$5*'Sales Demand'!E4</f>
        <v>143117.6256</v>
      </c>
      <c r="I5" s="121">
        <f>$D$5*'Sales Demand'!F4</f>
        <v>297584.63279999996</v>
      </c>
      <c r="J5" s="121">
        <f>$D$5*'Sales Demand'!G4</f>
        <v>419734.75679999997</v>
      </c>
      <c r="K5" s="121">
        <f>$D$5*'Sales Demand'!H4</f>
        <v>438586.272</v>
      </c>
      <c r="L5" s="121">
        <f>$D$5*'Sales Demand'!I4</f>
        <v>453975.26399999997</v>
      </c>
      <c r="M5" s="121">
        <f>$D$5*'Sales Demand'!J4</f>
        <v>323745.9192</v>
      </c>
      <c r="N5" s="121">
        <f>$D$5*'Sales Demand'!K4</f>
        <v>313550.712</v>
      </c>
      <c r="O5" s="121">
        <f>$D$5*'Sales Demand'!L4</f>
        <v>284119.2648</v>
      </c>
      <c r="P5" s="121">
        <f>$D$5*'Sales Demand'!M4</f>
        <v>298161.71999999997</v>
      </c>
      <c r="Q5" s="100">
        <f>SUM(E5:P5)</f>
        <v>3703360.9247999992</v>
      </c>
    </row>
    <row r="6" spans="1:17" x14ac:dyDescent="0.15">
      <c r="A6" s="5" t="s">
        <v>79</v>
      </c>
      <c r="B6" s="131">
        <f>'Direct Materials'!G18</f>
        <v>0.77331000000000005</v>
      </c>
      <c r="C6" s="130">
        <v>24</v>
      </c>
      <c r="D6" s="129">
        <f>B6*C6</f>
        <v>18.559440000000002</v>
      </c>
      <c r="E6" s="101">
        <f>$D$6*'Sales Demand'!B5</f>
        <v>183367.26720000003</v>
      </c>
      <c r="F6" s="101">
        <f>$D$6*'Sales Demand'!C5</f>
        <v>224383.62960000001</v>
      </c>
      <c r="G6" s="101">
        <f>$D$6*'Sales Demand'!D5</f>
        <v>205081.81200000003</v>
      </c>
      <c r="H6" s="101">
        <f>$D$6*'Sales Demand'!E5</f>
        <v>186151.18320000003</v>
      </c>
      <c r="I6" s="101">
        <f>$D$6*'Sales Demand'!F5</f>
        <v>293239.15200000006</v>
      </c>
      <c r="J6" s="101">
        <f>$D$6*'Sales Demand'!G5</f>
        <v>317923.20720000006</v>
      </c>
      <c r="K6" s="101">
        <f>$D$6*'Sales Demand'!H5</f>
        <v>241087.12560000003</v>
      </c>
      <c r="L6" s="101">
        <f>$D$6*'Sales Demand'!I5</f>
        <v>251480.41200000004</v>
      </c>
      <c r="M6" s="101">
        <f>$D$6*'Sales Demand'!J5</f>
        <v>267812.71920000005</v>
      </c>
      <c r="N6" s="101">
        <f>$D$6*'Sales Demand'!K5</f>
        <v>283959.43200000003</v>
      </c>
      <c r="O6" s="101">
        <f>$D$6*'Sales Demand'!L5</f>
        <v>188563.91040000002</v>
      </c>
      <c r="P6" s="101">
        <f>$D$6*'Sales Demand'!M5</f>
        <v>235333.69920000003</v>
      </c>
      <c r="Q6" s="100">
        <f t="shared" ref="Q6:Q8" si="0">SUM(E6:P6)</f>
        <v>2878383.5496000005</v>
      </c>
    </row>
    <row r="7" spans="1:17" x14ac:dyDescent="0.15">
      <c r="A7" s="5" t="s">
        <v>81</v>
      </c>
      <c r="B7" s="131">
        <f>'Direct Materials'!G26</f>
        <v>0.7339</v>
      </c>
      <c r="C7" s="130">
        <v>24</v>
      </c>
      <c r="D7" s="129">
        <f t="shared" ref="D7:D8" si="1">B7*C7</f>
        <v>17.613599999999998</v>
      </c>
      <c r="E7" s="101">
        <f>$D$7*'Sales Demand'!B6</f>
        <v>364601.51999999996</v>
      </c>
      <c r="F7" s="101">
        <f>$D$7*'Sales Demand'!C6</f>
        <v>370942.41599999997</v>
      </c>
      <c r="G7" s="101">
        <f>$D$7*'Sales Demand'!D6</f>
        <v>335539.07999999996</v>
      </c>
      <c r="H7" s="101">
        <f>$D$7*'Sales Demand'!E6</f>
        <v>403527.57599999994</v>
      </c>
      <c r="I7" s="101">
        <f>$D$7*'Sales Demand'!F6</f>
        <v>444038.85599999997</v>
      </c>
      <c r="J7" s="101">
        <f>$D$7*'Sales Demand'!G6</f>
        <v>383624.20799999998</v>
      </c>
      <c r="K7" s="101">
        <f>$D$7*'Sales Demand'!H6</f>
        <v>482788.77599999995</v>
      </c>
      <c r="L7" s="101">
        <f>$D$7*'Sales Demand'!I6</f>
        <v>415152.55199999997</v>
      </c>
      <c r="M7" s="101">
        <f>$D$7*'Sales Demand'!J6</f>
        <v>375169.67999999993</v>
      </c>
      <c r="N7" s="101">
        <f>$D$7*'Sales Demand'!K6</f>
        <v>276709.65599999996</v>
      </c>
      <c r="O7" s="101">
        <f>$D$7*'Sales Demand'!L6</f>
        <v>301368.696</v>
      </c>
      <c r="P7" s="101">
        <f>$D$7*'Sales Demand'!M6</f>
        <v>321800.47199999995</v>
      </c>
      <c r="Q7" s="100">
        <f t="shared" si="0"/>
        <v>4475263.4879999999</v>
      </c>
    </row>
    <row r="8" spans="1:17" x14ac:dyDescent="0.15">
      <c r="A8" s="5" t="s">
        <v>80</v>
      </c>
      <c r="B8" s="131">
        <f>'Direct Materials'!G34</f>
        <v>0.77261000000000002</v>
      </c>
      <c r="C8" s="130">
        <v>24</v>
      </c>
      <c r="D8" s="129">
        <f t="shared" si="1"/>
        <v>18.542639999999999</v>
      </c>
      <c r="E8" s="102">
        <f>$D$8*'Sales Demand'!B7</f>
        <v>404414.97839999996</v>
      </c>
      <c r="F8" s="102">
        <f>$D$8*'Sales Demand'!C7</f>
        <v>595589.59679999994</v>
      </c>
      <c r="G8" s="102">
        <f>$D$8*'Sales Demand'!D7</f>
        <v>656594.8824</v>
      </c>
      <c r="H8" s="102">
        <f>$D$8*'Sales Demand'!E7</f>
        <v>744486.99599999993</v>
      </c>
      <c r="I8" s="102">
        <f>$D$8*'Sales Demand'!F7</f>
        <v>670687.28879999998</v>
      </c>
      <c r="J8" s="102">
        <f>$D$8*'Sales Demand'!G7</f>
        <v>789916.46399999992</v>
      </c>
      <c r="K8" s="102">
        <f>$D$8*'Sales Demand'!H7</f>
        <v>832935.38879999996</v>
      </c>
      <c r="L8" s="102">
        <f>$D$8*'Sales Demand'!I7</f>
        <v>678660.62399999995</v>
      </c>
      <c r="M8" s="102">
        <f>$D$8*'Sales Demand'!J7</f>
        <v>637866.81599999999</v>
      </c>
      <c r="N8" s="102">
        <f>$D$8*'Sales Demand'!K7</f>
        <v>583351.45439999993</v>
      </c>
      <c r="O8" s="102">
        <f>$D$8*'Sales Demand'!L7</f>
        <v>550530.98159999994</v>
      </c>
      <c r="P8" s="102">
        <f>$D$8*'Sales Demand'!M7</f>
        <v>666978.76079999993</v>
      </c>
      <c r="Q8" s="100">
        <f t="shared" si="0"/>
        <v>7812014.2319999989</v>
      </c>
    </row>
    <row r="9" spans="1:17" x14ac:dyDescent="0.15">
      <c r="A9" s="5" t="s">
        <v>0</v>
      </c>
      <c r="E9" s="135">
        <f>SUM(E5:E8)</f>
        <v>1147439.2392</v>
      </c>
      <c r="F9" s="135">
        <f t="shared" ref="F9:P9" si="2">SUM(F5:F8)</f>
        <v>1498887.8447999998</v>
      </c>
      <c r="G9" s="135">
        <f t="shared" si="2"/>
        <v>1424972.8559999999</v>
      </c>
      <c r="H9" s="135">
        <f t="shared" si="2"/>
        <v>1477283.3807999999</v>
      </c>
      <c r="I9" s="135">
        <f t="shared" si="2"/>
        <v>1705549.9295999999</v>
      </c>
      <c r="J9" s="135">
        <f t="shared" si="2"/>
        <v>1911198.6359999999</v>
      </c>
      <c r="K9" s="135">
        <f t="shared" si="2"/>
        <v>1995397.5623999997</v>
      </c>
      <c r="L9" s="135">
        <f t="shared" si="2"/>
        <v>1799268.852</v>
      </c>
      <c r="M9" s="135">
        <f t="shared" si="2"/>
        <v>1604595.1343999999</v>
      </c>
      <c r="N9" s="135">
        <f t="shared" si="2"/>
        <v>1457571.2544</v>
      </c>
      <c r="O9" s="135">
        <f t="shared" si="2"/>
        <v>1324582.8528</v>
      </c>
      <c r="P9" s="135">
        <f t="shared" si="2"/>
        <v>1522274.6519999998</v>
      </c>
      <c r="Q9" s="135">
        <f>SUM(Q5:Q8)</f>
        <v>18869022.194399998</v>
      </c>
    </row>
    <row r="10" spans="1:17" x14ac:dyDescent="0.15">
      <c r="Q10" s="69"/>
    </row>
    <row r="11" spans="1:17" x14ac:dyDescent="0.15">
      <c r="Q11" s="69"/>
    </row>
    <row r="12" spans="1:17" x14ac:dyDescent="0.15">
      <c r="Q12" s="69"/>
    </row>
  </sheetData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R21"/>
  <sheetViews>
    <sheetView showGridLines="0" workbookViewId="0">
      <selection activeCell="O15" sqref="O15"/>
    </sheetView>
  </sheetViews>
  <sheetFormatPr baseColWidth="10" defaultColWidth="8.83203125" defaultRowHeight="13" x14ac:dyDescent="0.15"/>
  <cols>
    <col min="1" max="1" width="17.5" style="5" customWidth="1"/>
    <col min="2" max="2" width="13.83203125" style="5" bestFit="1" customWidth="1"/>
    <col min="3" max="3" width="16.5" style="5" bestFit="1" customWidth="1"/>
    <col min="4" max="4" width="13.5" style="5" bestFit="1" customWidth="1"/>
    <col min="5" max="5" width="16" style="5" bestFit="1" customWidth="1"/>
    <col min="6" max="7" width="10.5" style="5" bestFit="1" customWidth="1"/>
    <col min="8" max="8" width="10.6640625" style="5" customWidth="1"/>
    <col min="9" max="14" width="10.5" style="5" bestFit="1" customWidth="1"/>
    <col min="15" max="15" width="12" style="5" bestFit="1" customWidth="1"/>
    <col min="16" max="16" width="9.5" style="5" bestFit="1" customWidth="1"/>
    <col min="17" max="17" width="9.6640625" style="5" bestFit="1" customWidth="1"/>
    <col min="18" max="18" width="14.6640625" style="5" bestFit="1" customWidth="1"/>
    <col min="19" max="16384" width="8.83203125" style="5"/>
  </cols>
  <sheetData>
    <row r="1" spans="1:18" x14ac:dyDescent="0.15">
      <c r="A1" s="11"/>
      <c r="O1" s="3"/>
    </row>
    <row r="2" spans="1:18" x14ac:dyDescent="0.15">
      <c r="A2" s="84" t="s">
        <v>184</v>
      </c>
      <c r="B2" s="2"/>
      <c r="C2" s="2"/>
      <c r="D2" s="2"/>
      <c r="E2" s="2"/>
      <c r="G2" s="2"/>
      <c r="I2" s="3"/>
      <c r="J2" s="3"/>
    </row>
    <row r="3" spans="1:18" x14ac:dyDescent="0.15">
      <c r="B3" s="28"/>
      <c r="C3" s="28"/>
      <c r="D3" s="28"/>
      <c r="E3" s="28"/>
    </row>
    <row r="4" spans="1:18" x14ac:dyDescent="0.15">
      <c r="A4" s="12"/>
      <c r="F4" s="141" t="s">
        <v>224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</row>
    <row r="5" spans="1:18" ht="14" x14ac:dyDescent="0.15">
      <c r="A5" s="6" t="s">
        <v>4</v>
      </c>
      <c r="B5" s="7" t="s">
        <v>185</v>
      </c>
      <c r="C5" s="7" t="s">
        <v>112</v>
      </c>
      <c r="D5" s="7" t="s">
        <v>186</v>
      </c>
      <c r="E5" s="7" t="s">
        <v>187</v>
      </c>
      <c r="F5" s="79" t="s">
        <v>160</v>
      </c>
      <c r="G5" s="79" t="s">
        <v>161</v>
      </c>
      <c r="H5" s="79" t="s">
        <v>162</v>
      </c>
      <c r="I5" s="79" t="s">
        <v>163</v>
      </c>
      <c r="J5" s="79" t="s">
        <v>164</v>
      </c>
      <c r="K5" s="79" t="s">
        <v>165</v>
      </c>
      <c r="L5" s="79" t="s">
        <v>166</v>
      </c>
      <c r="M5" s="79" t="s">
        <v>167</v>
      </c>
      <c r="N5" s="79" t="s">
        <v>168</v>
      </c>
      <c r="O5" s="79" t="s">
        <v>169</v>
      </c>
      <c r="P5" s="79" t="s">
        <v>170</v>
      </c>
      <c r="Q5" s="79" t="s">
        <v>171</v>
      </c>
      <c r="R5" s="85" t="s">
        <v>188</v>
      </c>
    </row>
    <row r="6" spans="1:18" x14ac:dyDescent="0.15">
      <c r="A6" s="5" t="s">
        <v>76</v>
      </c>
      <c r="B6" s="129">
        <f>'Direct Labour'!B5</f>
        <v>0.64</v>
      </c>
      <c r="C6" s="130">
        <v>24</v>
      </c>
      <c r="D6" s="129">
        <f>B6*C6</f>
        <v>15.36</v>
      </c>
      <c r="E6" s="131">
        <f>'C - DL Budget'!D6/60</f>
        <v>0.25600000000000001</v>
      </c>
      <c r="F6" s="101">
        <f>$E$6*'Sales Demand'!B4</f>
        <v>2595.84</v>
      </c>
      <c r="G6" s="101">
        <f>$E$6*'Sales Demand'!C4</f>
        <v>4098.5600000000004</v>
      </c>
      <c r="H6" s="101">
        <f>$E$6*'Sales Demand'!D4</f>
        <v>3031.04</v>
      </c>
      <c r="I6" s="101">
        <f>$E$6*'Sales Demand'!E4</f>
        <v>1904.64</v>
      </c>
      <c r="J6" s="101">
        <f>$E$6*'Sales Demand'!F4</f>
        <v>3960.32</v>
      </c>
      <c r="K6" s="101">
        <f>$E$6*'Sales Demand'!G4</f>
        <v>5585.92</v>
      </c>
      <c r="L6" s="101">
        <f>$E$6*'Sales Demand'!H4</f>
        <v>5836.8</v>
      </c>
      <c r="M6" s="101">
        <f>$E$6*'Sales Demand'!I4</f>
        <v>6041.6</v>
      </c>
      <c r="N6" s="101">
        <f>$E$6*'Sales Demand'!J4</f>
        <v>4308.4800000000005</v>
      </c>
      <c r="O6" s="101">
        <f>$E$6*'Sales Demand'!K4</f>
        <v>4172.8</v>
      </c>
      <c r="P6" s="101">
        <f>$E$6*'Sales Demand'!L4</f>
        <v>3781.12</v>
      </c>
      <c r="Q6" s="101">
        <f>$E$6*'Sales Demand'!M4</f>
        <v>3968</v>
      </c>
      <c r="R6" s="101">
        <f>SUM(F6:Q6)</f>
        <v>49285.12000000001</v>
      </c>
    </row>
    <row r="7" spans="1:18" x14ac:dyDescent="0.15">
      <c r="A7" s="5" t="s">
        <v>79</v>
      </c>
      <c r="B7" s="129">
        <f>'Direct Labour'!B6</f>
        <v>0.6</v>
      </c>
      <c r="C7" s="130">
        <v>24</v>
      </c>
      <c r="D7" s="129">
        <f t="shared" ref="D7:D9" si="0">B7*C7</f>
        <v>14.399999999999999</v>
      </c>
      <c r="E7" s="131">
        <f>'C - DL Budget'!D7/60</f>
        <v>0.23999999999999996</v>
      </c>
      <c r="F7" s="101">
        <f>$E$7*'Sales Demand'!B5</f>
        <v>2371.1999999999998</v>
      </c>
      <c r="G7" s="101">
        <f>$E$7*'Sales Demand'!C5</f>
        <v>2901.5999999999995</v>
      </c>
      <c r="H7" s="101">
        <f>$E$7*'Sales Demand'!D5</f>
        <v>2651.9999999999995</v>
      </c>
      <c r="I7" s="101">
        <f>$E$7*'Sales Demand'!E5</f>
        <v>2407.1999999999998</v>
      </c>
      <c r="J7" s="101">
        <f>$E$7*'Sales Demand'!F5</f>
        <v>3791.9999999999995</v>
      </c>
      <c r="K7" s="101">
        <f>$E$7*'Sales Demand'!G5</f>
        <v>4111.2</v>
      </c>
      <c r="L7" s="101">
        <f>$E$7*'Sales Demand'!H5</f>
        <v>3117.5999999999995</v>
      </c>
      <c r="M7" s="101">
        <f>$E$7*'Sales Demand'!I5</f>
        <v>3251.9999999999995</v>
      </c>
      <c r="N7" s="101">
        <f>$E$7*'Sales Demand'!J5</f>
        <v>3463.1999999999994</v>
      </c>
      <c r="O7" s="101">
        <f>$E$7*'Sales Demand'!K5</f>
        <v>3671.9999999999995</v>
      </c>
      <c r="P7" s="101">
        <f>$E$7*'Sales Demand'!L5</f>
        <v>2438.3999999999996</v>
      </c>
      <c r="Q7" s="101">
        <f>$E$7*'Sales Demand'!M5</f>
        <v>3043.1999999999994</v>
      </c>
      <c r="R7" s="101">
        <f t="shared" ref="R7:R9" si="1">SUM(F7:Q7)</f>
        <v>37221.599999999999</v>
      </c>
    </row>
    <row r="8" spans="1:18" x14ac:dyDescent="0.15">
      <c r="A8" s="5" t="s">
        <v>81</v>
      </c>
      <c r="B8" s="129">
        <f>'Direct Labour'!B7</f>
        <v>0.6</v>
      </c>
      <c r="C8" s="130">
        <v>24</v>
      </c>
      <c r="D8" s="129">
        <f t="shared" si="0"/>
        <v>14.399999999999999</v>
      </c>
      <c r="E8" s="131">
        <f>'C - DL Budget'!D8/60</f>
        <v>0.23999999999999996</v>
      </c>
      <c r="F8" s="101">
        <f>$E$8*'Sales Demand'!B6</f>
        <v>4967.9999999999991</v>
      </c>
      <c r="G8" s="101">
        <f>$E$8*'Sales Demand'!C6</f>
        <v>5054.3999999999996</v>
      </c>
      <c r="H8" s="101">
        <f>$E$8*'Sales Demand'!D6</f>
        <v>4571.9999999999991</v>
      </c>
      <c r="I8" s="101">
        <f>$E$8*'Sales Demand'!E6</f>
        <v>5498.3999999999987</v>
      </c>
      <c r="J8" s="101">
        <f>$E$8*'Sales Demand'!F6</f>
        <v>6050.3999999999987</v>
      </c>
      <c r="K8" s="101">
        <f>$E$8*'Sales Demand'!G6</f>
        <v>5227.1999999999989</v>
      </c>
      <c r="L8" s="101">
        <f>$E$8*'Sales Demand'!H6</f>
        <v>6578.3999999999987</v>
      </c>
      <c r="M8" s="101">
        <f>$E$8*'Sales Demand'!I6</f>
        <v>5656.7999999999993</v>
      </c>
      <c r="N8" s="101">
        <f>$E$8*'Sales Demand'!J6</f>
        <v>5111.9999999999991</v>
      </c>
      <c r="O8" s="101">
        <f>$E$8*'Sales Demand'!K6</f>
        <v>3770.3999999999996</v>
      </c>
      <c r="P8" s="101">
        <f>$E$8*'Sales Demand'!L6</f>
        <v>4106.3999999999996</v>
      </c>
      <c r="Q8" s="101">
        <f>$E$8*'Sales Demand'!M6</f>
        <v>4384.7999999999993</v>
      </c>
      <c r="R8" s="101">
        <f t="shared" si="1"/>
        <v>60979.199999999997</v>
      </c>
    </row>
    <row r="9" spans="1:18" x14ac:dyDescent="0.15">
      <c r="A9" s="5" t="s">
        <v>80</v>
      </c>
      <c r="B9" s="129">
        <f>'Direct Labour'!B8</f>
        <v>0.61</v>
      </c>
      <c r="C9" s="130">
        <v>24</v>
      </c>
      <c r="D9" s="129">
        <f t="shared" si="0"/>
        <v>14.64</v>
      </c>
      <c r="E9" s="131">
        <f>'C - DL Budget'!D9/60</f>
        <v>0.24400000000000002</v>
      </c>
      <c r="F9" s="101">
        <f>$E$9*'Sales Demand'!B7</f>
        <v>5321.64</v>
      </c>
      <c r="G9" s="101">
        <f>$E$9*'Sales Demand'!C7</f>
        <v>7837.2800000000007</v>
      </c>
      <c r="H9" s="101">
        <f>$E$9*'Sales Demand'!D7</f>
        <v>8640.0400000000009</v>
      </c>
      <c r="I9" s="101">
        <f>$E$9*'Sales Demand'!E7</f>
        <v>9796.6</v>
      </c>
      <c r="J9" s="101">
        <f>$E$9*'Sales Demand'!F7</f>
        <v>8825.4800000000014</v>
      </c>
      <c r="K9" s="101">
        <f>$E$9*'Sales Demand'!G7</f>
        <v>10394.400000000001</v>
      </c>
      <c r="L9" s="101">
        <f>$E$9*'Sales Demand'!H7</f>
        <v>10960.480000000001</v>
      </c>
      <c r="M9" s="101">
        <f>$E$9*'Sales Demand'!I7</f>
        <v>8930.4000000000015</v>
      </c>
      <c r="N9" s="101">
        <f>$E$9*'Sales Demand'!J7</f>
        <v>8393.6</v>
      </c>
      <c r="O9" s="101">
        <f>$E$9*'Sales Demand'!K7</f>
        <v>7676.2400000000007</v>
      </c>
      <c r="P9" s="101">
        <f>$E$9*'Sales Demand'!L7</f>
        <v>7244.3600000000006</v>
      </c>
      <c r="Q9" s="101">
        <f>$E$9*'Sales Demand'!M7</f>
        <v>8776.68</v>
      </c>
      <c r="R9" s="101">
        <f t="shared" si="1"/>
        <v>102797.20000000001</v>
      </c>
    </row>
    <row r="10" spans="1:18" x14ac:dyDescent="0.15">
      <c r="A10" s="5" t="s">
        <v>0</v>
      </c>
      <c r="C10" s="86"/>
      <c r="F10" s="132">
        <f>SUM(F6:F9)</f>
        <v>15256.68</v>
      </c>
      <c r="G10" s="132">
        <f t="shared" ref="G10:Q10" si="2">SUM(G6:G9)</f>
        <v>19891.84</v>
      </c>
      <c r="H10" s="132">
        <f t="shared" si="2"/>
        <v>18895.079999999998</v>
      </c>
      <c r="I10" s="132">
        <f t="shared" si="2"/>
        <v>19606.839999999997</v>
      </c>
      <c r="J10" s="132">
        <f t="shared" si="2"/>
        <v>22628.199999999997</v>
      </c>
      <c r="K10" s="132">
        <f t="shared" si="2"/>
        <v>25318.720000000001</v>
      </c>
      <c r="L10" s="132">
        <f t="shared" si="2"/>
        <v>26493.279999999999</v>
      </c>
      <c r="M10" s="132">
        <f t="shared" si="2"/>
        <v>23880.800000000003</v>
      </c>
      <c r="N10" s="132">
        <f t="shared" si="2"/>
        <v>21277.279999999999</v>
      </c>
      <c r="O10" s="132">
        <f t="shared" si="2"/>
        <v>19291.439999999999</v>
      </c>
      <c r="P10" s="132">
        <f t="shared" si="2"/>
        <v>17570.28</v>
      </c>
      <c r="Q10" s="132">
        <f t="shared" si="2"/>
        <v>20172.68</v>
      </c>
      <c r="R10" s="132">
        <f>SUM(R6:R9)</f>
        <v>250283.12</v>
      </c>
    </row>
    <row r="11" spans="1:18" x14ac:dyDescent="0.15">
      <c r="R11" s="69"/>
    </row>
    <row r="12" spans="1:18" x14ac:dyDescent="0.15">
      <c r="R12" s="69"/>
    </row>
    <row r="13" spans="1:18" x14ac:dyDescent="0.15">
      <c r="C13" s="141" t="s">
        <v>225</v>
      </c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</row>
    <row r="14" spans="1:18" ht="14" x14ac:dyDescent="0.15">
      <c r="A14" s="5" t="s">
        <v>4</v>
      </c>
      <c r="B14" s="87" t="s">
        <v>189</v>
      </c>
      <c r="C14" s="79" t="s">
        <v>160</v>
      </c>
      <c r="D14" s="79" t="s">
        <v>161</v>
      </c>
      <c r="E14" s="79" t="s">
        <v>162</v>
      </c>
      <c r="F14" s="79" t="s">
        <v>163</v>
      </c>
      <c r="G14" s="79" t="s">
        <v>164</v>
      </c>
      <c r="H14" s="79" t="s">
        <v>165</v>
      </c>
      <c r="I14" s="79" t="s">
        <v>166</v>
      </c>
      <c r="J14" s="79" t="s">
        <v>167</v>
      </c>
      <c r="K14" s="79" t="s">
        <v>168</v>
      </c>
      <c r="L14" s="79" t="s">
        <v>169</v>
      </c>
      <c r="M14" s="79" t="s">
        <v>170</v>
      </c>
      <c r="N14" s="79" t="s">
        <v>171</v>
      </c>
      <c r="O14" s="88" t="s">
        <v>190</v>
      </c>
    </row>
    <row r="15" spans="1:18" x14ac:dyDescent="0.15">
      <c r="A15" s="5" t="s">
        <v>76</v>
      </c>
      <c r="B15" s="129">
        <v>14</v>
      </c>
      <c r="C15" s="100">
        <f>$B$15*F6</f>
        <v>36341.760000000002</v>
      </c>
      <c r="D15" s="100">
        <f t="shared" ref="D15:N15" si="3">$B$15*G6</f>
        <v>57379.840000000004</v>
      </c>
      <c r="E15" s="100">
        <f t="shared" si="3"/>
        <v>42434.559999999998</v>
      </c>
      <c r="F15" s="100">
        <f t="shared" si="3"/>
        <v>26664.960000000003</v>
      </c>
      <c r="G15" s="100">
        <f t="shared" si="3"/>
        <v>55444.480000000003</v>
      </c>
      <c r="H15" s="100">
        <f t="shared" si="3"/>
        <v>78202.880000000005</v>
      </c>
      <c r="I15" s="100">
        <f t="shared" si="3"/>
        <v>81715.199999999997</v>
      </c>
      <c r="J15" s="100">
        <f t="shared" si="3"/>
        <v>84582.400000000009</v>
      </c>
      <c r="K15" s="100">
        <f t="shared" si="3"/>
        <v>60318.720000000008</v>
      </c>
      <c r="L15" s="100">
        <f t="shared" si="3"/>
        <v>58419.200000000004</v>
      </c>
      <c r="M15" s="100">
        <f t="shared" si="3"/>
        <v>52935.68</v>
      </c>
      <c r="N15" s="100">
        <f t="shared" si="3"/>
        <v>55552</v>
      </c>
      <c r="O15" s="100">
        <f>SUM(C15:N15)</f>
        <v>689991.68000000005</v>
      </c>
      <c r="Q15" s="80"/>
    </row>
    <row r="16" spans="1:18" x14ac:dyDescent="0.15">
      <c r="A16" s="5" t="s">
        <v>79</v>
      </c>
      <c r="B16" s="129">
        <v>14</v>
      </c>
      <c r="C16" s="109">
        <f>$B$16*F7</f>
        <v>33196.799999999996</v>
      </c>
      <c r="D16" s="109">
        <f t="shared" ref="D16:N16" si="4">$B$16*G7</f>
        <v>40622.399999999994</v>
      </c>
      <c r="E16" s="109">
        <f t="shared" si="4"/>
        <v>37127.999999999993</v>
      </c>
      <c r="F16" s="109">
        <f t="shared" si="4"/>
        <v>33700.799999999996</v>
      </c>
      <c r="G16" s="109">
        <f t="shared" si="4"/>
        <v>53087.999999999993</v>
      </c>
      <c r="H16" s="109">
        <f t="shared" si="4"/>
        <v>57556.799999999996</v>
      </c>
      <c r="I16" s="109">
        <f t="shared" si="4"/>
        <v>43646.399999999994</v>
      </c>
      <c r="J16" s="109">
        <f t="shared" si="4"/>
        <v>45527.999999999993</v>
      </c>
      <c r="K16" s="109">
        <f t="shared" si="4"/>
        <v>48484.799999999988</v>
      </c>
      <c r="L16" s="109">
        <f t="shared" si="4"/>
        <v>51407.999999999993</v>
      </c>
      <c r="M16" s="109">
        <f t="shared" si="4"/>
        <v>34137.599999999991</v>
      </c>
      <c r="N16" s="109">
        <f t="shared" si="4"/>
        <v>42604.799999999988</v>
      </c>
      <c r="O16" s="100">
        <f t="shared" ref="O16:O18" si="5">SUM(C16:N16)</f>
        <v>521102.39999999991</v>
      </c>
      <c r="Q16" s="80"/>
    </row>
    <row r="17" spans="1:18" x14ac:dyDescent="0.15">
      <c r="A17" s="5" t="s">
        <v>81</v>
      </c>
      <c r="B17" s="129">
        <v>14</v>
      </c>
      <c r="C17" s="109">
        <f>$B$17*F8</f>
        <v>69551.999999999985</v>
      </c>
      <c r="D17" s="109">
        <f t="shared" ref="D17:N17" si="6">$B$17*G8</f>
        <v>70761.599999999991</v>
      </c>
      <c r="E17" s="109">
        <f t="shared" si="6"/>
        <v>64007.999999999985</v>
      </c>
      <c r="F17" s="109">
        <f t="shared" si="6"/>
        <v>76977.599999999977</v>
      </c>
      <c r="G17" s="109">
        <f t="shared" si="6"/>
        <v>84705.599999999977</v>
      </c>
      <c r="H17" s="109">
        <f t="shared" si="6"/>
        <v>73180.799999999988</v>
      </c>
      <c r="I17" s="109">
        <f t="shared" si="6"/>
        <v>92097.599999999977</v>
      </c>
      <c r="J17" s="109">
        <f t="shared" si="6"/>
        <v>79195.199999999983</v>
      </c>
      <c r="K17" s="109">
        <f t="shared" si="6"/>
        <v>71567.999999999985</v>
      </c>
      <c r="L17" s="109">
        <f t="shared" si="6"/>
        <v>52785.599999999991</v>
      </c>
      <c r="M17" s="109">
        <f t="shared" si="6"/>
        <v>57489.599999999991</v>
      </c>
      <c r="N17" s="109">
        <f t="shared" si="6"/>
        <v>61387.19999999999</v>
      </c>
      <c r="O17" s="100">
        <f t="shared" si="5"/>
        <v>853708.79999999981</v>
      </c>
      <c r="Q17" s="80"/>
    </row>
    <row r="18" spans="1:18" x14ac:dyDescent="0.15">
      <c r="A18" s="5" t="s">
        <v>80</v>
      </c>
      <c r="B18" s="129">
        <v>14</v>
      </c>
      <c r="C18" s="109">
        <f>$B$18*F9</f>
        <v>74502.960000000006</v>
      </c>
      <c r="D18" s="109">
        <f t="shared" ref="D18:N18" si="7">$B$18*G9</f>
        <v>109721.92000000001</v>
      </c>
      <c r="E18" s="109">
        <f t="shared" si="7"/>
        <v>120960.56000000001</v>
      </c>
      <c r="F18" s="109">
        <f t="shared" si="7"/>
        <v>137152.4</v>
      </c>
      <c r="G18" s="109">
        <f t="shared" si="7"/>
        <v>123556.72000000002</v>
      </c>
      <c r="H18" s="109">
        <f t="shared" si="7"/>
        <v>145521.60000000003</v>
      </c>
      <c r="I18" s="109">
        <f t="shared" si="7"/>
        <v>153446.72000000003</v>
      </c>
      <c r="J18" s="109">
        <f t="shared" si="7"/>
        <v>125025.60000000002</v>
      </c>
      <c r="K18" s="109">
        <f t="shared" si="7"/>
        <v>117510.40000000001</v>
      </c>
      <c r="L18" s="109">
        <f t="shared" si="7"/>
        <v>107467.36000000002</v>
      </c>
      <c r="M18" s="109">
        <f t="shared" si="7"/>
        <v>101421.04000000001</v>
      </c>
      <c r="N18" s="109">
        <f t="shared" si="7"/>
        <v>122873.52</v>
      </c>
      <c r="O18" s="100">
        <f t="shared" si="5"/>
        <v>1439160.8</v>
      </c>
      <c r="Q18" s="80"/>
    </row>
    <row r="19" spans="1:18" x14ac:dyDescent="0.15">
      <c r="A19" s="5" t="s">
        <v>0</v>
      </c>
      <c r="C19" s="133">
        <f>SUM(C15:C18)</f>
        <v>213593.52000000002</v>
      </c>
      <c r="D19" s="133">
        <f t="shared" ref="D19:N19" si="8">SUM(D15:D18)</f>
        <v>278485.76000000001</v>
      </c>
      <c r="E19" s="133">
        <f t="shared" si="8"/>
        <v>264531.12</v>
      </c>
      <c r="F19" s="133">
        <f t="shared" si="8"/>
        <v>274495.76</v>
      </c>
      <c r="G19" s="133">
        <f t="shared" si="8"/>
        <v>316794.8</v>
      </c>
      <c r="H19" s="133">
        <f t="shared" si="8"/>
        <v>354462.08</v>
      </c>
      <c r="I19" s="133">
        <f t="shared" si="8"/>
        <v>370905.92</v>
      </c>
      <c r="J19" s="133">
        <f t="shared" si="8"/>
        <v>334331.2</v>
      </c>
      <c r="K19" s="133">
        <f t="shared" si="8"/>
        <v>297881.92</v>
      </c>
      <c r="L19" s="133">
        <f t="shared" si="8"/>
        <v>270080.16000000003</v>
      </c>
      <c r="M19" s="133">
        <f t="shared" si="8"/>
        <v>245983.92</v>
      </c>
      <c r="N19" s="133">
        <f t="shared" si="8"/>
        <v>282417.51999999996</v>
      </c>
      <c r="O19" s="133">
        <f>SUM(O15:O18)</f>
        <v>3503963.6799999997</v>
      </c>
    </row>
    <row r="20" spans="1:18" x14ac:dyDescent="0.15">
      <c r="R20" s="69"/>
    </row>
    <row r="21" spans="1:18" x14ac:dyDescent="0.15">
      <c r="R21" s="69"/>
    </row>
  </sheetData>
  <mergeCells count="2">
    <mergeCell ref="F4:Q4"/>
    <mergeCell ref="C13:N13"/>
  </mergeCells>
  <pageMargins left="0.74803149606299213" right="0.74803149606299213" top="0.98425196850393704" bottom="0.98425196850393704" header="0.51181102362204722" footer="0.51181102362204722"/>
  <pageSetup orientation="landscape"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FDB0FD8707CA44A6D2C94481F6BB27" ma:contentTypeVersion="0" ma:contentTypeDescription="Create a new document." ma:contentTypeScope="" ma:versionID="5682ea1f80930be04f32efea6a9430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CD4826-8CB6-4420-A388-CF3825459BE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C5CDC3-1F3B-46BB-A921-E43D8F439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87ADAA-3D64-4362-8CCD-6ED980317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Selling prices</vt:lpstr>
      <vt:lpstr>Sales Demand</vt:lpstr>
      <vt:lpstr>Direct Materials</vt:lpstr>
      <vt:lpstr>Direct Labour</vt:lpstr>
      <vt:lpstr>Other Information</vt:lpstr>
      <vt:lpstr>A - Revenue Budget</vt:lpstr>
      <vt:lpstr>B - DM Budget</vt:lpstr>
      <vt:lpstr>C - DL Budget</vt:lpstr>
      <vt:lpstr>D - VOH</vt:lpstr>
      <vt:lpstr>E - FOH</vt:lpstr>
      <vt:lpstr>F - Selling Admin Exp</vt:lpstr>
      <vt:lpstr>G - Transport Budget</vt:lpstr>
      <vt:lpstr>H - Cash Receipts and Payments</vt:lpstr>
      <vt:lpstr>Cash Budget</vt:lpstr>
      <vt:lpstr>Segment Income Statement</vt:lpstr>
      <vt:lpstr>Balance Sheet</vt:lpstr>
      <vt:lpstr>Cash Flow Statement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Microsoft Office User</cp:lastModifiedBy>
  <cp:lastPrinted>2020-10-30T23:44:22Z</cp:lastPrinted>
  <dcterms:created xsi:type="dcterms:W3CDTF">2010-06-21T01:47:38Z</dcterms:created>
  <dcterms:modified xsi:type="dcterms:W3CDTF">2023-07-03T02:52:42Z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0x0101001CFDB0FD8707CA44A6D2C94481F6BB27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