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118"/>
  <workbookPr/>
  <mc:AlternateContent xmlns:mc="http://schemas.openxmlformats.org/markup-compatibility/2006">
    <mc:Choice Requires="x15">
      <x15ac:absPath xmlns:x15ac="http://schemas.microsoft.com/office/spreadsheetml/2010/11/ac" url="C:\Users\D065030\Documents\DHBW\SoftwareEng\Documentation\"/>
    </mc:Choice>
  </mc:AlternateContent>
  <xr:revisionPtr revIDLastSave="0" documentId="8_{03E6DDDB-F2FF-4A67-ADB6-DB348B83572A}" xr6:coauthVersionLast="17" xr6:coauthVersionMax="17" xr10:uidLastSave="{00000000-0000-0000-0000-000000000000}"/>
  <bookViews>
    <workbookView xWindow="0" yWindow="0" windowWidth="23040" windowHeight="9195" xr2:uid="{00000000-000D-0000-FFFF-FFFF00000000}"/>
  </bookViews>
  <sheets>
    <sheet name="Tabelle1" sheetId="1" r:id="rId1"/>
  </sheets>
  <definedNames>
    <definedName name="AdministrateBarsFP">Tabelle1!$K$93</definedName>
    <definedName name="ChangeInfoFP">Tabelle1!$K$69</definedName>
    <definedName name="CommentFP">Tabelle1!$K$61</definedName>
    <definedName name="CreateGroupFP">Tabelle1!$K$13</definedName>
    <definedName name="DownloadFP">Tabelle1!$K$53</definedName>
    <definedName name="GetBarInfoFP">Tabelle1!$K$45</definedName>
    <definedName name="JoinGroupFP">Tabelle1!$K$37</definedName>
    <definedName name="LoginFP">Tabelle1!$K$21</definedName>
    <definedName name="RateBarFP">Tabelle1!$K$53</definedName>
    <definedName name="RegisterFp">Tabelle1!$K$29</definedName>
    <definedName name="SearchBarFP">Tabelle1!$K$13</definedName>
    <definedName name="SeeMapsFP">Tabelle1!$K$77</definedName>
    <definedName name="SeePinboardsFP">Tabelle1!$K$37</definedName>
    <definedName name="SelectDownloadFP">Tabelle1!$K$61</definedName>
    <definedName name="SelectFP">Tabelle1!$K$45</definedName>
    <definedName name="SelectUploadImagesFP">Tabelle1!$K$45</definedName>
    <definedName name="SetTagsFP">Tabelle1!$K$85</definedName>
    <definedName name="SurveysFP">Tabelle1!#REF!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D64" i="1"/>
  <c r="D65" i="1"/>
  <c r="D61" i="1"/>
  <c r="E61" i="1"/>
  <c r="E63" i="1"/>
  <c r="E64" i="1"/>
  <c r="E65" i="1"/>
  <c r="D62" i="1"/>
  <c r="E62" i="1"/>
  <c r="F62" i="1"/>
  <c r="F63" i="1"/>
  <c r="F64" i="1"/>
  <c r="F65" i="1"/>
  <c r="D57" i="1"/>
  <c r="F57" i="1"/>
  <c r="D56" i="1"/>
  <c r="F56" i="1"/>
  <c r="D55" i="1"/>
  <c r="F55" i="1"/>
  <c r="D54" i="1"/>
  <c r="E54" i="1"/>
  <c r="F54" i="1"/>
  <c r="E53" i="1"/>
  <c r="D53" i="1"/>
  <c r="D48" i="1"/>
  <c r="D47" i="1"/>
  <c r="D45" i="1"/>
  <c r="E48" i="1"/>
  <c r="E47" i="1"/>
  <c r="E45" i="1"/>
  <c r="E46" i="1"/>
  <c r="D37" i="1"/>
  <c r="E37" i="1"/>
  <c r="F37" i="1"/>
  <c r="F45" i="1"/>
  <c r="D46" i="1"/>
  <c r="F46" i="1"/>
  <c r="D49" i="1"/>
  <c r="E49" i="1"/>
  <c r="F49" i="1"/>
  <c r="I9" i="1"/>
  <c r="I8" i="1"/>
  <c r="I7" i="1"/>
  <c r="I6" i="1"/>
  <c r="I5" i="1"/>
  <c r="I4" i="1"/>
  <c r="I3" i="1"/>
  <c r="O17" i="1"/>
  <c r="D21" i="1"/>
  <c r="E21" i="1"/>
  <c r="F21" i="1"/>
  <c r="I21" i="1"/>
  <c r="D22" i="1"/>
  <c r="E22" i="1"/>
  <c r="F22" i="1"/>
  <c r="I22" i="1"/>
  <c r="D23" i="1"/>
  <c r="E23" i="1"/>
  <c r="F23" i="1"/>
  <c r="I23" i="1"/>
  <c r="D24" i="1"/>
  <c r="E24" i="1"/>
  <c r="F24" i="1"/>
  <c r="I24" i="1"/>
  <c r="D25" i="1"/>
  <c r="E25" i="1"/>
  <c r="F25" i="1"/>
  <c r="I25" i="1"/>
  <c r="K21" i="1"/>
  <c r="L4" i="1"/>
  <c r="D13" i="1"/>
  <c r="E13" i="1"/>
  <c r="F13" i="1"/>
  <c r="I13" i="1"/>
  <c r="D14" i="1"/>
  <c r="E14" i="1"/>
  <c r="F14" i="1"/>
  <c r="I14" i="1"/>
  <c r="D15" i="1"/>
  <c r="E15" i="1"/>
  <c r="F15" i="1"/>
  <c r="I15" i="1"/>
  <c r="D16" i="1"/>
  <c r="E16" i="1"/>
  <c r="F16" i="1"/>
  <c r="I16" i="1"/>
  <c r="D17" i="1"/>
  <c r="E17" i="1"/>
  <c r="F17" i="1"/>
  <c r="I17" i="1"/>
  <c r="K13" i="1"/>
  <c r="L3" i="1"/>
  <c r="D29" i="1"/>
  <c r="E29" i="1"/>
  <c r="F29" i="1"/>
  <c r="I29" i="1"/>
  <c r="D30" i="1"/>
  <c r="E30" i="1"/>
  <c r="F30" i="1"/>
  <c r="I30" i="1"/>
  <c r="D31" i="1"/>
  <c r="E31" i="1"/>
  <c r="F31" i="1"/>
  <c r="I31" i="1"/>
  <c r="D32" i="1"/>
  <c r="E32" i="1"/>
  <c r="F32" i="1"/>
  <c r="I32" i="1"/>
  <c r="D33" i="1"/>
  <c r="E33" i="1"/>
  <c r="F33" i="1"/>
  <c r="I33" i="1"/>
  <c r="K29" i="1"/>
  <c r="L5" i="1"/>
  <c r="I37" i="1"/>
  <c r="D38" i="1"/>
  <c r="E38" i="1"/>
  <c r="F38" i="1"/>
  <c r="I38" i="1"/>
  <c r="D39" i="1"/>
  <c r="E39" i="1"/>
  <c r="F39" i="1"/>
  <c r="I39" i="1"/>
  <c r="D40" i="1"/>
  <c r="E40" i="1"/>
  <c r="F40" i="1"/>
  <c r="I40" i="1"/>
  <c r="D41" i="1"/>
  <c r="E41" i="1"/>
  <c r="F41" i="1"/>
  <c r="I41" i="1"/>
  <c r="K37" i="1"/>
  <c r="L6" i="1"/>
  <c r="P17" i="1"/>
  <c r="Q17" i="1"/>
  <c r="K3" i="1"/>
  <c r="F61" i="1"/>
  <c r="I61" i="1"/>
  <c r="I62" i="1"/>
  <c r="I63" i="1"/>
  <c r="I64" i="1"/>
  <c r="I65" i="1"/>
  <c r="K61" i="1"/>
  <c r="L9" i="1"/>
  <c r="J9" i="1"/>
  <c r="I56" i="1"/>
  <c r="I55" i="1"/>
  <c r="I54" i="1"/>
  <c r="F53" i="1"/>
  <c r="I53" i="1"/>
  <c r="I48" i="1"/>
  <c r="I47" i="1"/>
  <c r="I45" i="1"/>
  <c r="J4" i="1"/>
  <c r="J5" i="1"/>
  <c r="J6" i="1"/>
  <c r="J7" i="1"/>
  <c r="J8" i="1"/>
  <c r="J3" i="1"/>
  <c r="I49" i="1"/>
  <c r="I46" i="1"/>
  <c r="K45" i="1"/>
  <c r="L7" i="1"/>
  <c r="I57" i="1"/>
  <c r="K53" i="1"/>
  <c r="L8" i="1"/>
  <c r="K9" i="1"/>
  <c r="K5" i="1"/>
  <c r="K8" i="1"/>
</calcChain>
</file>

<file path=xl/sharedStrings.xml><?xml version="1.0" encoding="utf-8"?>
<sst xmlns="http://schemas.openxmlformats.org/spreadsheetml/2006/main" count="138" uniqueCount="42">
  <si>
    <t>UC Name</t>
  </si>
  <si>
    <t>Documentation</t>
  </si>
  <si>
    <t>Frontend</t>
  </si>
  <si>
    <t>Backend</t>
  </si>
  <si>
    <t>Warmup Phase</t>
  </si>
  <si>
    <t>Coding</t>
  </si>
  <si>
    <t>Testing</t>
  </si>
  <si>
    <t>Total w/o warmup</t>
  </si>
  <si>
    <t>Total</t>
  </si>
  <si>
    <t>Estimate</t>
  </si>
  <si>
    <t>FP</t>
  </si>
  <si>
    <t>Explaniation</t>
  </si>
  <si>
    <t>Register</t>
  </si>
  <si>
    <t>Gets more time, because of changing Framework</t>
  </si>
  <si>
    <t>Manage Profile Settings</t>
  </si>
  <si>
    <t>Answer general Information</t>
  </si>
  <si>
    <t>Write Words of cheer</t>
  </si>
  <si>
    <t>Create Guest List</t>
  </si>
  <si>
    <t>Count</t>
  </si>
  <si>
    <t>Simple</t>
  </si>
  <si>
    <t>Average</t>
  </si>
  <si>
    <t>Complex</t>
  </si>
  <si>
    <t>FTR/RET</t>
  </si>
  <si>
    <t>DET</t>
  </si>
  <si>
    <t>Points</t>
  </si>
  <si>
    <t>Misc</t>
  </si>
  <si>
    <t>Function points</t>
  </si>
  <si>
    <t>Number of User Input (Ei)</t>
  </si>
  <si>
    <t>Number of User Outputs (EO)</t>
  </si>
  <si>
    <t>Number of User Inquiries (EQ)</t>
  </si>
  <si>
    <t>Number of Files (ILF)</t>
  </si>
  <si>
    <t>Time spent (w/o outliers)</t>
  </si>
  <si>
    <t>Function Points (w/o outliers)</t>
  </si>
  <si>
    <t>Velocity</t>
  </si>
  <si>
    <t>Number of External Interfaces (EIF)</t>
  </si>
  <si>
    <t>Reason</t>
  </si>
  <si>
    <t>There are 4 user inputs, all form one Database Recor</t>
  </si>
  <si>
    <t>Presenter, User Model</t>
  </si>
  <si>
    <t>The amount depends on the survey in the database. That makes presenting the survey more comlex</t>
  </si>
  <si>
    <t>Presenter, Bar Model, Question Model</t>
  </si>
  <si>
    <t>Create guest list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</si>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</sst>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2:M9" totalsRowShown="0">
  <autoFilter ref="B2:M9" xr:uid="{00000000-0009-0000-0100-000001000000}"/>
  <sortState ref="B3:L12">
    <sortCondition ref="L2:L12"/>
  </sortState>
  <tableColumns count="12">
    <tableColumn id="1" xr3:uid="{00000000-0010-0000-0000-000001000000}" name="UC Name"/>
    <tableColumn id="2" xr3:uid="{00000000-0010-0000-0000-000002000000}" name="Documentation"/>
    <tableColumn id="7" xr3:uid="{00000000-0010-0000-0000-000007000000}" name="Frontend" dataDxfId="11"/>
    <tableColumn id="8" xr3:uid="{00000000-0010-0000-0000-000008000000}" name="Backend" dataDxfId="10"/>
    <tableColumn id="9" xr3:uid="{00000000-0010-0000-0000-000009000000}" name="Warmup Phase" dataDxfId="9"/>
    <tableColumn id="3" xr3:uid="{00000000-0010-0000-0000-000003000000}" name="Coding"/>
    <tableColumn id="4" xr3:uid="{00000000-0010-0000-0000-000004000000}" name="Testing"/>
    <tableColumn id="10" xr3:uid="{00000000-0010-0000-0000-00000A000000}" name="Total w/o warmup" dataDxfId="8">
      <calculatedColumnFormula>SUM(Tabelle1[[#This Row],[Documentation]:[Warmup Phase]])+SUM(Tabelle1[[#This Row],[Testing]:[Testing]])</calculatedColumnFormula>
    </tableColumn>
    <tableColumn id="5" xr3:uid="{00000000-0010-0000-0000-000005000000}" name="Total" dataDxfId="7">
      <calculatedColumnFormula>SUM(Tabelle1[[#This Row],[Documentation]:[Testing]])</calculatedColumnFormula>
    </tableColumn>
    <tableColumn id="12" xr3:uid="{00000000-0010-0000-0000-00000C000000}" name="Estimate" dataDxfId="6">
      <calculatedColumnFormula>Tabelle1[[#This Row],[FP]]/Tabelle15[Velocity]/24</calculatedColumnFormula>
    </tableColumn>
    <tableColumn id="6" xr3:uid="{00000000-0010-0000-0000-000006000000}" name="FP"/>
    <tableColumn id="11" xr3:uid="{00000000-0010-0000-0000-00000B000000}" name="Explaniation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B12:K17" totalsRowShown="0">
  <autoFilter ref="B12:K17" xr:uid="{00000000-0009-0000-0100-000002000000}"/>
  <tableColumns count="10">
    <tableColumn id="1" xr3:uid="{00000000-0010-0000-0100-000001000000}" name="Register"/>
    <tableColumn id="2" xr3:uid="{00000000-0010-0000-0100-000002000000}" name="Count"/>
    <tableColumn id="3" xr3:uid="{00000000-0010-0000-0100-000003000000}" name="Simple"/>
    <tableColumn id="4" xr3:uid="{00000000-0010-0000-0100-000004000000}" name="Average" dataDxfId="5">
      <calculatedColumnFormula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"x", "")</calculatedColumnFormula>
    </tableColumn>
    <tableColumn id="5" xr3:uid="{00000000-0010-0000-0100-000005000000}" name="Complex" dataDxfId="4">
      <calculatedColumnFormula>IF(AND(Tabelle2[[#This Row],[Simple]]="",Tabelle2[[#This Row],[Average]]=""), "x", "")</calculatedColumnFormula>
    </tableColumn>
    <tableColumn id="6" xr3:uid="{00000000-0010-0000-0100-000006000000}" name="FTR/RET"/>
    <tableColumn id="7" xr3:uid="{00000000-0010-0000-0100-000007000000}" name="DET"/>
    <tableColumn id="12" xr3:uid="{00000000-0010-0000-0100-00000C000000}" name="Points"/>
    <tableColumn id="8" xr3:uid="{00000000-0010-0000-0100-000008000000}" name="Misc"/>
    <tableColumn id="11" xr3:uid="{00000000-0010-0000-0100-00000B000000}" name="Function point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B20:K25" totalsRowShown="0">
  <autoFilter ref="B20:K25" xr:uid="{00000000-0009-0000-0100-000003000000}"/>
  <tableColumns count="10">
    <tableColumn id="1" xr3:uid="{00000000-0010-0000-0200-000001000000}" name="Manage Profile Settings"/>
    <tableColumn id="2" xr3:uid="{00000000-0010-0000-0200-000002000000}" name="Count"/>
    <tableColumn id="3" xr3:uid="{00000000-0010-0000-0200-000003000000}" name="Simple"/>
    <tableColumn id="4" xr3:uid="{00000000-0010-0000-0200-000004000000}" name="Average"/>
    <tableColumn id="5" xr3:uid="{00000000-0010-0000-0200-000005000000}" name="Complex">
      <calculatedColumnFormula>IF(AND(Tabelle2[[#This Row],[Simple]]="",Tabelle2[[#This Row],[Average]]=""), "x", "")</calculatedColumnFormula>
    </tableColumn>
    <tableColumn id="6" xr3:uid="{00000000-0010-0000-0200-000006000000}" name="FTR/RET"/>
    <tableColumn id="7" xr3:uid="{00000000-0010-0000-0200-000007000000}" name="DET"/>
    <tableColumn id="11" xr3:uid="{00000000-0010-0000-0200-00000B000000}" name="Points"/>
    <tableColumn id="8" xr3:uid="{00000000-0010-0000-0200-000008000000}" name="Misc"/>
    <tableColumn id="9" xr3:uid="{00000000-0010-0000-0200-000009000000}" name="Function point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B28:K33" totalsRowShown="0">
  <autoFilter ref="B28:K33" xr:uid="{00000000-0009-0000-0100-000004000000}"/>
  <tableColumns count="10">
    <tableColumn id="1" xr3:uid="{00000000-0010-0000-0300-000001000000}" name="Answer general Information"/>
    <tableColumn id="2" xr3:uid="{00000000-0010-0000-0300-000002000000}" name="Count"/>
    <tableColumn id="3" xr3:uid="{00000000-0010-0000-0300-000003000000}" name="Simple"/>
    <tableColumn id="4" xr3:uid="{00000000-0010-0000-0300-000004000000}" name="Average"/>
    <tableColumn id="5" xr3:uid="{00000000-0010-0000-0300-000005000000}" name="Complex">
      <calculatedColumnFormula>IF(AND(Tabelle2[[#This Row],[Simple]]="",Tabelle2[[#This Row],[Average]]=""), "x", "")</calculatedColumnFormula>
    </tableColumn>
    <tableColumn id="6" xr3:uid="{00000000-0010-0000-0300-000006000000}" name="FTR/RET"/>
    <tableColumn id="7" xr3:uid="{00000000-0010-0000-0300-000007000000}" name="DET"/>
    <tableColumn id="11" xr3:uid="{00000000-0010-0000-0300-00000B000000}" name="Points"/>
    <tableColumn id="8" xr3:uid="{00000000-0010-0000-0300-000008000000}" name="Reason"/>
    <tableColumn id="9" xr3:uid="{00000000-0010-0000-0300-000009000000}" name="Function point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4000000}" name="Tabelle15" displayName="Tabelle15" ref="O16:Q17" totalsRowShown="0">
  <autoFilter ref="O16:Q17" xr:uid="{00000000-0009-0000-0100-00000F000000}"/>
  <tableColumns count="3">
    <tableColumn id="1" xr3:uid="{00000000-0010-0000-0400-000001000000}" name="Time spent (w/o outliers)" dataDxfId="3">
      <calculatedColumnFormula>SUM(I3:I6)*24</calculatedColumnFormula>
    </tableColumn>
    <tableColumn id="2" xr3:uid="{00000000-0010-0000-0400-000002000000}" name="Function Points (w/o outliers)">
      <calculatedColumnFormula>SUM(L3:L6)</calculatedColumnFormula>
    </tableColumn>
    <tableColumn id="3" xr3:uid="{00000000-0010-0000-0400-000003000000}" name="Velocity" dataDxfId="2">
      <calculatedColumnFormula>P17/O17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elle58" displayName="Tabelle58" ref="B36:K41" totalsRowShown="0">
  <autoFilter ref="B36:K41" xr:uid="{00000000-0009-0000-0100-000007000000}"/>
  <tableColumns count="10">
    <tableColumn id="1" xr3:uid="{00000000-0010-0000-0500-000001000000}" name="Write Words of cheer"/>
    <tableColumn id="2" xr3:uid="{00000000-0010-0000-0500-000002000000}" name="Count"/>
    <tableColumn id="3" xr3:uid="{00000000-0010-0000-0500-000003000000}" name="Simple"/>
    <tableColumn id="4" xr3:uid="{00000000-0010-0000-0500-000004000000}" name="Average"/>
    <tableColumn id="5" xr3:uid="{00000000-0010-0000-0500-000005000000}" name="Complex">
      <calculatedColumnFormula>IF(AND(Tabelle58[[#This Row],[Simple]]=0,Tabelle58[[#This Row],[Average]]=0), 1, 0)</calculatedColumnFormula>
    </tableColumn>
    <tableColumn id="6" xr3:uid="{00000000-0010-0000-0500-000006000000}" name="FTR/RET"/>
    <tableColumn id="7" xr3:uid="{00000000-0010-0000-0500-000007000000}" name="DET"/>
    <tableColumn id="11" xr3:uid="{00000000-0010-0000-0500-00000B000000}" name="Points"/>
    <tableColumn id="8" xr3:uid="{00000000-0010-0000-0500-000008000000}" name="Reason"/>
    <tableColumn id="9" xr3:uid="{00000000-0010-0000-0500-000009000000}" name="Function points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elle59" displayName="Tabelle59" ref="B44:K49" totalsRowShown="0">
  <autoFilter ref="B44:K49" xr:uid="{00000000-0009-0000-0100-000008000000}"/>
  <tableColumns count="10">
    <tableColumn id="1" xr3:uid="{00000000-0010-0000-0600-000001000000}" name="Create guest list"/>
    <tableColumn id="2" xr3:uid="{00000000-0010-0000-0600-000002000000}" name="Count"/>
    <tableColumn id="3" xr3:uid="{00000000-0010-0000-0600-000003000000}" name="Simple"/>
    <tableColumn id="4" xr3:uid="{00000000-0010-0000-0600-000004000000}" name="Average"/>
    <tableColumn id="5" xr3:uid="{00000000-0010-0000-0600-000005000000}" name="Complex">
      <calculatedColumnFormula>IF(AND(Tabelle59[[#This Row],[Simple]]=0,Tabelle59[[#This Row],[Average]]=0), 1, 0)</calculatedColumnFormula>
    </tableColumn>
    <tableColumn id="6" xr3:uid="{00000000-0010-0000-0600-000006000000}" name="FTR/RET"/>
    <tableColumn id="7" xr3:uid="{00000000-0010-0000-0600-000007000000}" name="DET"/>
    <tableColumn id="11" xr3:uid="{00000000-0010-0000-0600-00000B000000}" name="Points"/>
    <tableColumn id="8" xr3:uid="{00000000-0010-0000-0600-000008000000}" name="Reason"/>
    <tableColumn id="9" xr3:uid="{00000000-0010-0000-0600-000009000000}" name="Function points" dataDxfId="1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elle5910" displayName="Tabelle5910" ref="B52:K57" totalsRowShown="0">
  <autoFilter ref="B52:K57" xr:uid="{00000000-0009-0000-0100-000009000000}"/>
  <tableColumns count="10">
    <tableColumn id="1" xr3:uid="{00000000-0010-0000-0700-000001000000}" name="Spalte1"/>
    <tableColumn id="2" xr3:uid="{00000000-0010-0000-0700-000002000000}" name="Count"/>
    <tableColumn id="3" xr3:uid="{00000000-0010-0000-0700-000003000000}" name="Simple"/>
    <tableColumn id="4" xr3:uid="{00000000-0010-0000-0700-000004000000}" name="Average"/>
    <tableColumn id="5" xr3:uid="{00000000-0010-0000-0700-000005000000}" name="Complex">
      <calculatedColumnFormula>IF(AND(Tabelle5910[[#This Row],[Simple]]=0,Tabelle5910[[#This Row],[Average]]=0), 1, 0)</calculatedColumnFormula>
    </tableColumn>
    <tableColumn id="6" xr3:uid="{00000000-0010-0000-0700-000006000000}" name="FTR/RET"/>
    <tableColumn id="7" xr3:uid="{00000000-0010-0000-0700-000007000000}" name="DET"/>
    <tableColumn id="11" xr3:uid="{00000000-0010-0000-0700-00000B000000}" name="Points"/>
    <tableColumn id="8" xr3:uid="{00000000-0010-0000-0700-000008000000}" name="Reason"/>
    <tableColumn id="9" xr3:uid="{00000000-0010-0000-0700-000009000000}" name="Function point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elle596" displayName="Tabelle596" ref="B60:K65" totalsRowShown="0">
  <autoFilter ref="B60:K65" xr:uid="{00000000-0009-0000-0100-000005000000}"/>
  <tableColumns count="10">
    <tableColumn id="1" xr3:uid="{00000000-0010-0000-0800-000001000000}" name="Spalte1"/>
    <tableColumn id="2" xr3:uid="{00000000-0010-0000-0800-000002000000}" name="Count"/>
    <tableColumn id="3" xr3:uid="{00000000-0010-0000-0800-000003000000}" name="Simple">
      <calculatedColumnFormula>IF(OR(AND(Tabelle596[[#This Row],[FTR/RET]]&lt;=1, Tabelle596[[#This Row],[DET]] &lt;= 19), AND(Tabelle596[[#This Row],[FTR/RET]]&lt;= 3, Tabelle596[[#This Row],[DET]] &lt;= 5)), 1, 0)</calculatedColumnFormula>
    </tableColumn>
    <tableColumn id="4" xr3:uid="{00000000-0010-0000-0800-000004000000}" name="Average"/>
    <tableColumn id="5" xr3:uid="{00000000-0010-0000-0800-000005000000}" name="Complex">
      <calculatedColumnFormula>IF(AND(Tabelle596[[#This Row],[Simple]]=0,Tabelle596[[#This Row],[Average]]=0), 1, 0)</calculatedColumnFormula>
    </tableColumn>
    <tableColumn id="6" xr3:uid="{00000000-0010-0000-0800-000006000000}" name="FTR/RET"/>
    <tableColumn id="7" xr3:uid="{00000000-0010-0000-0800-000007000000}" name="DET"/>
    <tableColumn id="11" xr3:uid="{00000000-0010-0000-0800-00000B000000}" name="Points"/>
    <tableColumn id="8" xr3:uid="{00000000-0010-0000-0800-000008000000}" name="Reason"/>
    <tableColumn id="9" xr3:uid="{00000000-0010-0000-0800-000009000000}" name="Function point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B2:Q65"/>
  <sheetViews>
    <sheetView tabSelected="1" zoomScaleNormal="100" workbookViewId="0" xr3:uid="{AEA406A1-0E4B-5B11-9CD5-51D6E497D94C}">
      <selection activeCell="L17" sqref="L17"/>
    </sheetView>
  </sheetViews>
  <sheetFormatPr defaultColWidth="11.42578125" defaultRowHeight="15"/>
  <cols>
    <col min="1" max="1" width="3.140625" customWidth="1"/>
    <col min="2" max="2" width="28.85546875" customWidth="1"/>
    <col min="3" max="3" width="16.85546875" customWidth="1"/>
    <col min="10" max="10" width="16.85546875" hidden="1" customWidth="1"/>
    <col min="14" max="14" width="3.28515625" customWidth="1"/>
    <col min="15" max="15" width="28.28515625" customWidth="1"/>
  </cols>
  <sheetData>
    <row r="2" spans="2:1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7">
      <c r="B3" t="s">
        <v>12</v>
      </c>
      <c r="C3" s="1">
        <v>1.0416666666666666E-2</v>
      </c>
      <c r="D3" s="1">
        <v>0</v>
      </c>
      <c r="E3" s="1">
        <v>0</v>
      </c>
      <c r="F3" s="1">
        <v>8.3333333333333329E-2</v>
      </c>
      <c r="G3" s="1">
        <v>6.25E-2</v>
      </c>
      <c r="H3" s="1">
        <v>0</v>
      </c>
      <c r="I3" s="1">
        <f>SUM(Tabelle1[[#This Row],[Documentation]:[Backend]])+SUM(Tabelle1[[#This Row],[Coding]:[Testing]])</f>
        <v>7.2916666666666671E-2</v>
      </c>
      <c r="J3" s="2">
        <f>SUM(Tabelle1[[#This Row],[Documentation]:[Testing]])</f>
        <v>0.15625</v>
      </c>
      <c r="K3" s="2">
        <f>Tabelle1[[#This Row],[FP]]/Tabelle15[Velocity]/24</f>
        <v>5.5358083201685108E-2</v>
      </c>
      <c r="L3">
        <f>CreateGroupFP</f>
        <v>37.700000000000003</v>
      </c>
      <c r="M3" t="s">
        <v>13</v>
      </c>
    </row>
    <row r="4" spans="2:17">
      <c r="B4" t="s">
        <v>14</v>
      </c>
      <c r="C4" s="1">
        <v>1.0416666666666666E-2</v>
      </c>
      <c r="D4" s="1">
        <v>0</v>
      </c>
      <c r="E4" s="1">
        <v>0</v>
      </c>
      <c r="F4" s="1">
        <v>0</v>
      </c>
      <c r="G4" s="1">
        <v>4.1666666666666664E-2</v>
      </c>
      <c r="H4" s="1">
        <v>0</v>
      </c>
      <c r="I4" s="1">
        <f>SUM(Tabelle1[[#This Row],[Documentation]:[Backend]])+SUM(Tabelle1[[#This Row],[Coding]:[Testing]])</f>
        <v>5.2083333333333329E-2</v>
      </c>
      <c r="J4" s="2">
        <f>SUM(Tabelle1[[#This Row],[Documentation]:[Testing]])</f>
        <v>5.2083333333333329E-2</v>
      </c>
      <c r="K4" s="2">
        <v>8.3333333333333329E-2</v>
      </c>
      <c r="L4">
        <f>LoginFP</f>
        <v>29.900000000000002</v>
      </c>
      <c r="M4" t="s">
        <v>13</v>
      </c>
    </row>
    <row r="5" spans="2:17">
      <c r="B5" t="s">
        <v>15</v>
      </c>
      <c r="C5" s="1">
        <v>2.0833333333333332E-2</v>
      </c>
      <c r="D5" s="1">
        <v>0</v>
      </c>
      <c r="E5" s="1">
        <v>0</v>
      </c>
      <c r="F5" s="1">
        <v>0</v>
      </c>
      <c r="G5" s="1">
        <v>5.5555555555555552E-2</v>
      </c>
      <c r="H5" s="1">
        <v>0</v>
      </c>
      <c r="I5" s="1">
        <f>SUM(Tabelle1[[#This Row],[Documentation]:[Backend]])+SUM(Tabelle1[[#This Row],[Coding]:[Testing]])</f>
        <v>7.6388888888888881E-2</v>
      </c>
      <c r="J5" s="2">
        <f>SUM(Tabelle1[[#This Row],[Documentation]:[Testing]])</f>
        <v>7.6388888888888881E-2</v>
      </c>
      <c r="K5" s="2">
        <f>Tabelle1[[#This Row],[FP]]/Tabelle15[Velocity]/24</f>
        <v>6.2039231174302267E-2</v>
      </c>
      <c r="L5">
        <f>RegisterFp</f>
        <v>42.25</v>
      </c>
      <c r="M5" t="s">
        <v>13</v>
      </c>
    </row>
    <row r="6" spans="2:17">
      <c r="B6" t="s">
        <v>16</v>
      </c>
      <c r="C6" s="1"/>
      <c r="D6" s="1"/>
      <c r="E6" s="1"/>
      <c r="F6" s="1"/>
      <c r="G6" s="1"/>
      <c r="H6" s="1"/>
      <c r="I6" s="1">
        <f>SUM(Tabelle1[[#This Row],[Documentation]:[Backend]])+SUM(Tabelle1[[#This Row],[Coding]:[Testing]])</f>
        <v>0</v>
      </c>
      <c r="J6" s="2">
        <f>SUM(Tabelle1[[#This Row],[Documentation]:[Testing]])</f>
        <v>0</v>
      </c>
      <c r="K6" s="2">
        <v>4.7916666666666663E-2</v>
      </c>
      <c r="L6">
        <f>JoinGroupFP</f>
        <v>27.300000000000004</v>
      </c>
    </row>
    <row r="7" spans="2:17">
      <c r="B7" t="s">
        <v>17</v>
      </c>
      <c r="C7" s="1"/>
      <c r="D7" s="1"/>
      <c r="E7" s="1"/>
      <c r="F7" s="1"/>
      <c r="G7" s="1"/>
      <c r="H7" s="1"/>
      <c r="I7" s="1">
        <f>SUM(Tabelle1[[#This Row],[Documentation]:[Backend]])+SUM(Tabelle1[[#This Row],[Coding]:[Testing]])</f>
        <v>0</v>
      </c>
      <c r="J7" s="2">
        <f>SUM(Tabelle1[[#This Row],[Documentation]:[Testing]])</f>
        <v>0</v>
      </c>
      <c r="K7" s="2">
        <v>5.6944444444444443E-2</v>
      </c>
      <c r="L7">
        <f>SelectUploadImagesFP</f>
        <v>32.200000000000003</v>
      </c>
    </row>
    <row r="8" spans="2:17">
      <c r="C8" s="1"/>
      <c r="D8" s="1"/>
      <c r="E8" s="1"/>
      <c r="F8" s="1"/>
      <c r="G8" s="1"/>
      <c r="H8" s="1"/>
      <c r="I8" s="1">
        <f>SUM(Tabelle1[[#This Row],[Documentation]:[Backend]])+SUM(Tabelle1[[#This Row],[Coding]:[Testing]])</f>
        <v>0</v>
      </c>
      <c r="J8" s="2">
        <f>SUM(Tabelle1[[#This Row],[Documentation]:[Testing]])</f>
        <v>0</v>
      </c>
      <c r="K8" s="2">
        <f>Tabelle1[[#This Row],[FP]]/Tabelle15[Velocity]/24</f>
        <v>0</v>
      </c>
      <c r="L8">
        <f>DownloadFP</f>
        <v>0</v>
      </c>
    </row>
    <row r="9" spans="2:17">
      <c r="C9" s="1"/>
      <c r="D9" s="1"/>
      <c r="E9" s="1"/>
      <c r="F9" s="1"/>
      <c r="G9" s="1"/>
      <c r="H9" s="1"/>
      <c r="I9" s="1">
        <f>SUM(Tabelle1[[#This Row],[Documentation]:[Backend]])+SUM(Tabelle1[[#This Row],[Coding]:[Testing]])</f>
        <v>0</v>
      </c>
      <c r="J9" s="2">
        <f>SUM(Tabelle1[[#This Row],[Documentation]:[Testing]])</f>
        <v>0</v>
      </c>
      <c r="K9" s="2">
        <f>Tabelle1[[#This Row],[FP]]/Tabelle15[Velocity]/24</f>
        <v>0</v>
      </c>
      <c r="L9">
        <f>SelectDownloadFP</f>
        <v>0</v>
      </c>
    </row>
    <row r="10" spans="2:17">
      <c r="C10" s="1"/>
      <c r="D10" s="1"/>
      <c r="E10" s="1"/>
      <c r="F10" s="1"/>
      <c r="G10" s="1"/>
      <c r="H10" s="1"/>
      <c r="I10" s="1"/>
      <c r="J10" s="2"/>
      <c r="K10" s="4"/>
    </row>
    <row r="12" spans="2:17">
      <c r="B12" t="s">
        <v>12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23</v>
      </c>
      <c r="I12" t="s">
        <v>24</v>
      </c>
      <c r="J12" t="s">
        <v>25</v>
      </c>
      <c r="K12" t="s">
        <v>26</v>
      </c>
    </row>
    <row r="13" spans="2:17">
      <c r="B13" t="s">
        <v>27</v>
      </c>
      <c r="C13">
        <v>5</v>
      </c>
      <c r="D13">
        <f>IF(OR(AND(Tabelle2[[#This Row],[FTR/RET]]&lt;=1, Tabelle2[[#This Row],[DET]] &lt;= 15), AND(Tabelle2[[#This Row],[FTR/RET]]&lt;= 3, Tabelle2[[#This Row],[DET]] &lt;= 4)), 1, 0)</f>
        <v>1</v>
      </c>
      <c r="E13">
        <f>IF(OR(AND(Tabelle2[[#This Row],[FTR/RET]]&lt;=1, Tabelle2[[#This Row],[DET]] &gt; 15), AND(Tabelle2[[#This Row],[FTR/RET]]&lt;=5, Tabelle2[[#This Row],[FTR/RET]]&gt;=2, Tabelle2[[#This Row],[DET]] &gt;= 5, Tabelle2[[#This Row],[DET]] &lt;= 15), AND(Tabelle2[[#This Row],[FTR/RET]] &gt;= 5, Tabelle2[[#This Row],[DET]] &lt;= 4 )), 1, 0)</f>
        <v>0</v>
      </c>
      <c r="F13">
        <f>IF(AND(Tabelle2[[#This Row],[Simple]]=0,Tabelle2[[#This Row],[Average]]=0), 1, 0)</f>
        <v>0</v>
      </c>
      <c r="G13">
        <v>0</v>
      </c>
      <c r="H13">
        <v>5</v>
      </c>
      <c r="I13">
        <f>Tabelle2[[#This Row],[Count]]*(3*Tabelle2[[#This Row],[Simple]]+4*Tabelle2[[#This Row],[Average]]+6*Tabelle2[[#This Row],[Complex]])</f>
        <v>15</v>
      </c>
      <c r="K13">
        <f>SUM(Tabelle2[Points])*0.65</f>
        <v>37.700000000000003</v>
      </c>
    </row>
    <row r="14" spans="2:17">
      <c r="B14" t="s">
        <v>28</v>
      </c>
      <c r="C14">
        <v>2</v>
      </c>
      <c r="D14">
        <f>IF(OR(AND(Tabelle2[[#This Row],[FTR/RET]]&lt;=1, Tabelle2[[#This Row],[DET]] &lt;= 19), AND(Tabelle2[[#This Row],[FTR/RET]]&lt;= 3, Tabelle2[[#This Row],[DET]] &lt;= 5)), 1, 0)</f>
        <v>1</v>
      </c>
      <c r="E14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14">
        <f>IF(AND(Tabelle2[[#This Row],[Simple]]=0,Tabelle2[[#This Row],[Average]]=0), 1, 0)</f>
        <v>0</v>
      </c>
      <c r="G14">
        <v>0</v>
      </c>
      <c r="H14">
        <v>1</v>
      </c>
      <c r="I14">
        <f>Tabelle2[[#This Row],[Count]]*(Tabelle2[[#This Row],[Simple]]*4+Tabelle2[[#This Row],[Average]]*5+Tabelle2[[#This Row],[Complex]]*7)</f>
        <v>8</v>
      </c>
    </row>
    <row r="15" spans="2:17">
      <c r="B15" t="s">
        <v>29</v>
      </c>
      <c r="C15">
        <v>7</v>
      </c>
      <c r="D15">
        <f>IF(OR(AND(Tabelle2[[#This Row],[FTR/RET]]&lt;=1, Tabelle2[[#This Row],[DET]] &lt;= 19), AND(Tabelle2[[#This Row],[FTR/RET]]&lt;= 3, Tabelle2[[#This Row],[DET]] &lt;= 5)), 1, 0)</f>
        <v>1</v>
      </c>
      <c r="E15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15">
        <f>IF(AND(Tabelle2[[#This Row],[Simple]]=0,Tabelle2[[#This Row],[Average]]=0), 1, 0)</f>
        <v>0</v>
      </c>
      <c r="G15">
        <v>0</v>
      </c>
      <c r="H15">
        <v>4</v>
      </c>
      <c r="I15">
        <f>Tabelle2[[#This Row],[Count]]*(3*Tabelle2[[#This Row],[Simple]]+4*Tabelle2[[#This Row],[Average]]+6*Tabelle2[[#This Row],[Complex]])</f>
        <v>21</v>
      </c>
    </row>
    <row r="16" spans="2:17">
      <c r="B16" t="s">
        <v>30</v>
      </c>
      <c r="C16">
        <v>2</v>
      </c>
      <c r="D16">
        <f>IF(OR(AND(Tabelle2[[#This Row],[FTR/RET]]&lt;2, Tabelle2[[#This Row],[DET]] &lt;= 50), AND(Tabelle2[[#This Row],[FTR/RET]]&lt;=5, Tabelle2[[#This Row],[DET]] &lt; 20)), 1, 0)</f>
        <v>1</v>
      </c>
      <c r="E16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16">
        <f>IF(AND(Tabelle2[[#This Row],[Simple]]=0,Tabelle2[[#This Row],[Average]]=0), 1, 0)</f>
        <v>0</v>
      </c>
      <c r="G16">
        <v>1</v>
      </c>
      <c r="H16">
        <v>1</v>
      </c>
      <c r="I16">
        <f>Tabelle2[[#This Row],[Count]]*(7*Tabelle2[[#This Row],[Simple]]+10*Tabelle2[[#This Row],[Average]]+15*Tabelle2[[#This Row],[Complex]])</f>
        <v>14</v>
      </c>
      <c r="O16" t="s">
        <v>31</v>
      </c>
      <c r="P16" t="s">
        <v>32</v>
      </c>
      <c r="Q16" t="s">
        <v>33</v>
      </c>
    </row>
    <row r="17" spans="2:17">
      <c r="B17" t="s">
        <v>34</v>
      </c>
      <c r="C17">
        <v>0</v>
      </c>
      <c r="D17">
        <f>IF(OR(AND(Tabelle2[[#This Row],[FTR/RET]]&lt;2, Tabelle2[[#This Row],[DET]] &lt;= 50), AND(Tabelle2[[#This Row],[FTR/RET]]&lt;=5, Tabelle2[[#This Row],[DET]] &lt; 20)), 1, 0)</f>
        <v>1</v>
      </c>
      <c r="E17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17">
        <f>IF(AND(Tabelle2[[#This Row],[Simple]]=0,Tabelle2[[#This Row],[Average]]=0), 1, 0)</f>
        <v>0</v>
      </c>
      <c r="G17">
        <v>0</v>
      </c>
      <c r="H17">
        <v>0</v>
      </c>
      <c r="I17">
        <f>Tabelle2[[#This Row],[Count]]*(5*Tabelle2[[#This Row],[Simple]]+7*Tabelle2[[#This Row],[Average]]+10*Tabelle2[[#This Row],[Complex]])</f>
        <v>0</v>
      </c>
      <c r="O17" s="4">
        <f>SUM(I3:I6)*24</f>
        <v>4.8333333333333339</v>
      </c>
      <c r="P17">
        <f>SUM(L3:L6)</f>
        <v>137.15</v>
      </c>
      <c r="Q17" s="3">
        <f>P17/O17</f>
        <v>28.375862068965514</v>
      </c>
    </row>
    <row r="20" spans="2:17">
      <c r="B20" t="s">
        <v>14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  <c r="H20" t="s">
        <v>23</v>
      </c>
      <c r="I20" t="s">
        <v>24</v>
      </c>
      <c r="J20" t="s">
        <v>25</v>
      </c>
      <c r="K20" t="s">
        <v>26</v>
      </c>
    </row>
    <row r="21" spans="2:17">
      <c r="B21" t="s">
        <v>27</v>
      </c>
      <c r="C21">
        <v>4</v>
      </c>
      <c r="D21">
        <f>IF(OR(AND(Tabelle3[[#This Row],[FTR/RET]]&lt;=1,Tabelle3[[#This Row],[DET]] &lt;= 15), AND(Tabelle3[[#This Row],[FTR/RET]]&lt;= 3,Tabelle3[[#This Row],[DET]] &lt;= 4)), 1, 0)</f>
        <v>1</v>
      </c>
      <c r="E21">
        <f>IF(OR(AND(Tabelle3[[#This Row],[FTR/RET]]&lt;=1, Tabelle3[[#This Row],[DET]] &gt; 15), AND(Tabelle3[[#This Row],[FTR/RET]]&lt;=5, Tabelle3[[#This Row],[FTR/RET]]&gt;=2, Tabelle3[[#This Row],[DET]] &gt;= 5, Tabelle3[[#This Row],[DET]] &lt;= 15), AND(Tabelle3[[#This Row],[FTR/RET]] &gt;= 5, Tabelle3[[#This Row],[DET]] &lt;= 4 )), 1, 0)</f>
        <v>0</v>
      </c>
      <c r="F21">
        <f>IF(AND(Tabelle3[[#This Row],[Simple]]=0,Tabelle3[[#This Row],[Average]]=0), 1, 0)</f>
        <v>0</v>
      </c>
      <c r="G21">
        <v>2</v>
      </c>
      <c r="H21">
        <v>4</v>
      </c>
      <c r="I21">
        <f>Tabelle3[[#This Row],[Count]]*(3*Tabelle3[[#This Row],[Simple]]+4*Tabelle3[[#This Row],[Average]]+6*Tabelle3[[#This Row],[Complex]])</f>
        <v>12</v>
      </c>
      <c r="K21">
        <f>SUM(Tabelle3[Points])*0.65</f>
        <v>29.900000000000002</v>
      </c>
    </row>
    <row r="22" spans="2:17">
      <c r="B22" t="s">
        <v>28</v>
      </c>
      <c r="C22">
        <v>2</v>
      </c>
      <c r="D22">
        <f>IF(OR(AND(Tabelle3[[#This Row],[FTR/RET]]&lt;=1, Tabelle3[[#This Row],[DET]] &lt;= 19), AND(Tabelle3[[#This Row],[FTR/RET]]&lt;= 3, Tabelle3[[#This Row],[DET]] &lt;= 5)), 1, 0)</f>
        <v>1</v>
      </c>
      <c r="E22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22">
        <f>IF(AND(Tabelle3[[#This Row],[Simple]]=0,Tabelle3[[#This Row],[Average]]=0), 1, 0)</f>
        <v>0</v>
      </c>
      <c r="G22">
        <v>0</v>
      </c>
      <c r="H22">
        <v>1</v>
      </c>
      <c r="I22">
        <f>Tabelle3[[#This Row],[Count]]*(Tabelle3[[#This Row],[Simple]]*4+Tabelle3[[#This Row],[Average]]*5+Tabelle3[[#This Row],[Complex]]*7)</f>
        <v>8</v>
      </c>
    </row>
    <row r="23" spans="2:17">
      <c r="B23" t="s">
        <v>29</v>
      </c>
      <c r="C23">
        <v>4</v>
      </c>
      <c r="D23">
        <f>IF(OR(AND(Tabelle3[[#This Row],[FTR/RET]]&lt;=1, Tabelle3[[#This Row],[DET]] &lt;= 19), AND(Tabelle3[[#This Row],[FTR/RET]]&lt;= 3, Tabelle3[[#This Row],[DET]] &lt;= 5)), 1, 0)</f>
        <v>1</v>
      </c>
      <c r="E23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23">
        <f>IF(AND(Tabelle3[[#This Row],[Simple]]=0,Tabelle3[[#This Row],[Average]]=0), 1, 0)</f>
        <v>0</v>
      </c>
      <c r="G23">
        <v>0</v>
      </c>
      <c r="H23">
        <v>4</v>
      </c>
      <c r="I23">
        <f>Tabelle3[[#This Row],[Count]]*(3*Tabelle3[[#This Row],[Simple]]+4*Tabelle3[[#This Row],[Average]]+6*Tabelle3[[#This Row],[Complex]])</f>
        <v>12</v>
      </c>
    </row>
    <row r="24" spans="2:17">
      <c r="B24" t="s">
        <v>30</v>
      </c>
      <c r="C24">
        <v>2</v>
      </c>
      <c r="D24">
        <f>IF(OR(AND(Tabelle3[[#This Row],[FTR/RET]]&lt;2, Tabelle3[[#This Row],[DET]] &lt;= 50), AND(Tabelle3[[#This Row],[FTR/RET]]&lt;=5, Tabelle3[[#This Row],[DET]] &lt; 20)), 1, 0)</f>
        <v>1</v>
      </c>
      <c r="E24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24">
        <f>IF(AND(Tabelle3[[#This Row],[Simple]]=0,Tabelle3[[#This Row],[Average]]=0), 1, 0)</f>
        <v>0</v>
      </c>
      <c r="G24">
        <v>1</v>
      </c>
      <c r="H24">
        <v>1</v>
      </c>
      <c r="I24">
        <f>Tabelle3[[#This Row],[Count]]*(7*Tabelle3[[#This Row],[Simple]]+10*Tabelle3[[#This Row],[Average]]+15*Tabelle3[[#This Row],[Complex]])</f>
        <v>14</v>
      </c>
    </row>
    <row r="25" spans="2:17">
      <c r="B25" t="s">
        <v>34</v>
      </c>
      <c r="C25">
        <v>0</v>
      </c>
      <c r="D25">
        <f>IF(OR(AND(Tabelle3[[#This Row],[FTR/RET]]&lt;2, Tabelle3[[#This Row],[DET]] &lt;= 50), AND(Tabelle3[[#This Row],[FTR/RET]]&lt;=5, Tabelle3[[#This Row],[DET]] &lt; 20)), 1, 0)</f>
        <v>1</v>
      </c>
      <c r="E25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25">
        <f>IF(AND(Tabelle3[[#This Row],[Simple]]=0,Tabelle3[[#This Row],[Average]]=0), 1, 0)</f>
        <v>0</v>
      </c>
      <c r="G25">
        <v>0</v>
      </c>
      <c r="H25">
        <v>0</v>
      </c>
      <c r="I25">
        <f>Tabelle3[[#This Row],[Count]]*(5*Tabelle3[[#This Row],[Simple]]+7*Tabelle3[[#This Row],[Average]]+10*Tabelle3[[#This Row],[Complex]])</f>
        <v>0</v>
      </c>
    </row>
    <row r="28" spans="2:17">
      <c r="B28" t="s">
        <v>15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  <c r="H28" t="s">
        <v>23</v>
      </c>
      <c r="I28" t="s">
        <v>24</v>
      </c>
      <c r="J28" t="s">
        <v>35</v>
      </c>
      <c r="K28" t="s">
        <v>26</v>
      </c>
    </row>
    <row r="29" spans="2:17">
      <c r="B29" t="s">
        <v>27</v>
      </c>
      <c r="C29">
        <v>6</v>
      </c>
      <c r="D29">
        <f>IF(OR(AND(Tabelle4[[#This Row],[FTR/RET]]&lt;=1, Tabelle4[[#This Row],[DET]] &lt;= 15), AND(Tabelle4[[#This Row],[FTR/RET]]&lt;= 3, Tabelle4[[#This Row],[DET]] &lt;= 4)), 1, 0)</f>
        <v>1</v>
      </c>
      <c r="E29">
        <f>IF(OR(AND(Tabelle4[[#This Row],[FTR/RET]]&lt;=1, Tabelle4[[#This Row],[DET]] &gt; 15), AND(Tabelle4[[#This Row],[FTR/RET]]&lt;=5, Tabelle4[[#This Row],[FTR/RET]]&gt;=2, Tabelle4[[#This Row],[DET]] &gt;= 5, Tabelle4[[#This Row],[DET]] &lt;= 15), AND(Tabelle4[[#This Row],[FTR/RET]] &gt;= 5, Tabelle4[[#This Row],[DET]] &lt;= 4 )), 1, 0)</f>
        <v>0</v>
      </c>
      <c r="F29">
        <f>IF(AND(Tabelle4[[#This Row],[Simple]]=0,Tabelle4[[#This Row],[Average]]=0), 1, 0)</f>
        <v>0</v>
      </c>
      <c r="G29">
        <v>3</v>
      </c>
      <c r="H29">
        <v>4</v>
      </c>
      <c r="I29">
        <f>Tabelle4[[#This Row],[Count]]*(3*Tabelle4[[#This Row],[Simple]]+4*Tabelle4[[#This Row],[Average]]+6*Tabelle4[[#This Row],[Complex]])</f>
        <v>18</v>
      </c>
      <c r="J29" t="s">
        <v>36</v>
      </c>
      <c r="K29">
        <f>SUM(Tabelle4[Points])*0.65</f>
        <v>42.25</v>
      </c>
    </row>
    <row r="30" spans="2:17">
      <c r="B30" t="s">
        <v>28</v>
      </c>
      <c r="C30">
        <v>3</v>
      </c>
      <c r="D30">
        <f>IF(OR(AND(Tabelle4[[#This Row],[FTR/RET]]&lt;=1, Tabelle4[[#This Row],[DET]] &lt;= 19), AND(Tabelle4[[#This Row],[FTR/RET]]&lt;= 3, Tabelle4[[#This Row],[DET]] &lt;= 5)), 1, 0)</f>
        <v>1</v>
      </c>
      <c r="E30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30">
        <f>IF(AND(Tabelle4[[#This Row],[Simple]]=0,Tabelle4[[#This Row],[Average]]=0), 1, 0)</f>
        <v>0</v>
      </c>
      <c r="G30">
        <v>0</v>
      </c>
      <c r="H30">
        <v>2</v>
      </c>
      <c r="I30">
        <f>Tabelle4[[#This Row],[Count]]*(Tabelle4[[#This Row],[Simple]]*4+Tabelle4[[#This Row],[Average]]*5+Tabelle4[[#This Row],[Complex]]*7)</f>
        <v>12</v>
      </c>
    </row>
    <row r="31" spans="2:17">
      <c r="B31" t="s">
        <v>29</v>
      </c>
      <c r="C31">
        <v>7</v>
      </c>
      <c r="D31">
        <f>IF(OR(AND(Tabelle4[[#This Row],[FTR/RET]]&lt;=1, Tabelle4[[#This Row],[DET]] &lt;= 19), AND(Tabelle4[[#This Row],[FTR/RET]]&lt;= 3, Tabelle4[[#This Row],[DET]] &lt;= 5)), 1, 0)</f>
        <v>1</v>
      </c>
      <c r="E31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31">
        <f>IF(AND(Tabelle4[[#This Row],[Simple]]=0,Tabelle4[[#This Row],[Average]]=0), 1, 0)</f>
        <v>0</v>
      </c>
      <c r="G31">
        <v>0</v>
      </c>
      <c r="H31">
        <v>4</v>
      </c>
      <c r="I31">
        <f>Tabelle4[[#This Row],[Count]]*(3*Tabelle4[[#This Row],[Simple]]+4*Tabelle4[[#This Row],[Average]]+6*Tabelle4[[#This Row],[Complex]])</f>
        <v>21</v>
      </c>
    </row>
    <row r="32" spans="2:17">
      <c r="B32" t="s">
        <v>30</v>
      </c>
      <c r="C32">
        <v>2</v>
      </c>
      <c r="D32">
        <f>IF(OR(AND(Tabelle4[[#This Row],[FTR/RET]]&lt;2, Tabelle4[[#This Row],[DET]] &lt;= 50), AND(Tabelle4[[#This Row],[FTR/RET]]&lt;=5, Tabelle4[[#This Row],[DET]] &lt; 20)), 1, 0)</f>
        <v>1</v>
      </c>
      <c r="E32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32">
        <f>IF(AND(Tabelle4[[#This Row],[Simple]]=0,Tabelle4[[#This Row],[Average]]=0), 1, 0)</f>
        <v>0</v>
      </c>
      <c r="G32">
        <v>1</v>
      </c>
      <c r="H32">
        <v>1</v>
      </c>
      <c r="I32">
        <f>Tabelle4[[#This Row],[Count]]*(7*Tabelle4[[#This Row],[Simple]]+10*Tabelle4[[#This Row],[Average]]+15*Tabelle4[[#This Row],[Complex]])</f>
        <v>14</v>
      </c>
      <c r="J32" t="s">
        <v>37</v>
      </c>
    </row>
    <row r="33" spans="2:11">
      <c r="B33" t="s">
        <v>34</v>
      </c>
      <c r="C33">
        <v>0</v>
      </c>
      <c r="D33">
        <f>IF(OR(AND(Tabelle4[[#This Row],[FTR/RET]]&lt;2, Tabelle4[[#This Row],[DET]] &lt;= 50), AND(Tabelle4[[#This Row],[FTR/RET]]&lt;=5, Tabelle4[[#This Row],[DET]] &lt; 20)), 1, 0)</f>
        <v>1</v>
      </c>
      <c r="E33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33">
        <f>IF(AND(Tabelle4[[#This Row],[Simple]]=0,Tabelle4[[#This Row],[Average]]=0), 1, 0)</f>
        <v>0</v>
      </c>
      <c r="G33">
        <v>0</v>
      </c>
      <c r="H33">
        <v>0</v>
      </c>
      <c r="I33">
        <f>Tabelle4[[#This Row],[Count]]*(5*Tabelle4[[#This Row],[Simple]]+7*Tabelle4[[#This Row],[Average]]+10*Tabelle4[[#This Row],[Complex]])</f>
        <v>0</v>
      </c>
    </row>
    <row r="36" spans="2:11">
      <c r="B36" t="s">
        <v>16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23</v>
      </c>
      <c r="I36" t="s">
        <v>24</v>
      </c>
      <c r="J36" t="s">
        <v>35</v>
      </c>
      <c r="K36" t="s">
        <v>26</v>
      </c>
    </row>
    <row r="37" spans="2:11">
      <c r="B37" t="s">
        <v>27</v>
      </c>
      <c r="C37">
        <v>1</v>
      </c>
      <c r="D37">
        <f>IF(OR(AND(Tabelle58[[#This Row],[FTR/RET]]&lt;=1, Tabelle58[[#This Row],[DET]] &lt;= 15), AND(Tabelle58[[#This Row],[FTR/RET]]&lt;= 3, Tabelle58[[#This Row],[DET]] &lt;= 4)), 1, 0)</f>
        <v>1</v>
      </c>
      <c r="E37">
        <f>IF(OR(AND(Tabelle58[[#This Row],[FTR/RET]]&lt;=1, Tabelle58[[#This Row],[DET]] &gt; 15), AND(Tabelle58[[#This Row],[FTR/RET]]&lt;=5, Tabelle58[[#This Row],[FTR/RET]]&gt;=2, Tabelle58[[#This Row],[DET]] &gt;= 5, Tabelle58[[#This Row],[DET]] &lt;= 15), AND(Tabelle58[[#This Row],[FTR/RET]] &gt;= 5, Tabelle58[[#This Row],[DET]] &lt;= 4 )), 1, 0)</f>
        <v>0</v>
      </c>
      <c r="F37">
        <f>IF(AND(Tabelle58[[#This Row],[Simple]]=0,Tabelle58[[#This Row],[Average]]=0), 1, 0)</f>
        <v>0</v>
      </c>
      <c r="G37">
        <v>0</v>
      </c>
      <c r="H37">
        <v>0</v>
      </c>
      <c r="I37">
        <f>Tabelle58[[#This Row],[Count]]*(3*Tabelle58[[#This Row],[Simple]]+4*Tabelle58[[#This Row],[Average]]+6*Tabelle58[[#This Row],[Complex]])</f>
        <v>3</v>
      </c>
      <c r="J37" t="s">
        <v>38</v>
      </c>
      <c r="K37">
        <f>SUM(Tabelle58[Points])*(0.65+(5)/100)</f>
        <v>27.300000000000004</v>
      </c>
    </row>
    <row r="38" spans="2:11">
      <c r="B38" t="s">
        <v>28</v>
      </c>
      <c r="C38">
        <v>1</v>
      </c>
      <c r="D38">
        <f>IF(OR(AND(Tabelle58[[#This Row],[FTR/RET]]&lt;=1, Tabelle58[[#This Row],[DET]] &lt;= 19), AND(Tabelle58[[#This Row],[FTR/RET]]&lt;= 3, Tabelle58[[#This Row],[DET]] &lt;= 5)), 1, 0)</f>
        <v>1</v>
      </c>
      <c r="E38">
        <f>IF(OR(AND(Tabelle58[[#This Row],[FTR/RET]]&lt;=1, Tabelle58[[#This Row],[DET]] &gt; 20), AND(Tabelle58[[#This Row],[FTR/RET]]&lt;=5, Tabelle58[[#This Row],[FTR/RET]]&gt;=2, Tabelle58[[#This Row],[DET]] &gt;= 6, Tabelle58[[#This Row],[DET]] &lt;= 19), AND(Tabelle58[[#This Row],[FTR/RET]] &gt;= 5, Tabelle58[[#This Row],[DET]] &lt;= 5 )), 1, 0)</f>
        <v>0</v>
      </c>
      <c r="F38">
        <f>IF(AND(Tabelle58[[#This Row],[Simple]]=0,Tabelle58[[#This Row],[Average]]=0), 1, 0)</f>
        <v>0</v>
      </c>
      <c r="G38">
        <v>1</v>
      </c>
      <c r="H38">
        <v>0</v>
      </c>
      <c r="I38">
        <f>Tabelle58[[#This Row],[Count]]*(Tabelle58[[#This Row],[Simple]]*4+Tabelle58[[#This Row],[Average]]*5+Tabelle58[[#This Row],[Complex]]*7)</f>
        <v>4</v>
      </c>
    </row>
    <row r="39" spans="2:11">
      <c r="B39" t="s">
        <v>29</v>
      </c>
      <c r="C39">
        <v>6</v>
      </c>
      <c r="D39">
        <f>IF(OR(AND(Tabelle58[[#This Row],[FTR/RET]]&lt;=1, Tabelle58[[#This Row],[DET]] &lt;= 19), AND(Tabelle58[[#This Row],[FTR/RET]]&lt;= 3, Tabelle58[[#This Row],[DET]] &lt;= 5)), 1, 0)</f>
        <v>1</v>
      </c>
      <c r="E39">
        <f>IF(OR(AND(Tabelle58[[#This Row],[FTR/RET]]&lt;=1, Tabelle58[[#This Row],[DET]] &gt; 20), AND(Tabelle58[[#This Row],[FTR/RET]]&lt;=5, Tabelle58[[#This Row],[FTR/RET]]&gt;=2, Tabelle58[[#This Row],[DET]] &gt;= 6, Tabelle58[[#This Row],[DET]] &lt;= 19), AND(Tabelle58[[#This Row],[FTR/RET]] &gt;= 5, Tabelle58[[#This Row],[DET]] &lt;= 5 )), 1, 0)</f>
        <v>0</v>
      </c>
      <c r="F39">
        <f>IF(AND(Tabelle58[[#This Row],[Simple]]=0,Tabelle58[[#This Row],[Average]]=0), 1, 0)</f>
        <v>0</v>
      </c>
      <c r="G39">
        <v>0</v>
      </c>
      <c r="H39">
        <v>2</v>
      </c>
      <c r="I39">
        <f>Tabelle58[[#This Row],[Count]]*(3*Tabelle58[[#This Row],[Simple]]+4*Tabelle58[[#This Row],[Average]]+6*Tabelle58[[#This Row],[Complex]])</f>
        <v>18</v>
      </c>
    </row>
    <row r="40" spans="2:11">
      <c r="B40" t="s">
        <v>30</v>
      </c>
      <c r="C40">
        <v>2</v>
      </c>
      <c r="D40">
        <f>IF(OR(AND(Tabelle58[[#This Row],[FTR/RET]]&lt;2, Tabelle58[[#This Row],[DET]] &lt;= 50), AND(Tabelle58[[#This Row],[FTR/RET]]&lt;=5, Tabelle58[[#This Row],[DET]] &lt; 20)), 1, 0)</f>
        <v>1</v>
      </c>
      <c r="E40">
        <f>IF(OR(AND(Tabelle58[[#This Row],[FTR/RET]]=1, Tabelle58[[#This Row],[DET]] &gt; 50), AND(Tabelle58[[#This Row],[FTR/RET]]&lt;=5, Tabelle58[[#This Row],[FTR/RET]]&gt;=2, Tabelle58[[#This Row],[DET]] &gt;= 20, Tabelle58[[#This Row],[DET]] &lt;= 50), AND(Tabelle58[[#This Row],[FTR/RET]] &gt;= 5, Tabelle58[[#This Row],[DET]] &lt; 20)), 1, 0)</f>
        <v>0</v>
      </c>
      <c r="F40">
        <f>IF(AND(Tabelle58[[#This Row],[Simple]]=0,Tabelle58[[#This Row],[Average]]=0), 1, 0)</f>
        <v>0</v>
      </c>
      <c r="G40">
        <v>0</v>
      </c>
      <c r="H40">
        <v>0</v>
      </c>
      <c r="I40">
        <f>Tabelle58[[#This Row],[Count]]*(7*Tabelle58[[#This Row],[Simple]]+10*Tabelle58[[#This Row],[Average]]+15*Tabelle58[[#This Row],[Complex]])</f>
        <v>14</v>
      </c>
      <c r="J40" t="s">
        <v>39</v>
      </c>
    </row>
    <row r="41" spans="2:11">
      <c r="B41" t="s">
        <v>34</v>
      </c>
      <c r="C41">
        <v>0</v>
      </c>
      <c r="D41">
        <f>IF(OR(AND(Tabelle58[[#This Row],[FTR/RET]]&lt;2, Tabelle58[[#This Row],[DET]] &lt;= 50), AND(Tabelle58[[#This Row],[FTR/RET]]&lt;=5, Tabelle58[[#This Row],[DET]] &lt; 20)), 1, 0)</f>
        <v>1</v>
      </c>
      <c r="E41">
        <f>IF(OR(AND(Tabelle58[[#This Row],[FTR/RET]]=1, Tabelle58[[#This Row],[DET]] &gt; 50), AND(Tabelle58[[#This Row],[FTR/RET]]&lt;=5, Tabelle58[[#This Row],[FTR/RET]]&gt;=2, Tabelle58[[#This Row],[DET]] &gt;= 20, Tabelle58[[#This Row],[DET]] &lt;= 50), AND(Tabelle58[[#This Row],[FTR/RET]] &gt;= 5, Tabelle58[[#This Row],[DET]] &lt; 20)), 1, 0)</f>
        <v>0</v>
      </c>
      <c r="F41">
        <f>IF(AND(Tabelle58[[#This Row],[Simple]]=0,Tabelle58[[#This Row],[Average]]=0), 1, 0)</f>
        <v>0</v>
      </c>
      <c r="G41">
        <v>0</v>
      </c>
      <c r="H41">
        <v>0</v>
      </c>
      <c r="I41">
        <f>Tabelle58[[#This Row],[Count]]*(5*Tabelle58[[#This Row],[Simple]]+7*Tabelle58[[#This Row],[Average]]+10*Tabelle58[[#This Row],[Complex]])</f>
        <v>0</v>
      </c>
    </row>
    <row r="44" spans="2:11">
      <c r="B44" t="s">
        <v>40</v>
      </c>
      <c r="C44" t="s">
        <v>18</v>
      </c>
      <c r="D44" t="s">
        <v>19</v>
      </c>
      <c r="E44" t="s">
        <v>20</v>
      </c>
      <c r="F44" t="s">
        <v>21</v>
      </c>
      <c r="G44" t="s">
        <v>22</v>
      </c>
      <c r="H44" t="s">
        <v>23</v>
      </c>
      <c r="I44" t="s">
        <v>24</v>
      </c>
      <c r="J44" t="s">
        <v>35</v>
      </c>
      <c r="K44" t="s">
        <v>26</v>
      </c>
    </row>
    <row r="45" spans="2:11">
      <c r="B45" t="s">
        <v>27</v>
      </c>
      <c r="C45">
        <v>2</v>
      </c>
      <c r="D45">
        <f>IF(OR(AND(Tabelle59[[#This Row],[FTR/RET]]&lt;=1, Tabelle59[[#This Row],[DET]] &lt;= 19), AND(Tabelle59[[#This Row],[FTR/RET]]&lt;= 3, Tabelle59[[#This Row],[DET]] &lt;= 5)), 1, 0)</f>
        <v>1</v>
      </c>
      <c r="E45">
        <f>IF(OR(AND(Tabelle59[[#This Row],[FTR/RET]]&lt;=1, Tabelle59[[#This Row],[DET]] &gt; 20), AND(Tabelle59[[#This Row],[FTR/RET]]&lt;=5, Tabelle59[[#This Row],[FTR/RET]]&gt;=2, Tabelle59[[#This Row],[DET]] &gt;= 6, Tabelle59[[#This Row],[DET]] &lt;= 19), AND(Tabelle59[[#This Row],[FTR/RET]] &gt;= 5, Tabelle59[[#This Row],[DET]] &lt;= 5 )), 1, 0)</f>
        <v>0</v>
      </c>
      <c r="F45">
        <f>IF(AND(Tabelle59[[#This Row],[Simple]]=0,Tabelle59[[#This Row],[Average]]=0), 1, 0)</f>
        <v>0</v>
      </c>
      <c r="G45">
        <v>0</v>
      </c>
      <c r="H45">
        <v>2</v>
      </c>
      <c r="I45">
        <f>Tabelle59[[#This Row],[Count]]*(3*Tabelle59[[#This Row],[Simple]]+4*Tabelle59[[#This Row],[Average]]+6*Tabelle59[[#This Row],[Complex]])</f>
        <v>6</v>
      </c>
      <c r="J45" t="s">
        <v>38</v>
      </c>
      <c r="K45">
        <f>SUM(Tabelle59[Points])*(0.65+(5)/100)</f>
        <v>32.200000000000003</v>
      </c>
    </row>
    <row r="46" spans="2:11">
      <c r="B46" t="s">
        <v>28</v>
      </c>
      <c r="C46">
        <v>2</v>
      </c>
      <c r="D46">
        <f>IF(OR(AND(Tabelle59[[#This Row],[FTR/RET]]&lt;=1, Tabelle59[[#This Row],[DET]] &lt;= 19), AND(Tabelle59[[#This Row],[FTR/RET]]&lt;= 3, Tabelle59[[#This Row],[DET]] &lt;= 5)), 1, 0)</f>
        <v>1</v>
      </c>
      <c r="E46">
        <f>IF(OR(AND(Tabelle59[[#This Row],[FTR/RET]]&lt;=1, Tabelle59[[#This Row],[DET]] &gt; 20), AND(Tabelle59[[#This Row],[FTR/RET]]&lt;=5, Tabelle59[[#This Row],[FTR/RET]]&gt;=2, Tabelle59[[#This Row],[DET]] &gt;= 6, Tabelle59[[#This Row],[DET]] &lt;= 19), AND(Tabelle59[[#This Row],[FTR/RET]] &gt;= 5, Tabelle59[[#This Row],[DET]] &lt;= 5 )), 1, 0)</f>
        <v>0</v>
      </c>
      <c r="F46">
        <f>IF(AND(Tabelle59[[#This Row],[Simple]]=0,Tabelle59[[#This Row],[Average]]=0), 1, 0)</f>
        <v>0</v>
      </c>
      <c r="G46">
        <v>0</v>
      </c>
      <c r="H46">
        <v>0</v>
      </c>
      <c r="I46">
        <f>Tabelle59[[#This Row],[Count]]*(Tabelle59[[#This Row],[Simple]]*4+Tabelle59[[#This Row],[Average]]*5+Tabelle59[[#This Row],[Complex]]*7)</f>
        <v>8</v>
      </c>
    </row>
    <row r="47" spans="2:11">
      <c r="B47" t="s">
        <v>29</v>
      </c>
      <c r="C47">
        <v>6</v>
      </c>
      <c r="D47">
        <f>IF(OR(AND(Tabelle59[[#This Row],[FTR/RET]]&lt;=1, Tabelle59[[#This Row],[DET]] &lt;= 19), AND(Tabelle59[[#This Row],[FTR/RET]]&lt;= 3, Tabelle59[[#This Row],[DET]] &lt;= 5)), 1, 0)</f>
        <v>1</v>
      </c>
      <c r="E47">
        <f>IF(OR(AND(Tabelle59[[#This Row],[FTR/RET]]&lt;=1, Tabelle59[[#This Row],[DET]] &gt; 20), AND(Tabelle59[[#This Row],[FTR/RET]]&lt;=5, Tabelle59[[#This Row],[FTR/RET]]&gt;=2, Tabelle59[[#This Row],[DET]] &gt;= 6, Tabelle59[[#This Row],[DET]] &lt;= 19), AND(Tabelle59[[#This Row],[FTR/RET]] &gt;= 5, Tabelle59[[#This Row],[DET]] &lt;= 5 )), 1, 0)</f>
        <v>0</v>
      </c>
      <c r="F47">
        <v>0</v>
      </c>
      <c r="G47">
        <v>0</v>
      </c>
      <c r="H47">
        <v>2</v>
      </c>
      <c r="I47">
        <f>Tabelle59[[#This Row],[Count]]*(3*Tabelle59[[#This Row],[Simple]]+4*Tabelle59[[#This Row],[Average]]+6*Tabelle59[[#This Row],[Complex]])</f>
        <v>18</v>
      </c>
    </row>
    <row r="48" spans="2:11">
      <c r="B48" t="s">
        <v>30</v>
      </c>
      <c r="C48">
        <v>2</v>
      </c>
      <c r="D48">
        <f>IF(OR(AND(Tabelle59[[#This Row],[FTR/RET]]&lt;=1, Tabelle59[[#This Row],[DET]] &lt;= 19), AND(Tabelle59[[#This Row],[FTR/RET]]&lt;= 3, Tabelle59[[#This Row],[DET]] &lt;= 5)), 1, 0)</f>
        <v>1</v>
      </c>
      <c r="E48">
        <f>IF(OR(AND(Tabelle59[[#This Row],[FTR/RET]]&lt;=1, Tabelle59[[#This Row],[DET]] &gt; 20), AND(Tabelle59[[#This Row],[FTR/RET]]&lt;=5, Tabelle59[[#This Row],[FTR/RET]]&gt;=2, Tabelle59[[#This Row],[DET]] &gt;= 6, Tabelle59[[#This Row],[DET]] &lt;= 19), AND(Tabelle59[[#This Row],[FTR/RET]] &gt;= 5, Tabelle59[[#This Row],[DET]] &lt;= 5 )), 1, 0)</f>
        <v>0</v>
      </c>
      <c r="F48">
        <v>0</v>
      </c>
      <c r="G48">
        <v>0</v>
      </c>
      <c r="H48">
        <v>0</v>
      </c>
      <c r="I48">
        <f>Tabelle59[[#This Row],[Count]]*(7*Tabelle59[[#This Row],[Simple]]+10*Tabelle59[[#This Row],[Average]]+15*Tabelle59[[#This Row],[Complex]])</f>
        <v>14</v>
      </c>
      <c r="J48" t="s">
        <v>39</v>
      </c>
    </row>
    <row r="49" spans="2:11">
      <c r="B49" t="s">
        <v>34</v>
      </c>
      <c r="C49">
        <v>0</v>
      </c>
      <c r="D49">
        <f>IF(OR(AND(Tabelle59[[#This Row],[FTR/RET]]&lt;2, Tabelle59[[#This Row],[DET]] &lt;= 50), AND(Tabelle59[[#This Row],[FTR/RET]]&lt;=5, Tabelle59[[#This Row],[DET]] &lt; 20)), 1, 0)</f>
        <v>1</v>
      </c>
      <c r="E49">
        <f>IF(OR(AND(Tabelle59[[#This Row],[FTR/RET]]=1, Tabelle59[[#This Row],[DET]] &gt; 50), AND(Tabelle59[[#This Row],[FTR/RET]]&lt;=5, Tabelle59[[#This Row],[FTR/RET]]&gt;=2, Tabelle59[[#This Row],[DET]] &gt;= 20, Tabelle59[[#This Row],[DET]] &lt;= 50), AND(Tabelle59[[#This Row],[FTR/RET]] &gt;= 5, Tabelle59[[#This Row],[DET]] &lt; 20)), 1, 0)</f>
        <v>0</v>
      </c>
      <c r="F49">
        <f>IF(AND(Tabelle59[[#This Row],[Simple]]=0,Tabelle59[[#This Row],[Average]]=0), 1, 0)</f>
        <v>0</v>
      </c>
      <c r="G49">
        <v>0</v>
      </c>
      <c r="H49">
        <v>0</v>
      </c>
      <c r="I49">
        <f>Tabelle59[[#This Row],[Count]]*(5*Tabelle59[[#This Row],[Simple]]+7*Tabelle59[[#This Row],[Average]]+10*Tabelle59[[#This Row],[Complex]])</f>
        <v>0</v>
      </c>
    </row>
    <row r="52" spans="2:11">
      <c r="B52" t="s">
        <v>41</v>
      </c>
      <c r="C52" t="s">
        <v>18</v>
      </c>
      <c r="D52" t="s">
        <v>19</v>
      </c>
      <c r="E52" t="s">
        <v>20</v>
      </c>
      <c r="F52" t="s">
        <v>21</v>
      </c>
      <c r="G52" t="s">
        <v>22</v>
      </c>
      <c r="H52" t="s">
        <v>23</v>
      </c>
      <c r="I52" t="s">
        <v>24</v>
      </c>
      <c r="J52" t="s">
        <v>35</v>
      </c>
      <c r="K52" t="s">
        <v>26</v>
      </c>
    </row>
    <row r="53" spans="2:11">
      <c r="B53" t="s">
        <v>27</v>
      </c>
      <c r="C53">
        <v>0</v>
      </c>
      <c r="D53">
        <f>IF(OR(AND(Tabelle5910[[#This Row],[FTR/RET]]&lt;2, Tabelle5910[[#This Row],[DET]] &lt;= 50), AND(Tabelle5910[[#This Row],[FTR/RET]]&lt;=5, Tabelle5910[[#This Row],[DET]] &lt; 20)), 1, 0)</f>
        <v>1</v>
      </c>
      <c r="E53">
        <f>IF(OR(AND(Tabelle5910[[#This Row],[FTR/RET]]&lt;=1, Tabelle5910[[#This Row],[DET]] &gt; 20), AND(Tabelle5910[[#This Row],[FTR/RET]]&lt;=5, Tabelle5910[[#This Row],[FTR/RET]]&gt;=2, Tabelle5910[[#This Row],[DET]] &gt;= 6, Tabelle5910[[#This Row],[DET]] &lt;= 19), AND(Tabelle5910[[#This Row],[FTR/RET]] &gt;= 5, Tabelle5910[[#This Row],[DET]] &lt;= 5 )), 1, 0)</f>
        <v>0</v>
      </c>
      <c r="F53">
        <f>IF(AND(Tabelle5910[[#This Row],[Simple]]=0,Tabelle5910[[#This Row],[Average]]=0), 1, 0)</f>
        <v>0</v>
      </c>
      <c r="G53">
        <v>0</v>
      </c>
      <c r="H53">
        <v>0</v>
      </c>
      <c r="I53">
        <f>Tabelle5910[[#This Row],[Count]]*(3*Tabelle5910[[#This Row],[Simple]]+4*Tabelle5910[[#This Row],[Average]]+6*Tabelle5910[[#This Row],[Complex]])</f>
        <v>0</v>
      </c>
      <c r="J53" t="s">
        <v>38</v>
      </c>
      <c r="K53">
        <f>SUM(Tabelle5910[Points])*(0.65+(5)/100)</f>
        <v>0</v>
      </c>
    </row>
    <row r="54" spans="2:11">
      <c r="B54" t="s">
        <v>28</v>
      </c>
      <c r="C54">
        <v>0</v>
      </c>
      <c r="D54">
        <f>IF(OR(AND(Tabelle5910[[#This Row],[FTR/RET]]&lt;2, Tabelle5910[[#This Row],[DET]] &lt;= 50), AND(Tabelle5910[[#This Row],[FTR/RET]]&lt;=5, Tabelle5910[[#This Row],[DET]] &lt; 20)), 1, 0)</f>
        <v>1</v>
      </c>
      <c r="E54">
        <f>IF(OR(AND(Tabelle5910[[#This Row],[FTR/RET]]&lt;=1, Tabelle5910[[#This Row],[DET]] &gt; 20), AND(Tabelle5910[[#This Row],[FTR/RET]]&lt;=5, Tabelle5910[[#This Row],[FTR/RET]]&gt;=2, Tabelle5910[[#This Row],[DET]] &gt;= 6, Tabelle5910[[#This Row],[DET]] &lt;= 19), AND(Tabelle5910[[#This Row],[FTR/RET]] &gt;= 5, Tabelle5910[[#This Row],[DET]] &lt;= 5 )), 1, 0)</f>
        <v>0</v>
      </c>
      <c r="F54">
        <f>IF(AND(Tabelle5910[[#This Row],[Simple]]=0,Tabelle5910[[#This Row],[Average]]=0), 1, 0)</f>
        <v>0</v>
      </c>
      <c r="G54">
        <v>0</v>
      </c>
      <c r="H54">
        <v>0</v>
      </c>
      <c r="I54">
        <f>Tabelle5910[[#This Row],[Count]]*(Tabelle5910[[#This Row],[Simple]]*4+Tabelle5910[[#This Row],[Average]]*5+Tabelle5910[[#This Row],[Complex]]*7)</f>
        <v>0</v>
      </c>
    </row>
    <row r="55" spans="2:11">
      <c r="B55" t="s">
        <v>29</v>
      </c>
      <c r="C55">
        <v>0</v>
      </c>
      <c r="D55">
        <f>IF(OR(AND(Tabelle5910[[#This Row],[FTR/RET]]&lt;2, Tabelle5910[[#This Row],[DET]] &lt;= 50), AND(Tabelle5910[[#This Row],[FTR/RET]]&lt;=5, Tabelle5910[[#This Row],[DET]] &lt; 20)), 1, 0)</f>
        <v>1</v>
      </c>
      <c r="E55">
        <v>0</v>
      </c>
      <c r="F55">
        <f>IF(AND(Tabelle5910[[#This Row],[Simple]]=0,Tabelle5910[[#This Row],[Average]]=0), 1, 0)</f>
        <v>0</v>
      </c>
      <c r="G55">
        <v>0</v>
      </c>
      <c r="H55">
        <v>0</v>
      </c>
      <c r="I55">
        <f>Tabelle5910[[#This Row],[Count]]*(3*Tabelle5910[[#This Row],[Simple]]+4*Tabelle5910[[#This Row],[Average]]+6*Tabelle5910[[#This Row],[Complex]])</f>
        <v>0</v>
      </c>
    </row>
    <row r="56" spans="2:11">
      <c r="B56" t="s">
        <v>30</v>
      </c>
      <c r="C56">
        <v>0</v>
      </c>
      <c r="D56">
        <f>IF(OR(AND(Tabelle5910[[#This Row],[FTR/RET]]&lt;2, Tabelle5910[[#This Row],[DET]] &lt;= 50), AND(Tabelle5910[[#This Row],[FTR/RET]]&lt;=5, Tabelle5910[[#This Row],[DET]] &lt; 20)), 1, 0)</f>
        <v>1</v>
      </c>
      <c r="E56">
        <v>0</v>
      </c>
      <c r="F56">
        <f>IF(AND(Tabelle5910[[#This Row],[Simple]]=0,Tabelle5910[[#This Row],[Average]]=0), 1, 0)</f>
        <v>0</v>
      </c>
      <c r="G56">
        <v>0</v>
      </c>
      <c r="H56">
        <v>0</v>
      </c>
      <c r="I56">
        <f>Tabelle5910[[#This Row],[Count]]*(7*Tabelle5910[[#This Row],[Simple]]+10*Tabelle5910[[#This Row],[Average]]+15*Tabelle5910[[#This Row],[Complex]])</f>
        <v>0</v>
      </c>
      <c r="J56" t="s">
        <v>39</v>
      </c>
    </row>
    <row r="57" spans="2:11">
      <c r="B57" t="s">
        <v>34</v>
      </c>
      <c r="C57">
        <v>0</v>
      </c>
      <c r="D57">
        <f>IF(OR(AND(Tabelle5910[[#This Row],[FTR/RET]]&lt;2, Tabelle5910[[#This Row],[DET]] &lt;= 50), AND(Tabelle5910[[#This Row],[FTR/RET]]&lt;=5, Tabelle5910[[#This Row],[DET]] &lt; 20)), 1, 0)</f>
        <v>1</v>
      </c>
      <c r="E57">
        <v>0</v>
      </c>
      <c r="F57">
        <f>IF(AND(Tabelle5910[[#This Row],[Simple]]=0,Tabelle5910[[#This Row],[Average]]=0), 1, 0)</f>
        <v>0</v>
      </c>
      <c r="G57">
        <v>0</v>
      </c>
      <c r="H57">
        <v>0</v>
      </c>
      <c r="I57">
        <f>Tabelle5910[[#This Row],[Count]]*(5*Tabelle5910[[#This Row],[Simple]]+7*Tabelle5910[[#This Row],[Average]]+10*Tabelle5910[[#This Row],[Complex]])</f>
        <v>0</v>
      </c>
    </row>
    <row r="60" spans="2:11">
      <c r="B60" t="s">
        <v>41</v>
      </c>
      <c r="C60" t="s">
        <v>18</v>
      </c>
      <c r="D60" t="s">
        <v>19</v>
      </c>
      <c r="E60" t="s">
        <v>20</v>
      </c>
      <c r="F60" t="s">
        <v>21</v>
      </c>
      <c r="G60" t="s">
        <v>22</v>
      </c>
      <c r="H60" t="s">
        <v>23</v>
      </c>
      <c r="I60" t="s">
        <v>24</v>
      </c>
      <c r="J60" t="s">
        <v>35</v>
      </c>
      <c r="K60" t="s">
        <v>26</v>
      </c>
    </row>
    <row r="61" spans="2:11">
      <c r="B61" t="s">
        <v>27</v>
      </c>
      <c r="C61">
        <v>0</v>
      </c>
      <c r="D61">
        <f>IF(OR(AND(Tabelle596[[#This Row],[FTR/RET]]&lt;=1, Tabelle596[[#This Row],[DET]] &lt;= 19), AND(Tabelle596[[#This Row],[FTR/RET]]&lt;= 3, Tabelle596[[#This Row],[DET]] &lt;= 5)), 1, 0)</f>
        <v>1</v>
      </c>
      <c r="E61">
        <f>IF(OR(AND(Tabelle596[[#This Row],[FTR/RET]]&lt;=1, Tabelle596[[#This Row],[DET]] &gt; 20), AND(Tabelle596[[#This Row],[FTR/RET]]&lt;=5, Tabelle596[[#This Row],[FTR/RET]]&gt;=2, Tabelle596[[#This Row],[DET]] &gt;= 6, Tabelle596[[#This Row],[DET]] &lt;= 19), AND(Tabelle596[[#This Row],[FTR/RET]] &gt;= 5, Tabelle596[[#This Row],[DET]] &lt;= 5 )), 1, 0)</f>
        <v>0</v>
      </c>
      <c r="F61">
        <f>IF(AND(Tabelle596[[#This Row],[Simple]]=0,Tabelle596[[#This Row],[Average]]=0), 1, 0)</f>
        <v>0</v>
      </c>
      <c r="G61">
        <v>0</v>
      </c>
      <c r="H61">
        <v>0</v>
      </c>
      <c r="I61">
        <f>Tabelle596[[#This Row],[Count]]*(3*Tabelle596[[#This Row],[Simple]]+4*Tabelle596[[#This Row],[Average]]+6*Tabelle596[[#This Row],[Complex]])</f>
        <v>0</v>
      </c>
      <c r="J61" t="s">
        <v>38</v>
      </c>
      <c r="K61">
        <f>SUM(Tabelle596[Points])*(0.65+(5)/100)</f>
        <v>0</v>
      </c>
    </row>
    <row r="62" spans="2:11">
      <c r="B62" t="s">
        <v>28</v>
      </c>
      <c r="C62">
        <v>0</v>
      </c>
      <c r="D62">
        <f>IF(OR(AND(Tabelle596[[#This Row],[FTR/RET]]&lt;=1, Tabelle596[[#This Row],[DET]] &lt;= 19), AND(Tabelle596[[#This Row],[FTR/RET]]&lt;= 3, Tabelle596[[#This Row],[DET]] &lt;= 5)), 1, 0)</f>
        <v>1</v>
      </c>
      <c r="E62">
        <f>IF(OR(AND(Tabelle596[[#This Row],[FTR/RET]]&lt;=1, Tabelle596[[#This Row],[DET]] &gt; 20), AND(Tabelle596[[#This Row],[FTR/RET]]&lt;=5, Tabelle596[[#This Row],[FTR/RET]]&gt;=2, Tabelle596[[#This Row],[DET]] &gt;= 6, Tabelle596[[#This Row],[DET]] &lt;= 19), AND(Tabelle596[[#This Row],[FTR/RET]] &gt;= 5, Tabelle596[[#This Row],[DET]] &lt;= 5 )), 1, 0)</f>
        <v>0</v>
      </c>
      <c r="F62">
        <f>IF(AND(Tabelle596[[#This Row],[Simple]]=0,Tabelle596[[#This Row],[Average]]=0), 1, 0)</f>
        <v>0</v>
      </c>
      <c r="G62">
        <v>0</v>
      </c>
      <c r="H62">
        <v>0</v>
      </c>
      <c r="I62">
        <f>Tabelle596[[#This Row],[Count]]*(Tabelle596[[#This Row],[Simple]]*4+Tabelle596[[#This Row],[Average]]*5+Tabelle596[[#This Row],[Complex]]*7)</f>
        <v>0</v>
      </c>
    </row>
    <row r="63" spans="2:11">
      <c r="B63" t="s">
        <v>29</v>
      </c>
      <c r="C63">
        <v>0</v>
      </c>
      <c r="D63">
        <f>IF(OR(AND(Tabelle596[[#This Row],[FTR/RET]]&lt;=1, Tabelle596[[#This Row],[DET]] &lt;= 19), AND(Tabelle596[[#This Row],[FTR/RET]]&lt;= 3, Tabelle596[[#This Row],[DET]] &lt;= 5)), 1, 0)</f>
        <v>1</v>
      </c>
      <c r="E63">
        <f>IF(OR(AND(Tabelle596[[#This Row],[FTR/RET]]&lt;=1, Tabelle596[[#This Row],[DET]] &gt; 20), AND(Tabelle596[[#This Row],[FTR/RET]]&lt;=5, Tabelle596[[#This Row],[FTR/RET]]&gt;=2, Tabelle596[[#This Row],[DET]] &gt;= 6, Tabelle596[[#This Row],[DET]] &lt;= 19), AND(Tabelle596[[#This Row],[FTR/RET]] &gt;= 5, Tabelle596[[#This Row],[DET]] &lt;= 5 )), 1, 0)</f>
        <v>0</v>
      </c>
      <c r="F63">
        <f>IF(AND(Tabelle596[[#This Row],[Simple]]=0,Tabelle596[[#This Row],[Average]]=0), 1, 0)</f>
        <v>0</v>
      </c>
      <c r="G63">
        <v>0</v>
      </c>
      <c r="H63">
        <v>0</v>
      </c>
      <c r="I63">
        <f>Tabelle596[[#This Row],[Count]]*(3*Tabelle596[[#This Row],[Simple]]+4*Tabelle596[[#This Row],[Average]]+6*Tabelle596[[#This Row],[Complex]])</f>
        <v>0</v>
      </c>
    </row>
    <row r="64" spans="2:11">
      <c r="B64" t="s">
        <v>30</v>
      </c>
      <c r="C64">
        <v>0</v>
      </c>
      <c r="D64">
        <f>IF(OR(AND(Tabelle596[[#This Row],[FTR/RET]]&lt;=1, Tabelle596[[#This Row],[DET]] &lt;= 19), AND(Tabelle596[[#This Row],[FTR/RET]]&lt;= 3, Tabelle596[[#This Row],[DET]] &lt;= 5)), 1, 0)</f>
        <v>1</v>
      </c>
      <c r="E64">
        <f>IF(OR(AND(Tabelle596[[#This Row],[FTR/RET]]&lt;=1, Tabelle596[[#This Row],[DET]] &gt; 20), AND(Tabelle596[[#This Row],[FTR/RET]]&lt;=5, Tabelle596[[#This Row],[FTR/RET]]&gt;=2, Tabelle596[[#This Row],[DET]] &gt;= 6, Tabelle596[[#This Row],[DET]] &lt;= 19), AND(Tabelle596[[#This Row],[FTR/RET]] &gt;= 5, Tabelle596[[#This Row],[DET]] &lt;= 5 )), 1, 0)</f>
        <v>0</v>
      </c>
      <c r="F64">
        <f>IF(AND(Tabelle596[[#This Row],[Simple]]=0,Tabelle596[[#This Row],[Average]]=0), 1, 0)</f>
        <v>0</v>
      </c>
      <c r="G64">
        <v>0</v>
      </c>
      <c r="H64">
        <v>0</v>
      </c>
      <c r="I64">
        <f>Tabelle596[[#This Row],[Count]]*(7*Tabelle596[[#This Row],[Simple]]+10*Tabelle596[[#This Row],[Average]]+15*Tabelle596[[#This Row],[Complex]])</f>
        <v>0</v>
      </c>
      <c r="J64" t="s">
        <v>39</v>
      </c>
    </row>
    <row r="65" spans="2:9">
      <c r="B65" t="s">
        <v>34</v>
      </c>
      <c r="C65">
        <v>0</v>
      </c>
      <c r="D65">
        <f>IF(OR(AND(Tabelle596[[#This Row],[FTR/RET]]&lt;=1, Tabelle596[[#This Row],[DET]] &lt;= 19), AND(Tabelle596[[#This Row],[FTR/RET]]&lt;= 3, Tabelle596[[#This Row],[DET]] &lt;= 5)), 1, 0)</f>
        <v>1</v>
      </c>
      <c r="E65">
        <f>IF(OR(AND(Tabelle596[[#This Row],[FTR/RET]]&lt;=1, Tabelle596[[#This Row],[DET]] &gt; 20), AND(Tabelle596[[#This Row],[FTR/RET]]&lt;=5, Tabelle596[[#This Row],[FTR/RET]]&gt;=2, Tabelle596[[#This Row],[DET]] &gt;= 6, Tabelle596[[#This Row],[DET]] &lt;= 19), AND(Tabelle596[[#This Row],[FTR/RET]] &gt;= 5, Tabelle596[[#This Row],[DET]] &lt;= 5 )), 1, 0)</f>
        <v>0</v>
      </c>
      <c r="F65">
        <f>IF(AND(Tabelle596[[#This Row],[Simple]]=0,Tabelle596[[#This Row],[Average]]=0), 1, 0)</f>
        <v>0</v>
      </c>
      <c r="G65">
        <v>0</v>
      </c>
      <c r="H65">
        <v>0</v>
      </c>
      <c r="I65">
        <f>Tabelle596[[#This Row],[Count]]*(5*Tabelle596[[#This Row],[Simple]]+7*Tabelle596[[#This Row],[Average]]+10*Tabelle596[[#This Row],[Complex]])</f>
        <v>0</v>
      </c>
    </row>
  </sheetData>
  <pageMargins left="0.7" right="0.7" top="0.78740157499999996" bottom="0.78740157499999996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Fehrmann</dc:creator>
  <cp:keywords/>
  <dc:description/>
  <cp:lastModifiedBy>Louisa Raute</cp:lastModifiedBy>
  <cp:revision/>
  <dcterms:created xsi:type="dcterms:W3CDTF">2016-04-06T09:08:04Z</dcterms:created>
  <dcterms:modified xsi:type="dcterms:W3CDTF">2017-04-20T09:26:11Z</dcterms:modified>
  <cp:category/>
  <cp:contentStatus/>
</cp:coreProperties>
</file>