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25" windowHeight="12450" firstSheet="1" activeTab="3"/>
  </bookViews>
  <sheets>
    <sheet name="FS_inputs" sheetId="5" r:id="rId1"/>
    <sheet name="PD2_inputs" sheetId="6" r:id="rId2"/>
    <sheet name="PD3_inputs" sheetId="8" r:id="rId3"/>
    <sheet name="Ratios" sheetId="2" r:id="rId4"/>
    <sheet name="ProductivityIndicators" sheetId="7" r:id="rId5"/>
    <sheet name="Profit&amp;Loss" sheetId="4" r:id="rId6"/>
    <sheet name="FinancialAnalysisReport" sheetId="3" r:id="rId7"/>
    <sheet name="Customer" sheetId="9" r:id="rId8"/>
  </sheets>
  <externalReferences>
    <externalReference r:id="rId9"/>
    <externalReference r:id="rId10"/>
  </externalReferences>
  <calcPr calcId="144525"/>
</workbook>
</file>

<file path=xl/sharedStrings.xml><?xml version="1.0" encoding="utf-8"?>
<sst xmlns="http://schemas.openxmlformats.org/spreadsheetml/2006/main" count="486" uniqueCount="327">
  <si>
    <t>Financial Performance Inputs</t>
  </si>
  <si>
    <t>Quantitative Assessment - 1</t>
  </si>
  <si>
    <t>Profit &amp; Loss Statement</t>
  </si>
  <si>
    <t>Balance Sheet Statement</t>
  </si>
  <si>
    <r>
      <rPr>
        <b/>
        <sz val="11"/>
        <rFont val="Arial"/>
        <charset val="134"/>
        <scheme val="minor"/>
      </rPr>
      <t>Documents Required</t>
    </r>
    <r>
      <rPr>
        <sz val="11"/>
        <rFont val="Arial"/>
        <charset val="134"/>
        <scheme val="minor"/>
      </rPr>
      <t>: Financial Statements of Last 3 Years</t>
    </r>
  </si>
  <si>
    <t>(latest year)</t>
  </si>
  <si>
    <t>Year 1</t>
  </si>
  <si>
    <t>Year 2</t>
  </si>
  <si>
    <t>Year 3 
(most recent)</t>
  </si>
  <si>
    <t>Sales</t>
  </si>
  <si>
    <t>BALANCE SHEET ($)</t>
  </si>
  <si>
    <t>Change in Inventory Levels</t>
  </si>
  <si>
    <t>Total Assets</t>
  </si>
  <si>
    <t>Opening Stocks</t>
  </si>
  <si>
    <t xml:space="preserve">    Current Assets</t>
  </si>
  <si>
    <t>Closing Stocks</t>
  </si>
  <si>
    <t>Cash</t>
  </si>
  <si>
    <t>Gross Output</t>
  </si>
  <si>
    <t>Trade Receivables</t>
  </si>
  <si>
    <t>Inventories</t>
  </si>
  <si>
    <t>PURCHASE OF GOODS AND SERVICES 
            Materials Consumed</t>
  </si>
  <si>
    <t>Other CA</t>
  </si>
  <si>
    <t>Raw Materials (Direct &amp; Indirect)</t>
  </si>
  <si>
    <t xml:space="preserve">    Fixed Assets</t>
  </si>
  <si>
    <t>Stock Expiring</t>
  </si>
  <si>
    <t>Total Liabilities</t>
  </si>
  <si>
    <t>Other Materials Used</t>
  </si>
  <si>
    <t xml:space="preserve">    Current Liabilities</t>
  </si>
  <si>
    <t>Sub-Total</t>
  </si>
  <si>
    <t>Trade Payables</t>
  </si>
  <si>
    <t>Other CL</t>
  </si>
  <si>
    <t>Production Costs</t>
  </si>
  <si>
    <t xml:space="preserve">    Non-Current Liabilities</t>
  </si>
  <si>
    <t>Cargo and Handling</t>
  </si>
  <si>
    <t>Stockholders' Equity</t>
  </si>
  <si>
    <t>Part-time/Temporary Labour</t>
  </si>
  <si>
    <t>Other NCL</t>
  </si>
  <si>
    <t>Insurance (not including employees' insurance)</t>
  </si>
  <si>
    <t>Common Shares Outstanding</t>
  </si>
  <si>
    <t>Transportation</t>
  </si>
  <si>
    <t>Utilities</t>
  </si>
  <si>
    <t>Maintenance (Building, Plant and Machinery)</t>
  </si>
  <si>
    <t>Lease of Plant and Machinery</t>
  </si>
  <si>
    <t>Other Production Costs</t>
  </si>
  <si>
    <t>General Management Costs</t>
  </si>
  <si>
    <t>Stationery Supplies and Printing</t>
  </si>
  <si>
    <t>Rental</t>
  </si>
  <si>
    <t>Company Car/Bus etc.</t>
  </si>
  <si>
    <t>Advertising</t>
  </si>
  <si>
    <t>Entertainment</t>
  </si>
  <si>
    <t>Food and Drinks</t>
  </si>
  <si>
    <t>Telephone and Fax</t>
  </si>
  <si>
    <t>Mail and Courier</t>
  </si>
  <si>
    <t>Maintenance (Office Equipment)</t>
  </si>
  <si>
    <t>Travel</t>
  </si>
  <si>
    <t>Audit, Secretarial and Professional Costs</t>
  </si>
  <si>
    <t>Newspaper and Magazines</t>
  </si>
  <si>
    <t>Stamp Duty, Filing and Legal</t>
  </si>
  <si>
    <t>Bank charges</t>
  </si>
  <si>
    <t>Other Administrative Costs</t>
  </si>
  <si>
    <t>Total Purchase of Goods and Services</t>
  </si>
  <si>
    <t>VALUE ADDED</t>
  </si>
  <si>
    <t>LABOUR EXPENSES</t>
  </si>
  <si>
    <t>Employee Compensation</t>
  </si>
  <si>
    <t>Bonuses</t>
  </si>
  <si>
    <t>Provident Fund</t>
  </si>
  <si>
    <t>Employee Welfare</t>
  </si>
  <si>
    <t>Medical Costs</t>
  </si>
  <si>
    <t>Employee Training</t>
  </si>
  <si>
    <t>Director's Salary</t>
  </si>
  <si>
    <t>Employee Insurance</t>
  </si>
  <si>
    <t>Others</t>
  </si>
  <si>
    <t>Total Labour Expenses</t>
  </si>
  <si>
    <t>DEPRECIATION</t>
  </si>
  <si>
    <t>Buildings</t>
  </si>
  <si>
    <t>Plant, Machinery &amp; Equipment</t>
  </si>
  <si>
    <t>Total Depreciation</t>
  </si>
  <si>
    <t>NON-OPERATING EXPENSES</t>
  </si>
  <si>
    <t>Non-Operating Income</t>
  </si>
  <si>
    <t>Profit from Fixed Assets Sale</t>
  </si>
  <si>
    <t xml:space="preserve">Profit from Foreign Exchange </t>
  </si>
  <si>
    <t>Other Income</t>
  </si>
  <si>
    <t>Non-Operating Costs</t>
  </si>
  <si>
    <t>Bad Debts</t>
  </si>
  <si>
    <t>Donations</t>
  </si>
  <si>
    <t>Foreign Exchange Loss</t>
  </si>
  <si>
    <t>Loss on Fixed Assets Sale</t>
  </si>
  <si>
    <t>Net Non-Operating Expenses</t>
  </si>
  <si>
    <t>TAXATION</t>
  </si>
  <si>
    <t>Tax on Property</t>
  </si>
  <si>
    <t>Duties (Customs &amp; Excise)</t>
  </si>
  <si>
    <t>Levy on Foreign Workers</t>
  </si>
  <si>
    <t>Others (excluding Income Tax)</t>
  </si>
  <si>
    <t>Total Taxes</t>
  </si>
  <si>
    <t>EBIT</t>
  </si>
  <si>
    <t>Profit or (Loss) Before Interest and Income Tax</t>
  </si>
  <si>
    <t>INTEREST ON LOANS/HIRES</t>
  </si>
  <si>
    <t>Interest &amp; Charges by Bank</t>
  </si>
  <si>
    <t>Interest on Loan</t>
  </si>
  <si>
    <t>Interest on Hire Purchase</t>
  </si>
  <si>
    <t>Total Interest on Loans/Hires</t>
  </si>
  <si>
    <t>OPERATING PROFIT/(LOSS) [EBT]</t>
  </si>
  <si>
    <t>Profit or (Loss) Before Income Tax</t>
  </si>
  <si>
    <t>COMPANY TAX</t>
  </si>
  <si>
    <t>Tax on Company</t>
  </si>
  <si>
    <t>NET OPERATING PROFIT/(LOSS)</t>
  </si>
  <si>
    <t>Profit or (Loss) After Income Tax</t>
  </si>
  <si>
    <t>Productivity Diagnostic Tool</t>
  </si>
  <si>
    <t>Quantitative Assessment - 2</t>
  </si>
  <si>
    <t>Value Added - Addition Method</t>
  </si>
  <si>
    <t>OPERATING PROFIT/(LOSS)</t>
  </si>
  <si>
    <t>Total Operating Profit/(Loss)</t>
  </si>
  <si>
    <t>Others (excluding Income Tax &amp; GST/VAT)</t>
  </si>
  <si>
    <t>Quantitative Assessment - 3</t>
  </si>
  <si>
    <t>Performance Assessment Based On Key Productivity Indicators</t>
  </si>
  <si>
    <t>Year 3</t>
  </si>
  <si>
    <t>Value added</t>
  </si>
  <si>
    <t>Number of employees</t>
  </si>
  <si>
    <r>
      <rPr>
        <sz val="11"/>
        <color theme="1"/>
        <rFont val="Arial"/>
        <charset val="134"/>
        <scheme val="minor"/>
      </rPr>
      <t xml:space="preserve">Operating Profit </t>
    </r>
    <r>
      <rPr>
        <sz val="9"/>
        <color theme="1"/>
        <rFont val="Arial"/>
        <charset val="134"/>
        <scheme val="minor"/>
      </rPr>
      <t>(before interest &amp; tax)</t>
    </r>
  </si>
  <si>
    <t>Labour cost</t>
  </si>
  <si>
    <t>Fixed Assets at Net Book Value</t>
  </si>
  <si>
    <t>Include all employees like working directors/partners, unpaid employees from family and part-timers (convert to FTE -full time equivalent)</t>
  </si>
  <si>
    <t>Do not include work-in-progress</t>
  </si>
  <si>
    <t>No</t>
  </si>
  <si>
    <t>Key Lever</t>
  </si>
  <si>
    <t>Key Productivity Indicator</t>
  </si>
  <si>
    <t>Definition</t>
  </si>
  <si>
    <t>Formula</t>
  </si>
  <si>
    <t>Productivity</t>
  </si>
  <si>
    <t>Labour Productivity</t>
  </si>
  <si>
    <t>This measures the efficiency &amp; effectiveness of employees in generating value added (VA)</t>
  </si>
  <si>
    <t>Value added ÷ 
Number of employees</t>
  </si>
  <si>
    <t>Increased sales</t>
  </si>
  <si>
    <t>Sales per Employee</t>
  </si>
  <si>
    <t>This measures the efficiency &amp; effectiveness of organisation's marketing strategy</t>
  </si>
  <si>
    <t>Sales ÷ 
Number of employees</t>
  </si>
  <si>
    <t>Increased output per unit cost of production</t>
  </si>
  <si>
    <t>Value Added-to-Sales ratio</t>
  </si>
  <si>
    <t>This measures the proportion of sales created by the organisation over &amp; above purchased materials and services</t>
  </si>
  <si>
    <t>Value added ÷ 
Sales</t>
  </si>
  <si>
    <t>Profit Margin</t>
  </si>
  <si>
    <t>This measures the proportion of sales after deducting all costs</t>
  </si>
  <si>
    <t>Operating Profit ÷ 
Sales</t>
  </si>
  <si>
    <t>Profit-to-Value Added ratio</t>
  </si>
  <si>
    <t>This indicates the portion of operating profit allocated to the capital providers as a proportion of VA</t>
  </si>
  <si>
    <t>Operating Profit ÷ Value Added</t>
  </si>
  <si>
    <t>Optimise use of labour</t>
  </si>
  <si>
    <t>Labour Cost Competitiveness</t>
  </si>
  <si>
    <t>This measures the efficiency &amp; effectiveness of the organisation in terms of its labour cost</t>
  </si>
  <si>
    <t>Value added ÷ 
Labour cost</t>
  </si>
  <si>
    <t>Labour Cost per Employee</t>
  </si>
  <si>
    <t>This indicates average remuneration per employee</t>
  </si>
  <si>
    <t>Labour costs ÷ 
Number of employees</t>
  </si>
  <si>
    <t>Optimise use of capital</t>
  </si>
  <si>
    <t>Sales per Dollar of Capital</t>
  </si>
  <si>
    <t>This measures the efficiency &amp; effectiveness of fixed assets in the generation of sales</t>
  </si>
  <si>
    <t>Sales ÷ 
Fixed Assets</t>
  </si>
  <si>
    <t>Capital Intensity</t>
  </si>
  <si>
    <t>This indicates the extent to which organisation is capital intensive</t>
  </si>
  <si>
    <t>Fixed assets ÷ 
Number of employees</t>
  </si>
  <si>
    <t>Capital Productivity</t>
  </si>
  <si>
    <t>This measures the efficiency &amp; effectiveness of fixed assets in the generation of VA</t>
  </si>
  <si>
    <t>Value added ÷ 
Fixed Assets</t>
  </si>
  <si>
    <t>Productivity Lever</t>
  </si>
  <si>
    <t>Sector</t>
  </si>
  <si>
    <t>Indicator</t>
  </si>
  <si>
    <t>Value (A)</t>
  </si>
  <si>
    <t>Value (B)</t>
  </si>
  <si>
    <t>Computation</t>
  </si>
  <si>
    <t>Increased Sales</t>
  </si>
  <si>
    <t>Manufacturing</t>
  </si>
  <si>
    <t>Delivery on time</t>
  </si>
  <si>
    <t>This ratio measures the efficiency in delivering orders</t>
  </si>
  <si>
    <r>
      <rPr>
        <sz val="11"/>
        <color theme="1"/>
        <rFont val="Arial"/>
        <charset val="134"/>
        <scheme val="minor"/>
      </rPr>
      <t xml:space="preserve">Number of orders delivered on time (A) </t>
    </r>
    <r>
      <rPr>
        <sz val="11"/>
        <color theme="1"/>
        <rFont val="Calibri"/>
        <charset val="134"/>
      </rPr>
      <t>÷
Total no. of orders delivered (B)</t>
    </r>
  </si>
  <si>
    <t>Innovation or idea conversion rate</t>
  </si>
  <si>
    <t>Rate at which new ideas are assessed and implemented successfully through improvement initiatives</t>
  </si>
  <si>
    <r>
      <rPr>
        <sz val="11"/>
        <color theme="1"/>
        <rFont val="Arial"/>
        <charset val="134"/>
        <scheme val="minor"/>
      </rPr>
      <t xml:space="preserve">No. of suggestions implemented (A) </t>
    </r>
    <r>
      <rPr>
        <sz val="11"/>
        <color theme="1"/>
        <rFont val="Calibri"/>
        <charset val="134"/>
      </rPr>
      <t>÷ 
Total number of suggestions (B)</t>
    </r>
  </si>
  <si>
    <t>Service</t>
  </si>
  <si>
    <t>Waiting time per customer served</t>
  </si>
  <si>
    <t>Efficiency in service delivery and level of customer service</t>
  </si>
  <si>
    <t>Time taken from the point that customer enters to the point an order is filled (A)</t>
  </si>
  <si>
    <t>N/A</t>
  </si>
  <si>
    <t>Compliment to complaint ratio</t>
  </si>
  <si>
    <t>Level of customer service</t>
  </si>
  <si>
    <r>
      <rPr>
        <sz val="11"/>
        <color theme="1"/>
        <rFont val="Arial"/>
        <charset val="134"/>
        <scheme val="minor"/>
      </rPr>
      <t xml:space="preserve">No. of compliments (A) </t>
    </r>
    <r>
      <rPr>
        <sz val="11"/>
        <color theme="1"/>
        <rFont val="Calibri"/>
        <charset val="134"/>
      </rPr>
      <t>÷ 
No. of complaints (B)</t>
    </r>
  </si>
  <si>
    <t>Increased output per unit of production</t>
  </si>
  <si>
    <t>Cost-to-sales ratio</t>
  </si>
  <si>
    <t>Cost efficiency of producing goods relative to sales</t>
  </si>
  <si>
    <r>
      <rPr>
        <sz val="11"/>
        <color theme="1"/>
        <rFont val="Arial"/>
        <charset val="134"/>
        <scheme val="minor"/>
      </rPr>
      <t xml:space="preserve">Cost of goods sold (A) </t>
    </r>
    <r>
      <rPr>
        <sz val="11"/>
        <color theme="1"/>
        <rFont val="Calibri"/>
        <charset val="134"/>
      </rPr>
      <t>÷ 
Sales (B)</t>
    </r>
  </si>
  <si>
    <t>Defect rate</t>
  </si>
  <si>
    <t>Effectiveness of quality control and system</t>
  </si>
  <si>
    <r>
      <rPr>
        <sz val="11"/>
        <color theme="1"/>
        <rFont val="Arial"/>
        <charset val="134"/>
        <scheme val="minor"/>
      </rPr>
      <t xml:space="preserve">No. of defects (A) </t>
    </r>
    <r>
      <rPr>
        <sz val="11"/>
        <color theme="1"/>
        <rFont val="Calibri"/>
        <charset val="134"/>
      </rPr>
      <t>÷ 
Total number of goods produced (B)</t>
    </r>
  </si>
  <si>
    <t>Cost per customer</t>
  </si>
  <si>
    <t>Cost effectiveness in service delivery</t>
  </si>
  <si>
    <r>
      <rPr>
        <sz val="11"/>
        <color theme="1"/>
        <rFont val="Arial"/>
        <charset val="134"/>
        <scheme val="minor"/>
      </rPr>
      <t xml:space="preserve">Operating expense (A) </t>
    </r>
    <r>
      <rPr>
        <sz val="11"/>
        <color theme="1"/>
        <rFont val="Calibri"/>
        <charset val="134"/>
      </rPr>
      <t>÷ 
No. of customers served (B)</t>
    </r>
  </si>
  <si>
    <t>Inventory turnover ratio</t>
  </si>
  <si>
    <t>Effectiveness of inventory management</t>
  </si>
  <si>
    <r>
      <rPr>
        <sz val="11"/>
        <color theme="1"/>
        <rFont val="Arial"/>
        <charset val="134"/>
        <scheme val="minor"/>
      </rPr>
      <t xml:space="preserve">Cost of sales (A) </t>
    </r>
    <r>
      <rPr>
        <sz val="11"/>
        <color theme="1"/>
        <rFont val="Calibri"/>
        <charset val="134"/>
      </rPr>
      <t>÷ 
Average inventory held during period (B)</t>
    </r>
  </si>
  <si>
    <t>Remarks</t>
  </si>
  <si>
    <t>PROFITABILITY</t>
  </si>
  <si>
    <t>Gross Profit (GP) Margin</t>
  </si>
  <si>
    <t>Profit remaining from sales after a company pays out the cost of goods sold (Direct Costs). To obtain GP margin, gross profit divided by turnover.</t>
  </si>
  <si>
    <t>Turnover</t>
  </si>
  <si>
    <t>Direct costs</t>
  </si>
  <si>
    <t>Gross profit margin means that for every dollar generated in turnover, it is what's left to cover operating costs. The higher the profit margin, the more profitable the company.</t>
  </si>
  <si>
    <t>The Gross Profit Margin is:</t>
  </si>
  <si>
    <t>Operating Profit Margin (Return on Sales)</t>
  </si>
  <si>
    <t>Operating profit margin indicates how effective a company is at controlling the costs and expenses associated with their normal business operations.</t>
  </si>
  <si>
    <t>Operating (loss)/profit</t>
  </si>
  <si>
    <t>To obtain operating profit margin, operating profit divided by turnover. The higher the profit margin, the more operating profit the company is generating from sales</t>
  </si>
  <si>
    <t>The Operating Profit Margin is:</t>
  </si>
  <si>
    <t>Net Profit Margin</t>
  </si>
  <si>
    <t>To obtain net profit margin, net profit divided by turnover. This number is an indication of how effective a company is at cost control.</t>
  </si>
  <si>
    <t>Net (Loss)/Profits After Taxes</t>
  </si>
  <si>
    <t xml:space="preserve"> The higher the net profit margin is, the more effective the company is at converting revenue into actual profit.</t>
  </si>
  <si>
    <t>The Net Profit Margin is:</t>
  </si>
  <si>
    <t>Return on Assets (ROA)</t>
  </si>
  <si>
    <t>To obtain ROA, net profit divided by total assets. It indicates how profitable a company is relative to its total assets</t>
  </si>
  <si>
    <t>The higher the ROA number, the better, as the company is earning more money on less investment.</t>
  </si>
  <si>
    <t>The Return on Assets is:</t>
  </si>
  <si>
    <t>Return on Equity (ROE)</t>
  </si>
  <si>
    <t>To obtain ROE, net profit divided by total stockholders' equity. It measures how a company used re-invested earnings to generate additional earnings to generate profit</t>
  </si>
  <si>
    <t>The higher the ROE, the more efficiently the company generates profit from shareholder's fund.</t>
  </si>
  <si>
    <t>The Return on Equity is:</t>
  </si>
  <si>
    <t>Earnings Per Share (EPS)</t>
  </si>
  <si>
    <t>To obtain EPS, net profit divided by common shares outstanding. Portion of the company's profit allocated to each oustanding share of common stock.</t>
  </si>
  <si>
    <t>Earnings Available to Common Stockholders'</t>
  </si>
  <si>
    <t>Generally, the higher the EPS, the company is generating more value for her shareholders.</t>
  </si>
  <si>
    <t>The Earnings per Share are:</t>
  </si>
  <si>
    <t>Operating Ratio</t>
  </si>
  <si>
    <t>To obtain operating ratio, operating expenses divided by turnover. Measures the cost of operations per dollar of revenue.</t>
  </si>
  <si>
    <t>Operating expenses (OE)</t>
  </si>
  <si>
    <t>Turnover (T)</t>
  </si>
  <si>
    <t>The Operating Ratio is :</t>
  </si>
  <si>
    <t>The smaller the ratio, the greater the organization's ability to generate profit from her spending on operating expenditure</t>
  </si>
  <si>
    <t>LIQUIDITY</t>
  </si>
  <si>
    <t>Current Ratio</t>
  </si>
  <si>
    <t>To obtain current ratio, current assets divided by current liabilities. Indication of the liquidity of the Company.</t>
  </si>
  <si>
    <t>Current Assets (CA)</t>
  </si>
  <si>
    <t>Current Liabilities (CL)</t>
  </si>
  <si>
    <t>It is an important measure of short term liquidity. A higher ratio means greater ability of a company to pay off short term liabilities with her short term (liquid) assets.</t>
  </si>
  <si>
    <t>CA : CL</t>
  </si>
  <si>
    <t>The Current Ratio is :</t>
  </si>
  <si>
    <t>Cash Ratio</t>
  </si>
  <si>
    <t>To obtain cash ratio, cash and cash equivalents, marketable securities divided by current liabilities. Inventories are excluded as it is a less liquid asset.</t>
  </si>
  <si>
    <t>Cash and cash equivalents (C&amp;CE)</t>
  </si>
  <si>
    <t>C&amp;CE : CL</t>
  </si>
  <si>
    <t>Cash ratio is a stricter measure of liquidity. The higher the ratio, the more liquid assets a firm has on hand to pay of short term debts.</t>
  </si>
  <si>
    <t>The Cash Ratio is :</t>
  </si>
  <si>
    <t>Working Capital Turnover</t>
  </si>
  <si>
    <t>Current Asset</t>
  </si>
  <si>
    <t>Current Liability</t>
  </si>
  <si>
    <t>Recommended Current Ratio</t>
  </si>
  <si>
    <t>The Working Capital is:</t>
  </si>
  <si>
    <t>The Recommended Working Capital is:</t>
  </si>
  <si>
    <t>The Working Capital Turnover is:</t>
  </si>
  <si>
    <t>EFFICIENCY</t>
  </si>
  <si>
    <t>Trade Receivable Turnover</t>
  </si>
  <si>
    <t xml:space="preserve">Indicates the efficiency with which a firm manages the credit it issues to customers and collects on that credit. Generally, the higher the turnover, the better the firm is at collecting her debts from her credit sales. </t>
  </si>
  <si>
    <t>Average Trade Receivable</t>
  </si>
  <si>
    <t>The Trade Receivables turnover is:</t>
  </si>
  <si>
    <t>However, too high a turnover could mean it is not extending sufficient credit to her clients.</t>
  </si>
  <si>
    <t>Avg. Trade Receivable Turnover (days)</t>
  </si>
  <si>
    <t>Trade Payable Turnover</t>
  </si>
  <si>
    <t>Indicates the efficiency with which a firm manages the credit it receives from suppliers and pays off her debt. A low Trade Payable Turnover means the company is receiving generous credit terms from her suppliers.</t>
  </si>
  <si>
    <t>COGS</t>
  </si>
  <si>
    <t>Average Trade Payable</t>
  </si>
  <si>
    <t>The Trade Payable turnover is:</t>
  </si>
  <si>
    <t>Too low a turnover could indicate the company is having trouble paying her suppliers.</t>
  </si>
  <si>
    <t>Avg. Trade Payable Turnover (days)</t>
  </si>
  <si>
    <t>Asset Turnover Ratio</t>
  </si>
  <si>
    <t>Indicates how a company efficiently uses its assets to generate sales.</t>
  </si>
  <si>
    <t>The higher the ratio, the more efficient the company is in using its assets.</t>
  </si>
  <si>
    <t>The Asset turnover ratio is:</t>
  </si>
  <si>
    <t>Inventory Turnover Ratio</t>
  </si>
  <si>
    <t>Indicates how a company efficiently manages its inventory to generate sales.</t>
  </si>
  <si>
    <t>Inventory</t>
  </si>
  <si>
    <t>The higher the inventory turnover, the better the inventories are managed.</t>
  </si>
  <si>
    <t>The inventory turnover ratio is:</t>
  </si>
  <si>
    <t>SOLVENCY</t>
  </si>
  <si>
    <t>Debt to Equity Ratio</t>
  </si>
  <si>
    <t>Indicates  the percentage of company financing that comes from creditors and investors.</t>
  </si>
  <si>
    <t>Equity</t>
  </si>
  <si>
    <t>The higher the ratio, the more reliant the company is on external debt</t>
  </si>
  <si>
    <t>The Debt to Equity ratio is:</t>
  </si>
  <si>
    <t>Debt Ratio</t>
  </si>
  <si>
    <t>Indicates a company's ability to pay off its liabilities with its assets</t>
  </si>
  <si>
    <t xml:space="preserve">The higher the ratio, the more leverage the company has. This could make a firm more profitable but increases the possibility of interest rate and default risk. </t>
  </si>
  <si>
    <t>The Debt Ratio is:</t>
  </si>
  <si>
    <t>PRODUCTIVITY</t>
  </si>
  <si>
    <t>Value Added</t>
  </si>
  <si>
    <t>Total Labour Cost</t>
  </si>
  <si>
    <t>The Labour Cost competititveness is:</t>
  </si>
  <si>
    <t>PRODUCTIVITY INDICATORS</t>
  </si>
  <si>
    <t>PROFIT &amp; LOSS STATEMENT ($)</t>
  </si>
  <si>
    <t>Non-Operating expenses (NOE)</t>
  </si>
  <si>
    <t>Depreciation</t>
  </si>
  <si>
    <t>Taxes</t>
  </si>
  <si>
    <t>:: FINANCIAL ANALYSIS REPORT ::</t>
  </si>
  <si>
    <t>Sig change b/mark</t>
  </si>
  <si>
    <t>Significance variance band</t>
  </si>
  <si>
    <t>OVERALL</t>
  </si>
  <si>
    <t>Y3-y2</t>
  </si>
  <si>
    <t>y2-y1</t>
  </si>
  <si>
    <t>OUTPUT</t>
  </si>
  <si>
    <t xml:space="preserve"> </t>
  </si>
  <si>
    <t>PROFITABILITY ANALYSIS</t>
  </si>
  <si>
    <t>LIQUIDITY ANALYSIS</t>
  </si>
  <si>
    <t>Gross Margin</t>
  </si>
  <si>
    <t>Operating Margin</t>
  </si>
  <si>
    <t>Net Margin after Tax</t>
  </si>
  <si>
    <t>ROA</t>
  </si>
  <si>
    <t>ROE</t>
  </si>
  <si>
    <t>Op. Ratio</t>
  </si>
  <si>
    <t>Working K to Total Assets</t>
  </si>
  <si>
    <t>Benchmark</t>
  </si>
  <si>
    <t>EFFICIENCY ANALYSIS</t>
  </si>
  <si>
    <t>SOLVENCY ANALYSIS</t>
  </si>
  <si>
    <t>Trade Receivables (days)</t>
  </si>
  <si>
    <t>Trade Payable (days)</t>
  </si>
  <si>
    <t>Asset Turnover</t>
  </si>
  <si>
    <t>Inventory Turnover</t>
  </si>
  <si>
    <t>Name</t>
  </si>
  <si>
    <t>CustomerName</t>
  </si>
  <si>
    <t>Org. Registration No.</t>
  </si>
  <si>
    <t>Staff Strength</t>
  </si>
  <si>
    <t>Industry</t>
  </si>
</sst>
</file>

<file path=xl/styles.xml><?xml version="1.0" encoding="utf-8"?>
<styleSheet xmlns="http://schemas.openxmlformats.org/spreadsheetml/2006/main">
  <numFmts count="18">
    <numFmt numFmtId="176" formatCode="_-* #,##0_-;\-* #,##0_-;_-* &quot;-&quot;??_-;_-@_-"/>
    <numFmt numFmtId="177" formatCode="_-&quot;$&quot;* #,##0.00_-;\-&quot;$&quot;* #,##0.00_-;_-&quot;$&quot;* &quot;-&quot;??_-;_-@_-"/>
    <numFmt numFmtId="178" formatCode="&quot;$&quot;#,##0_);[Red]\(&quot;$&quot;#,##0\)"/>
    <numFmt numFmtId="179" formatCode="0.0_ "/>
    <numFmt numFmtId="180" formatCode="0.0_);[Red]\(0.0\)"/>
    <numFmt numFmtId="181" formatCode="0.0%"/>
    <numFmt numFmtId="182" formatCode="_(* #,##0_);_(* \(#,##0\);_(* &quot;-&quot;??_);_(@_)"/>
    <numFmt numFmtId="183" formatCode="mmmm\ d\,\ yyyy"/>
    <numFmt numFmtId="41" formatCode="_-* #,##0_-;\-* #,##0_-;_-* &quot;-&quot;_-;_-@_-"/>
    <numFmt numFmtId="184" formatCode="&quot;$&quot;#,##0.00_);[Red]\(&quot;$&quot;#,##0.00\)"/>
    <numFmt numFmtId="185" formatCode="_(* #,##0.00_);_(* \(#,##0.00\);_(* &quot;-&quot;??_);_(@_)"/>
    <numFmt numFmtId="44" formatCode="_-&quot;£&quot;* #,##0.00_-;\-&quot;£&quot;* #,##0.00_-;_-&quot;£&quot;* &quot;-&quot;??_-;_-@_-"/>
    <numFmt numFmtId="186" formatCode="0_ "/>
    <numFmt numFmtId="187" formatCode="_-&quot;₱&quot;* #,##0.00_-;\-&quot;₱&quot;* #,##0.00_-;_-&quot;₱&quot;* &quot;-&quot;??_-;_-@_-"/>
    <numFmt numFmtId="43" formatCode="_-* #,##0.00_-;\-* #,##0.00_-;_-* &quot;-&quot;??_-;_-@_-"/>
    <numFmt numFmtId="188" formatCode="0%_);[Red]\(0%\)"/>
    <numFmt numFmtId="42" formatCode="_-&quot;£&quot;* #,##0_-;\-&quot;£&quot;* #,##0_-;_-&quot;£&quot;* &quot;-&quot;_-;_-@_-"/>
    <numFmt numFmtId="189" formatCode="&quot;$&quot;#,##0.00_);\(&quot;$&quot;#,##0.00\)"/>
  </numFmts>
  <fonts count="54">
    <font>
      <sz val="10"/>
      <color rgb="FF000000"/>
      <name val="Arial"/>
      <charset val="134"/>
    </font>
    <font>
      <b/>
      <sz val="10"/>
      <name val="Arial"/>
      <charset val="134"/>
    </font>
    <font>
      <b/>
      <sz val="9"/>
      <color indexed="9"/>
      <name val="Arial"/>
      <charset val="134"/>
    </font>
    <font>
      <sz val="10"/>
      <name val="Arial"/>
      <charset val="134"/>
    </font>
    <font>
      <b/>
      <sz val="10"/>
      <color indexed="9"/>
      <name val="Arial"/>
      <charset val="134"/>
    </font>
    <font>
      <b/>
      <sz val="14"/>
      <color indexed="9"/>
      <name val="Arial"/>
      <charset val="134"/>
    </font>
    <font>
      <sz val="10"/>
      <color rgb="FFFF0000"/>
      <name val="Arial"/>
      <charset val="134"/>
    </font>
    <font>
      <b/>
      <sz val="10"/>
      <name val="Century Gothic"/>
      <charset val="134"/>
    </font>
    <font>
      <sz val="10"/>
      <name val="Century Gothic"/>
      <charset val="134"/>
    </font>
    <font>
      <i/>
      <sz val="10"/>
      <name val="Century Gothic"/>
      <charset val="134"/>
    </font>
    <font>
      <b/>
      <sz val="14"/>
      <color rgb="FF000000"/>
      <name val="Arial"/>
      <charset val="134"/>
      <scheme val="major"/>
    </font>
    <font>
      <sz val="8"/>
      <color rgb="FF000000"/>
      <name val="Arial"/>
      <charset val="134"/>
      <scheme val="major"/>
    </font>
    <font>
      <sz val="8"/>
      <name val="Arial"/>
      <charset val="134"/>
      <scheme val="major"/>
    </font>
    <font>
      <sz val="11"/>
      <color rgb="FF000000"/>
      <name val="Arial"/>
      <charset val="134"/>
      <scheme val="major"/>
    </font>
    <font>
      <sz val="11"/>
      <name val="Arial"/>
      <charset val="134"/>
      <scheme val="major"/>
    </font>
    <font>
      <b/>
      <sz val="11"/>
      <name val="Arial"/>
      <charset val="134"/>
    </font>
    <font>
      <b/>
      <i/>
      <sz val="11"/>
      <color theme="1"/>
      <name val="Arial"/>
      <charset val="134"/>
      <scheme val="minor"/>
    </font>
    <font>
      <sz val="11"/>
      <name val="Arial"/>
      <charset val="134"/>
    </font>
    <font>
      <b/>
      <sz val="13"/>
      <name val="Arial"/>
      <charset val="134"/>
    </font>
    <font>
      <i/>
      <sz val="11"/>
      <name val="Arial"/>
      <charset val="134"/>
    </font>
    <font>
      <sz val="11"/>
      <color rgb="FFFF0000"/>
      <name val="Arial"/>
      <charset val="134"/>
    </font>
    <font>
      <b/>
      <sz val="10"/>
      <color rgb="FFFF0000"/>
      <name val="Arial"/>
      <charset val="134"/>
    </font>
    <font>
      <sz val="11"/>
      <color theme="1"/>
      <name val="Arial"/>
      <charset val="134"/>
      <scheme val="minor"/>
    </font>
    <font>
      <b/>
      <sz val="16"/>
      <color rgb="FFFFC000"/>
      <name val="Arial"/>
      <charset val="134"/>
      <scheme val="minor"/>
    </font>
    <font>
      <b/>
      <sz val="12"/>
      <color theme="1"/>
      <name val="Century Gothic"/>
      <charset val="134"/>
    </font>
    <font>
      <b/>
      <vertAlign val="superscript"/>
      <sz val="11"/>
      <color theme="1"/>
      <name val="Arial"/>
      <charset val="134"/>
      <scheme val="minor"/>
    </font>
    <font>
      <b/>
      <sz val="11"/>
      <color theme="1"/>
      <name val="Arial"/>
      <charset val="134"/>
      <scheme val="minor"/>
    </font>
    <font>
      <b/>
      <sz val="11"/>
      <name val="Arial"/>
      <charset val="134"/>
      <scheme val="minor"/>
    </font>
    <font>
      <sz val="11"/>
      <name val="Arial"/>
      <charset val="134"/>
      <scheme val="minor"/>
    </font>
    <font>
      <b/>
      <sz val="11"/>
      <color rgb="FF000000"/>
      <name val="Arial"/>
      <charset val="134"/>
    </font>
    <font>
      <sz val="11"/>
      <color rgb="FF000000"/>
      <name val="Arial"/>
      <charset val="134"/>
    </font>
    <font>
      <i/>
      <sz val="9"/>
      <color theme="1"/>
      <name val="Arial"/>
      <charset val="134"/>
      <scheme val="minor"/>
    </font>
    <font>
      <b/>
      <i/>
      <sz val="10"/>
      <color theme="1"/>
      <name val="Arial"/>
      <charset val="134"/>
      <scheme val="minor"/>
    </font>
    <font>
      <u/>
      <sz val="11"/>
      <color rgb="FF0000FF"/>
      <name val="Arial"/>
      <charset val="0"/>
      <scheme val="minor"/>
    </font>
    <font>
      <sz val="11"/>
      <color theme="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u/>
      <sz val="11"/>
      <color rgb="FF800080"/>
      <name val="Arial"/>
      <charset val="0"/>
      <scheme val="minor"/>
    </font>
    <font>
      <sz val="11"/>
      <color theme="1"/>
      <name val="Arial"/>
      <charset val="0"/>
      <scheme val="minor"/>
    </font>
    <font>
      <b/>
      <sz val="11"/>
      <color rgb="FF3F3F3F"/>
      <name val="Arial"/>
      <charset val="0"/>
      <scheme val="minor"/>
    </font>
    <font>
      <sz val="11"/>
      <color rgb="FF006100"/>
      <name val="Arial"/>
      <charset val="0"/>
      <scheme val="minor"/>
    </font>
    <font>
      <sz val="11"/>
      <color rgb="FF3F3F76"/>
      <name val="Arial"/>
      <charset val="0"/>
      <scheme val="minor"/>
    </font>
    <font>
      <b/>
      <sz val="11"/>
      <color theme="3"/>
      <name val="Arial"/>
      <charset val="134"/>
      <scheme val="minor"/>
    </font>
    <font>
      <b/>
      <sz val="15"/>
      <color theme="3"/>
      <name val="Arial"/>
      <charset val="134"/>
      <scheme val="minor"/>
    </font>
    <font>
      <i/>
      <sz val="11"/>
      <color rgb="FF7F7F7F"/>
      <name val="Arial"/>
      <charset val="0"/>
      <scheme val="minor"/>
    </font>
    <font>
      <b/>
      <sz val="11"/>
      <color rgb="FFFA7D00"/>
      <name val="Arial"/>
      <charset val="0"/>
      <scheme val="minor"/>
    </font>
    <font>
      <sz val="11"/>
      <color rgb="FF9C0006"/>
      <name val="Arial"/>
      <charset val="0"/>
      <scheme val="minor"/>
    </font>
    <font>
      <sz val="11"/>
      <color rgb="FF9C6500"/>
      <name val="Arial"/>
      <charset val="0"/>
      <scheme val="minor"/>
    </font>
    <font>
      <b/>
      <sz val="11"/>
      <color theme="1"/>
      <name val="Arial"/>
      <charset val="0"/>
      <scheme val="minor"/>
    </font>
    <font>
      <sz val="11"/>
      <color rgb="FFFA7D00"/>
      <name val="Arial"/>
      <charset val="0"/>
      <scheme val="minor"/>
    </font>
    <font>
      <b/>
      <sz val="18"/>
      <color theme="3"/>
      <name val="Arial"/>
      <charset val="134"/>
      <scheme val="minor"/>
    </font>
    <font>
      <sz val="9"/>
      <color theme="1"/>
      <name val="Arial"/>
      <charset val="134"/>
      <scheme val="minor"/>
    </font>
    <font>
      <sz val="11"/>
      <color theme="1"/>
      <name val="Calibri"/>
      <charset val="134"/>
    </font>
  </fonts>
  <fills count="4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theme="4" tint="0.799981688894314"/>
        <bgColor indexed="64"/>
      </patternFill>
    </fill>
    <fill>
      <patternFill patternType="solid">
        <fgColor indexed="9"/>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indexed="47"/>
        <bgColor indexed="64"/>
      </patternFill>
    </fill>
    <fill>
      <patternFill patternType="solid">
        <fgColor theme="4" tint="0.599993896298105"/>
        <bgColor indexed="64"/>
      </patternFill>
    </fill>
    <fill>
      <patternFill patternType="solid">
        <fgColor rgb="FFFFFFFF"/>
        <bgColor rgb="FFFFFFFF"/>
      </patternFill>
    </fill>
    <fill>
      <patternFill patternType="solid">
        <fgColor rgb="FFBD92DE"/>
        <bgColor indexed="64"/>
      </patternFill>
    </fill>
    <fill>
      <patternFill patternType="solid">
        <fgColor theme="4"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8CBAD"/>
        <bgColor rgb="FF000000"/>
      </patternFill>
    </fill>
    <fill>
      <patternFill patternType="solid">
        <fgColor rgb="FFFFFFFF"/>
        <bgColor rgb="FF000000"/>
      </patternFill>
    </fill>
    <fill>
      <patternFill patternType="solid">
        <fgColor rgb="FFCBEDAF"/>
        <bgColor rgb="FF000000"/>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rgb="FFFFC7CE"/>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s>
  <borders count="305">
    <border>
      <left/>
      <right/>
      <top/>
      <bottom/>
      <diagonal/>
    </border>
    <border>
      <left style="thin">
        <color rgb="FF002060"/>
      </left>
      <right/>
      <top/>
      <bottom/>
      <diagonal/>
    </border>
    <border>
      <left/>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4" tint="-0.249946592608417"/>
      </bottom>
      <diagonal/>
    </border>
    <border>
      <left style="thick">
        <color theme="4"/>
      </left>
      <right/>
      <top style="thick">
        <color theme="4"/>
      </top>
      <bottom/>
      <diagonal/>
    </border>
    <border>
      <left style="thick">
        <color theme="4"/>
      </left>
      <right/>
      <top/>
      <bottom/>
      <diagonal/>
    </border>
    <border>
      <left style="thick">
        <color theme="4"/>
      </left>
      <right/>
      <top/>
      <bottom style="thick">
        <color theme="4"/>
      </bottom>
      <diagonal/>
    </border>
    <border>
      <left/>
      <right/>
      <top style="thick">
        <color rgb="FFFF0000"/>
      </top>
      <bottom/>
      <diagonal/>
    </border>
    <border>
      <left/>
      <right style="thin">
        <color rgb="FFFF0000"/>
      </right>
      <top/>
      <bottom/>
      <diagonal/>
    </border>
    <border>
      <left style="thin">
        <color rgb="FFFF0000"/>
      </left>
      <right/>
      <top/>
      <bottom/>
      <diagonal/>
    </border>
    <border>
      <left/>
      <right style="thin">
        <color rgb="FFFF0000"/>
      </right>
      <top/>
      <bottom style="thick">
        <color rgb="FFFF0000"/>
      </bottom>
      <diagonal/>
    </border>
    <border>
      <left style="thin">
        <color rgb="FFFF0000"/>
      </left>
      <right/>
      <top/>
      <bottom style="thick">
        <color rgb="FFFF0000"/>
      </bottom>
      <diagonal/>
    </border>
    <border>
      <left/>
      <right/>
      <top style="thick">
        <color theme="4"/>
      </top>
      <bottom/>
      <diagonal/>
    </border>
    <border>
      <left/>
      <right/>
      <top/>
      <bottom style="thick">
        <color theme="4"/>
      </bottom>
      <diagonal/>
    </border>
    <border>
      <left style="thin">
        <color theme="4"/>
      </left>
      <right style="thin">
        <color theme="4"/>
      </right>
      <top/>
      <bottom/>
      <diagonal/>
    </border>
    <border>
      <left style="thin">
        <color theme="4"/>
      </left>
      <right style="thin">
        <color theme="4"/>
      </right>
      <top/>
      <bottom style="thick">
        <color theme="4"/>
      </bottom>
      <diagonal/>
    </border>
    <border>
      <left/>
      <right style="thick">
        <color theme="4"/>
      </right>
      <top style="thick">
        <color theme="4"/>
      </top>
      <bottom/>
      <diagonal/>
    </border>
    <border>
      <left/>
      <right style="thick">
        <color theme="4"/>
      </right>
      <top/>
      <bottom/>
      <diagonal/>
    </border>
    <border>
      <left/>
      <right style="thick">
        <color theme="4"/>
      </right>
      <top/>
      <bottom style="thick">
        <color theme="4"/>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right/>
      <top/>
      <bottom style="medium">
        <color auto="1"/>
      </bottom>
      <diagonal/>
    </border>
    <border>
      <left style="thick">
        <color theme="2" tint="-0.749961851863155"/>
      </left>
      <right/>
      <top style="thick">
        <color theme="2" tint="-0.749961851863155"/>
      </top>
      <bottom/>
      <diagonal/>
    </border>
    <border>
      <left/>
      <right/>
      <top style="thick">
        <color theme="2" tint="-0.749961851863155"/>
      </top>
      <bottom/>
      <diagonal/>
    </border>
    <border>
      <left style="thick">
        <color theme="2" tint="-0.749961851863155"/>
      </left>
      <right/>
      <top/>
      <bottom/>
      <diagonal/>
    </border>
    <border>
      <left style="thick">
        <color theme="2" tint="-0.749961851863155"/>
      </left>
      <right/>
      <top/>
      <bottom style="thick">
        <color theme="2" tint="-0.749961851863155"/>
      </bottom>
      <diagonal/>
    </border>
    <border>
      <left/>
      <right/>
      <top/>
      <bottom style="thick">
        <color theme="2" tint="-0.749961851863155"/>
      </bottom>
      <diagonal/>
    </border>
    <border>
      <left/>
      <right/>
      <top/>
      <bottom style="thick">
        <color rgb="FF7030A0"/>
      </bottom>
      <diagonal/>
    </border>
    <border>
      <left style="thick">
        <color rgb="FF7030A0"/>
      </left>
      <right/>
      <top style="thick">
        <color rgb="FF7030A0"/>
      </top>
      <bottom/>
      <diagonal/>
    </border>
    <border>
      <left/>
      <right/>
      <top style="thick">
        <color rgb="FF7030A0"/>
      </top>
      <bottom/>
      <diagonal/>
    </border>
    <border>
      <left style="thick">
        <color rgb="FF7030A0"/>
      </left>
      <right/>
      <top/>
      <bottom/>
      <diagonal/>
    </border>
    <border>
      <left style="thick">
        <color rgb="FF7030A0"/>
      </left>
      <right/>
      <top/>
      <bottom style="thick">
        <color rgb="FF7030A0"/>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ck">
        <color theme="2" tint="-0.749961851863155"/>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n">
        <color theme="2" tint="-0.749961851863155"/>
      </left>
      <right/>
      <top/>
      <bottom/>
      <diagonal/>
    </border>
    <border>
      <left style="thin">
        <color theme="2" tint="-0.749961851863155"/>
      </left>
      <right/>
      <top/>
      <bottom style="thick">
        <color theme="2" tint="-0.749961851863155"/>
      </bottom>
      <diagonal/>
    </border>
    <border>
      <left/>
      <right style="thick">
        <color rgb="FF7030A0"/>
      </right>
      <top style="thick">
        <color rgb="FF7030A0"/>
      </top>
      <bottom/>
      <diagonal/>
    </border>
    <border>
      <left style="thin">
        <color rgb="FF7030A0"/>
      </left>
      <right style="thick">
        <color rgb="FF7030A0"/>
      </right>
      <top/>
      <bottom/>
      <diagonal/>
    </border>
    <border>
      <left style="thin">
        <color rgb="FF7030A0"/>
      </left>
      <right style="thick">
        <color rgb="FF7030A0"/>
      </right>
      <top/>
      <bottom style="thick">
        <color rgb="FF7030A0"/>
      </bottom>
      <diagonal/>
    </border>
    <border>
      <left/>
      <right style="thick">
        <color theme="2" tint="-0.749961851863155"/>
      </right>
      <top style="thick">
        <color theme="2" tint="-0.749961851863155"/>
      </top>
      <bottom/>
      <diagonal/>
    </border>
    <border>
      <left/>
      <right style="thick">
        <color theme="2" tint="-0.749961851863155"/>
      </right>
      <top/>
      <bottom/>
      <diagonal/>
    </border>
    <border>
      <left/>
      <right style="thick">
        <color theme="2" tint="-0.749961851863155"/>
      </right>
      <top/>
      <bottom style="thick">
        <color theme="2" tint="-0.749961851863155"/>
      </bottom>
      <diagonal/>
    </border>
    <border>
      <left style="medium">
        <color theme="9"/>
      </left>
      <right/>
      <top style="medium">
        <color theme="9"/>
      </top>
      <bottom style="medium">
        <color theme="9"/>
      </bottom>
      <diagonal/>
    </border>
    <border>
      <left/>
      <right/>
      <top style="medium">
        <color theme="9"/>
      </top>
      <bottom style="medium">
        <color theme="9"/>
      </bottom>
      <diagonal/>
    </border>
    <border>
      <left style="medium">
        <color theme="9"/>
      </left>
      <right/>
      <top style="medium">
        <color theme="9"/>
      </top>
      <bottom/>
      <diagonal/>
    </border>
    <border>
      <left style="medium">
        <color theme="9" tint="-0.249977111117893"/>
      </left>
      <right style="medium">
        <color theme="9" tint="-0.249977111117893"/>
      </right>
      <top style="medium">
        <color theme="9"/>
      </top>
      <bottom/>
      <diagonal/>
    </border>
    <border>
      <left style="medium">
        <color theme="9"/>
      </left>
      <right/>
      <top/>
      <bottom/>
      <diagonal/>
    </border>
    <border>
      <left style="medium">
        <color theme="9" tint="-0.249977111117893"/>
      </left>
      <right style="medium">
        <color theme="9" tint="-0.249977111117893"/>
      </right>
      <top/>
      <bottom/>
      <diagonal/>
    </border>
    <border>
      <left style="medium">
        <color theme="9"/>
      </left>
      <right/>
      <top/>
      <bottom style="medium">
        <color theme="9"/>
      </bottom>
      <diagonal/>
    </border>
    <border>
      <left style="medium">
        <color theme="9" tint="-0.249977111117893"/>
      </left>
      <right style="medium">
        <color theme="9" tint="-0.249977111117893"/>
      </right>
      <top/>
      <bottom style="medium">
        <color theme="9"/>
      </bottom>
      <diagonal/>
    </border>
    <border>
      <left style="medium">
        <color theme="8" tint="-0.249946592608417"/>
      </left>
      <right/>
      <top style="medium">
        <color theme="8" tint="-0.249946592608417"/>
      </top>
      <bottom/>
      <diagonal/>
    </border>
    <border>
      <left/>
      <right/>
      <top style="medium">
        <color theme="8" tint="-0.249946592608417"/>
      </top>
      <bottom/>
      <diagonal/>
    </border>
    <border>
      <left style="medium">
        <color theme="8" tint="-0.249946592608417"/>
      </left>
      <right style="medium">
        <color theme="8" tint="-0.249946592608417"/>
      </right>
      <top style="medium">
        <color theme="8" tint="-0.249946592608417"/>
      </top>
      <bottom/>
      <diagonal/>
    </border>
    <border>
      <left style="medium">
        <color theme="8" tint="-0.249946592608417"/>
      </left>
      <right style="medium">
        <color theme="8" tint="-0.249946592608417"/>
      </right>
      <top/>
      <bottom/>
      <diagonal/>
    </border>
    <border>
      <left style="medium">
        <color theme="8" tint="-0.249946592608417"/>
      </left>
      <right style="medium">
        <color theme="8" tint="-0.249946592608417"/>
      </right>
      <top/>
      <bottom style="medium">
        <color theme="8" tint="-0.249946592608417"/>
      </bottom>
      <diagonal/>
    </border>
    <border>
      <left/>
      <right style="medium">
        <color theme="9"/>
      </right>
      <top style="medium">
        <color theme="9"/>
      </top>
      <bottom style="medium">
        <color theme="9"/>
      </bottom>
      <diagonal/>
    </border>
    <border>
      <left style="medium">
        <color theme="9" tint="-0.249977111117893"/>
      </left>
      <right style="medium">
        <color theme="9"/>
      </right>
      <top style="medium">
        <color theme="9"/>
      </top>
      <bottom/>
      <diagonal/>
    </border>
    <border>
      <left style="medium">
        <color theme="9" tint="-0.249977111117893"/>
      </left>
      <right style="medium">
        <color theme="9"/>
      </right>
      <top/>
      <bottom/>
      <diagonal/>
    </border>
    <border>
      <left style="medium">
        <color theme="9" tint="-0.249977111117893"/>
      </left>
      <right style="medium">
        <color theme="9"/>
      </right>
      <top/>
      <bottom style="medium">
        <color theme="9"/>
      </bottom>
      <diagonal/>
    </border>
    <border>
      <left/>
      <right/>
      <top/>
      <bottom style="thick">
        <color auto="1"/>
      </bottom>
      <diagonal/>
    </border>
    <border>
      <left style="thick">
        <color theme="8" tint="-0.249946592608417"/>
      </left>
      <right style="medium">
        <color theme="8" tint="0.599963377788629"/>
      </right>
      <top style="thick">
        <color theme="8" tint="-0.249946592608417"/>
      </top>
      <bottom style="medium">
        <color theme="8" tint="0.599963377788629"/>
      </bottom>
      <diagonal/>
    </border>
    <border>
      <left style="medium">
        <color theme="8" tint="0.599963377788629"/>
      </left>
      <right style="medium">
        <color theme="8" tint="0.599963377788629"/>
      </right>
      <top style="thick">
        <color theme="8" tint="-0.249946592608417"/>
      </top>
      <bottom style="medium">
        <color theme="8" tint="0.599963377788629"/>
      </bottom>
      <diagonal/>
    </border>
    <border>
      <left style="medium">
        <color theme="8" tint="0.599963377788629"/>
      </left>
      <right/>
      <top style="thick">
        <color theme="8" tint="-0.249946592608417"/>
      </top>
      <bottom style="medium">
        <color theme="8" tint="0.599963377788629"/>
      </bottom>
      <diagonal/>
    </border>
    <border>
      <left style="thick">
        <color theme="8" tint="-0.249946592608417"/>
      </left>
      <right/>
      <top style="medium">
        <color theme="8" tint="0.599963377788629"/>
      </top>
      <bottom style="medium">
        <color theme="8" tint="0.599963377788629"/>
      </bottom>
      <diagonal/>
    </border>
    <border>
      <left/>
      <right style="medium">
        <color theme="8" tint="0.599963377788629"/>
      </right>
      <top style="medium">
        <color theme="8" tint="0.599963377788629"/>
      </top>
      <bottom style="medium">
        <color theme="8" tint="0.599963377788629"/>
      </bottom>
      <diagonal/>
    </border>
    <border>
      <left style="medium">
        <color theme="8" tint="0.599963377788629"/>
      </left>
      <right/>
      <top style="medium">
        <color theme="8" tint="0.599963377788629"/>
      </top>
      <bottom style="medium">
        <color theme="8" tint="0.599963377788629"/>
      </bottom>
      <diagonal/>
    </border>
    <border>
      <left style="thick">
        <color theme="8" tint="-0.249946592608417"/>
      </left>
      <right/>
      <top style="medium">
        <color theme="8" tint="0.599963377788629"/>
      </top>
      <bottom/>
      <diagonal/>
    </border>
    <border>
      <left/>
      <right style="medium">
        <color theme="8" tint="0.599963377788629"/>
      </right>
      <top style="medium">
        <color theme="8" tint="0.599963377788629"/>
      </top>
      <bottom/>
      <diagonal/>
    </border>
    <border>
      <left style="medium">
        <color theme="8" tint="0.599963377788629"/>
      </left>
      <right/>
      <top style="medium">
        <color theme="8" tint="0.599963377788629"/>
      </top>
      <bottom/>
      <diagonal/>
    </border>
    <border>
      <left style="thick">
        <color theme="8" tint="-0.249946592608417"/>
      </left>
      <right/>
      <top/>
      <bottom style="thick">
        <color theme="8" tint="-0.249946592608417"/>
      </bottom>
      <diagonal/>
    </border>
    <border>
      <left/>
      <right style="medium">
        <color theme="8" tint="0.599963377788629"/>
      </right>
      <top/>
      <bottom style="thick">
        <color theme="8" tint="-0.249946592608417"/>
      </bottom>
      <diagonal/>
    </border>
    <border>
      <left style="medium">
        <color theme="8" tint="0.599963377788629"/>
      </left>
      <right/>
      <top/>
      <bottom style="thick">
        <color theme="8" tint="-0.249946592608417"/>
      </bottom>
      <diagonal/>
    </border>
    <border>
      <left style="thick">
        <color theme="9" tint="-0.499984740745262"/>
      </left>
      <right/>
      <top style="thick">
        <color theme="9" tint="-0.499984740745262"/>
      </top>
      <bottom/>
      <diagonal/>
    </border>
    <border>
      <left/>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style="thick">
        <color theme="9" tint="-0.499984740745262"/>
      </left>
      <right/>
      <top/>
      <bottom/>
      <diagonal/>
    </border>
    <border>
      <left/>
      <right/>
      <top style="thick">
        <color theme="8" tint="-0.249946592608417"/>
      </top>
      <bottom style="medium">
        <color theme="8" tint="0.599963377788629"/>
      </bottom>
      <diagonal/>
    </border>
    <border>
      <left/>
      <right style="thick">
        <color theme="8" tint="-0.249946592608417"/>
      </right>
      <top style="thick">
        <color theme="8" tint="-0.249946592608417"/>
      </top>
      <bottom style="medium">
        <color theme="8" tint="0.599963377788629"/>
      </bottom>
      <diagonal/>
    </border>
    <border>
      <left/>
      <right/>
      <top style="medium">
        <color theme="8" tint="0.599963377788629"/>
      </top>
      <bottom style="medium">
        <color theme="8" tint="0.599963377788629"/>
      </bottom>
      <diagonal/>
    </border>
    <border>
      <left/>
      <right style="thick">
        <color theme="8" tint="-0.249946592608417"/>
      </right>
      <top style="medium">
        <color theme="8" tint="0.599963377788629"/>
      </top>
      <bottom style="medium">
        <color theme="8" tint="0.599963377788629"/>
      </bottom>
      <diagonal/>
    </border>
    <border>
      <left/>
      <right/>
      <top style="medium">
        <color theme="8" tint="0.599963377788629"/>
      </top>
      <bottom/>
      <diagonal/>
    </border>
    <border>
      <left/>
      <right style="thick">
        <color theme="8" tint="-0.249946592608417"/>
      </right>
      <top style="medium">
        <color theme="8" tint="0.599963377788629"/>
      </top>
      <bottom/>
      <diagonal/>
    </border>
    <border>
      <left/>
      <right/>
      <top/>
      <bottom style="thick">
        <color theme="8" tint="-0.249946592608417"/>
      </bottom>
      <diagonal/>
    </border>
    <border>
      <left/>
      <right style="thick">
        <color theme="8" tint="-0.249946592608417"/>
      </right>
      <top/>
      <bottom style="thick">
        <color theme="8" tint="-0.249946592608417"/>
      </bottom>
      <diagonal/>
    </border>
    <border>
      <left/>
      <right style="thick">
        <color theme="9" tint="-0.499984740745262"/>
      </right>
      <top style="thick">
        <color theme="9" tint="-0.499984740745262"/>
      </top>
      <bottom/>
      <diagonal/>
    </border>
    <border>
      <left/>
      <right style="thick">
        <color theme="9" tint="-0.499984740745262"/>
      </right>
      <top/>
      <bottom style="thick">
        <color theme="9" tint="-0.499984740745262"/>
      </bottom>
      <diagonal/>
    </border>
    <border>
      <left/>
      <right style="thick">
        <color theme="9" tint="-0.499984740745262"/>
      </right>
      <top/>
      <bottom/>
      <diagonal/>
    </border>
    <border>
      <left style="medium">
        <color rgb="FFFF0000"/>
      </left>
      <right style="thin">
        <color auto="1"/>
      </right>
      <top style="medium">
        <color rgb="FFFF0000"/>
      </top>
      <bottom/>
      <diagonal/>
    </border>
    <border>
      <left/>
      <right/>
      <top style="medium">
        <color rgb="FFFF0000"/>
      </top>
      <bottom/>
      <diagonal/>
    </border>
    <border>
      <left style="medium">
        <color rgb="FFFF0000"/>
      </left>
      <right style="thin">
        <color auto="1"/>
      </right>
      <top/>
      <bottom/>
      <diagonal/>
    </border>
    <border>
      <left style="thin">
        <color auto="1"/>
      </left>
      <right style="thin">
        <color auto="1"/>
      </right>
      <top style="thin">
        <color auto="1"/>
      </top>
      <bottom style="thin">
        <color auto="1"/>
      </bottom>
      <diagonal/>
    </border>
    <border>
      <left style="medium">
        <color rgb="FFFF0000"/>
      </left>
      <right/>
      <top/>
      <bottom/>
      <diagonal/>
    </border>
    <border>
      <left style="thin">
        <color auto="1"/>
      </left>
      <right/>
      <top/>
      <bottom/>
      <diagonal/>
    </border>
    <border>
      <left/>
      <right/>
      <top/>
      <bottom style="medium">
        <color rgb="FFFF0000"/>
      </bottom>
      <diagonal/>
    </border>
    <border>
      <left style="medium">
        <color rgb="FFFF0000"/>
      </left>
      <right style="thin">
        <color auto="1"/>
      </right>
      <top/>
      <bottom style="medium">
        <color rgb="FFFF0000"/>
      </bottom>
      <diagonal/>
    </border>
    <border>
      <left style="thin">
        <color auto="1"/>
      </left>
      <right style="thin">
        <color auto="1"/>
      </right>
      <top style="thin">
        <color auto="1"/>
      </top>
      <bottom style="medium">
        <color rgb="FFFF0000"/>
      </bottom>
      <diagonal/>
    </border>
    <border>
      <left style="medium">
        <color theme="9" tint="-0.249946592608417"/>
      </left>
      <right style="medium">
        <color theme="9" tint="-0.249946592608417"/>
      </right>
      <top style="medium">
        <color theme="9" tint="-0.249946592608417"/>
      </top>
      <bottom/>
      <diagonal/>
    </border>
    <border>
      <left/>
      <right/>
      <top style="medium">
        <color theme="9" tint="-0.249946592608417"/>
      </top>
      <bottom/>
      <diagonal/>
    </border>
    <border>
      <left style="medium">
        <color theme="9" tint="-0.249946592608417"/>
      </left>
      <right style="medium">
        <color theme="9" tint="-0.249946592608417"/>
      </right>
      <top/>
      <bottom/>
      <diagonal/>
    </border>
    <border>
      <left style="medium">
        <color theme="9" tint="-0.249946592608417"/>
      </left>
      <right style="medium">
        <color theme="9" tint="-0.249946592608417"/>
      </right>
      <top/>
      <bottom style="medium">
        <color theme="9" tint="-0.249946592608417"/>
      </bottom>
      <diagonal/>
    </border>
    <border>
      <left/>
      <right/>
      <top/>
      <bottom style="medium">
        <color theme="9" tint="-0.249946592608417"/>
      </bottom>
      <diagonal/>
    </border>
    <border>
      <left style="thin">
        <color auto="1"/>
      </left>
      <right style="thin">
        <color auto="1"/>
      </right>
      <top style="thin">
        <color auto="1"/>
      </top>
      <bottom style="medium">
        <color theme="9" tint="-0.249946592608417"/>
      </bottom>
      <diagonal/>
    </border>
    <border>
      <left style="medium">
        <color theme="8" tint="-0.249946592608417"/>
      </left>
      <right style="thin">
        <color auto="1"/>
      </right>
      <top style="medium">
        <color theme="8" tint="-0.249946592608417"/>
      </top>
      <bottom/>
      <diagonal/>
    </border>
    <border>
      <left style="medium">
        <color theme="8" tint="-0.249946592608417"/>
      </left>
      <right style="thin">
        <color auto="1"/>
      </right>
      <top/>
      <bottom/>
      <diagonal/>
    </border>
    <border>
      <left style="thin">
        <color rgb="FF000000"/>
      </left>
      <right style="medium">
        <color rgb="FFFF0000"/>
      </right>
      <top style="medium">
        <color rgb="FFFF0000"/>
      </top>
      <bottom/>
      <diagonal/>
    </border>
    <border>
      <left style="thin">
        <color rgb="FF000000"/>
      </left>
      <right style="medium">
        <color rgb="FFFF0000"/>
      </right>
      <top/>
      <bottom/>
      <diagonal/>
    </border>
    <border>
      <left style="thin">
        <color rgb="FF000000"/>
      </left>
      <right style="medium">
        <color rgb="FFFF0000"/>
      </right>
      <top/>
      <bottom style="thin">
        <color rgb="FF000000"/>
      </bottom>
      <diagonal/>
    </border>
    <border>
      <left style="thin">
        <color rgb="FF000000"/>
      </left>
      <right style="medium">
        <color rgb="FFFF0000"/>
      </right>
      <top style="thin">
        <color rgb="FF000000"/>
      </top>
      <bottom/>
      <diagonal/>
    </border>
    <border>
      <left/>
      <right style="medium">
        <color rgb="FFFF0000"/>
      </right>
      <top/>
      <bottom/>
      <diagonal/>
    </border>
    <border>
      <left/>
      <right style="medium">
        <color rgb="FFFF0000"/>
      </right>
      <top/>
      <bottom style="medium">
        <color rgb="FFFF0000"/>
      </bottom>
      <diagonal/>
    </border>
    <border>
      <left style="thin">
        <color rgb="FF000000"/>
      </left>
      <right style="medium">
        <color rgb="FF548135"/>
      </right>
      <top style="medium">
        <color rgb="FF548135"/>
      </top>
      <bottom/>
      <diagonal/>
    </border>
    <border>
      <left style="thin">
        <color rgb="FF000000"/>
      </left>
      <right style="medium">
        <color rgb="FF548135"/>
      </right>
      <top/>
      <bottom/>
      <diagonal/>
    </border>
    <border>
      <left style="thin">
        <color rgb="FF000000"/>
      </left>
      <right style="medium">
        <color rgb="FF548135"/>
      </right>
      <top style="thin">
        <color rgb="FF000000"/>
      </top>
      <bottom/>
      <diagonal/>
    </border>
    <border>
      <left style="thin">
        <color auto="1"/>
      </left>
      <right style="medium">
        <color theme="9" tint="-0.249946592608417"/>
      </right>
      <top style="thin">
        <color auto="1"/>
      </top>
      <bottom/>
      <diagonal/>
    </border>
    <border>
      <left style="thin">
        <color auto="1"/>
      </left>
      <right style="medium">
        <color theme="9" tint="-0.249946592608417"/>
      </right>
      <top/>
      <bottom/>
      <diagonal/>
    </border>
    <border>
      <left style="thin">
        <color auto="1"/>
      </left>
      <right style="medium">
        <color theme="9" tint="-0.249946592608417"/>
      </right>
      <top/>
      <bottom style="thin">
        <color auto="1"/>
      </bottom>
      <diagonal/>
    </border>
    <border>
      <left/>
      <right style="medium">
        <color theme="9" tint="-0.249946592608417"/>
      </right>
      <top/>
      <bottom style="medium">
        <color theme="9" tint="-0.249946592608417"/>
      </bottom>
      <diagonal/>
    </border>
    <border>
      <left style="thin">
        <color rgb="FF000000"/>
      </left>
      <right style="medium">
        <color rgb="FF2F5496"/>
      </right>
      <top style="medium">
        <color rgb="FF2F5496"/>
      </top>
      <bottom/>
      <diagonal/>
    </border>
    <border>
      <left style="thin">
        <color rgb="FF000000"/>
      </left>
      <right style="medium">
        <color rgb="FF2F5496"/>
      </right>
      <top/>
      <bottom/>
      <diagonal/>
    </border>
    <border>
      <left style="medium">
        <color theme="8" tint="-0.249946592608417"/>
      </left>
      <right style="thin">
        <color auto="1"/>
      </right>
      <top/>
      <bottom style="medium">
        <color theme="8" tint="-0.249946592608417"/>
      </bottom>
      <diagonal/>
    </border>
    <border>
      <left/>
      <right/>
      <top/>
      <bottom style="medium">
        <color theme="8" tint="-0.249946592608417"/>
      </bottom>
      <diagonal/>
    </border>
    <border>
      <left style="thin">
        <color auto="1"/>
      </left>
      <right style="thin">
        <color auto="1"/>
      </right>
      <top style="thin">
        <color auto="1"/>
      </top>
      <bottom style="medium">
        <color theme="8" tint="-0.249946592608417"/>
      </bottom>
      <diagonal/>
    </border>
    <border>
      <left style="thick">
        <color rgb="FF7030A0"/>
      </left>
      <right style="thin">
        <color auto="1"/>
      </right>
      <top style="thick">
        <color rgb="FF7030A0"/>
      </top>
      <bottom/>
      <diagonal/>
    </border>
    <border>
      <left style="thick">
        <color rgb="FF7030A0"/>
      </left>
      <right style="thin">
        <color auto="1"/>
      </right>
      <top/>
      <bottom/>
      <diagonal/>
    </border>
    <border>
      <left style="thick">
        <color rgb="FF7030A0"/>
      </left>
      <right style="thin">
        <color auto="1"/>
      </right>
      <top/>
      <bottom style="thick">
        <color rgb="FF7030A0"/>
      </bottom>
      <diagonal/>
    </border>
    <border>
      <left style="thin">
        <color auto="1"/>
      </left>
      <right style="thin">
        <color auto="1"/>
      </right>
      <top style="thin">
        <color auto="1"/>
      </top>
      <bottom style="thick">
        <color rgb="FF7030A0"/>
      </bottom>
      <diagonal/>
    </border>
    <border>
      <left style="thin">
        <color rgb="FF000000"/>
      </left>
      <right style="medium">
        <color rgb="FF2F5496"/>
      </right>
      <top/>
      <bottom style="thin">
        <color rgb="FF000000"/>
      </bottom>
      <diagonal/>
    </border>
    <border>
      <left/>
      <right style="medium">
        <color rgb="FF2F5496"/>
      </right>
      <top style="thin">
        <color rgb="FF000000"/>
      </top>
      <bottom style="thin">
        <color rgb="FF000000"/>
      </bottom>
      <diagonal/>
    </border>
    <border>
      <left style="thin">
        <color rgb="FF000000"/>
      </left>
      <right style="medium">
        <color rgb="FF2F5496"/>
      </right>
      <top style="thin">
        <color rgb="FF000000"/>
      </top>
      <bottom/>
      <diagonal/>
    </border>
    <border>
      <left/>
      <right style="medium">
        <color rgb="FF2F5496"/>
      </right>
      <top/>
      <bottom/>
      <diagonal/>
    </border>
    <border>
      <left style="thin">
        <color rgb="FF000000"/>
      </left>
      <right style="medium">
        <color rgb="FF2F5496"/>
      </right>
      <top/>
      <bottom style="medium">
        <color rgb="FF2F5496"/>
      </bottom>
      <diagonal/>
    </border>
    <border>
      <left style="thin">
        <color rgb="FF000000"/>
      </left>
      <right style="thick">
        <color rgb="FF7030A0"/>
      </right>
      <top style="thick">
        <color rgb="FF7030A0"/>
      </top>
      <bottom/>
      <diagonal/>
    </border>
    <border>
      <left style="thin">
        <color rgb="FF000000"/>
      </left>
      <right style="thick">
        <color rgb="FF7030A0"/>
      </right>
      <top/>
      <bottom/>
      <diagonal/>
    </border>
    <border>
      <left style="thin">
        <color rgb="FF000000"/>
      </left>
      <right style="thick">
        <color rgb="FF7030A0"/>
      </right>
      <top/>
      <bottom style="thin">
        <color rgb="FF000000"/>
      </bottom>
      <diagonal/>
    </border>
    <border>
      <left/>
      <right style="thick">
        <color rgb="FF7030A0"/>
      </right>
      <top/>
      <bottom/>
      <diagonal/>
    </border>
    <border>
      <left style="thin">
        <color rgb="FF000000"/>
      </left>
      <right style="thick">
        <color rgb="FF7030A0"/>
      </right>
      <top style="thin">
        <color rgb="FF000000"/>
      </top>
      <bottom/>
      <diagonal/>
    </border>
    <border>
      <left style="thin">
        <color rgb="FF000000"/>
      </left>
      <right style="thick">
        <color rgb="FF7030A0"/>
      </right>
      <top/>
      <bottom style="thick">
        <color rgb="FF7030A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5" tint="0.399975585192419"/>
      </left>
      <right/>
      <top style="medium">
        <color theme="5" tint="0.399975585192419"/>
      </top>
      <bottom style="thin">
        <color theme="5" tint="0.399975585192419"/>
      </bottom>
      <diagonal/>
    </border>
    <border>
      <left/>
      <right/>
      <top style="medium">
        <color theme="5" tint="0.399975585192419"/>
      </top>
      <bottom style="thin">
        <color theme="5" tint="0.399975585192419"/>
      </bottom>
      <diagonal/>
    </border>
    <border>
      <left style="medium">
        <color theme="5" tint="0.399975585192419"/>
      </left>
      <right/>
      <top style="thin">
        <color theme="5" tint="0.399975585192419"/>
      </top>
      <bottom style="thin">
        <color theme="5" tint="0.399975585192419"/>
      </bottom>
      <diagonal/>
    </border>
    <border>
      <left/>
      <right/>
      <top style="thin">
        <color theme="5" tint="0.399975585192419"/>
      </top>
      <bottom style="thin">
        <color theme="5" tint="0.399975585192419"/>
      </bottom>
      <diagonal/>
    </border>
    <border>
      <left style="medium">
        <color theme="5" tint="0.399975585192419"/>
      </left>
      <right/>
      <top style="thin">
        <color theme="5" tint="0.399975585192419"/>
      </top>
      <bottom style="medium">
        <color theme="5" tint="0.399975585192419"/>
      </bottom>
      <diagonal/>
    </border>
    <border>
      <left/>
      <right/>
      <top style="thin">
        <color theme="5" tint="0.399975585192419"/>
      </top>
      <bottom style="medium">
        <color theme="5" tint="0.399975585192419"/>
      </bottom>
      <diagonal/>
    </border>
    <border>
      <left style="medium">
        <color theme="0"/>
      </left>
      <right style="medium">
        <color theme="0"/>
      </right>
      <top style="medium">
        <color theme="0"/>
      </top>
      <bottom style="medium">
        <color theme="0"/>
      </bottom>
      <diagonal/>
    </border>
    <border>
      <left style="medium">
        <color theme="5" tint="0.399975585192419"/>
      </left>
      <right style="thin">
        <color theme="5" tint="0.399975585192419"/>
      </right>
      <top style="medium">
        <color theme="5" tint="0.399975585192419"/>
      </top>
      <bottom style="thin">
        <color theme="5" tint="0.399975585192419"/>
      </bottom>
      <diagonal/>
    </border>
    <border>
      <left style="thin">
        <color theme="5" tint="0.399975585192419"/>
      </left>
      <right/>
      <top style="thin">
        <color theme="5" tint="0.399975585192419"/>
      </top>
      <bottom style="thin">
        <color theme="5" tint="0.399975585192419"/>
      </bottom>
      <diagonal/>
    </border>
    <border>
      <left style="medium">
        <color theme="5" tint="0.399975585192419"/>
      </left>
      <right/>
      <top/>
      <bottom/>
      <diagonal/>
    </border>
    <border>
      <left style="medium">
        <color theme="5" tint="0.399975585192419"/>
      </left>
      <right style="thin">
        <color theme="5" tint="0.399975585192419"/>
      </right>
      <top style="thin">
        <color theme="5" tint="0.399975585192419"/>
      </top>
      <bottom style="thin">
        <color theme="5" tint="0.399975585192419"/>
      </bottom>
      <diagonal/>
    </border>
    <border>
      <left style="thin">
        <color theme="5" tint="0.399975585192419"/>
      </left>
      <right/>
      <top style="thin">
        <color theme="5" tint="0.399975585192419"/>
      </top>
      <bottom/>
      <diagonal/>
    </border>
    <border>
      <left style="thin">
        <color theme="5" tint="0.399975585192419"/>
      </left>
      <right/>
      <top/>
      <bottom/>
      <diagonal/>
    </border>
    <border>
      <left style="thin">
        <color theme="5" tint="0.399975585192419"/>
      </left>
      <right/>
      <top/>
      <bottom style="thin">
        <color theme="5" tint="0.399975585192419"/>
      </bottom>
      <diagonal/>
    </border>
    <border>
      <left style="medium">
        <color theme="5" tint="0.399975585192419"/>
      </left>
      <right style="thin">
        <color theme="5" tint="0.399975585192419"/>
      </right>
      <top style="thin">
        <color theme="5" tint="0.399975585192419"/>
      </top>
      <bottom style="medium">
        <color theme="5" tint="0.399975585192419"/>
      </bottom>
      <diagonal/>
    </border>
    <border>
      <left style="thin">
        <color theme="5" tint="0.399975585192419"/>
      </left>
      <right/>
      <top/>
      <bottom style="medium">
        <color theme="5" tint="0.399975585192419"/>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5" tint="0.399975585192419"/>
      </left>
      <right style="thin">
        <color theme="0"/>
      </right>
      <top style="medium">
        <color theme="5" tint="0.399975585192419"/>
      </top>
      <bottom style="thin">
        <color theme="0"/>
      </bottom>
      <diagonal/>
    </border>
    <border>
      <left style="thin">
        <color theme="5" tint="0.399975585192419"/>
      </left>
      <right style="thin">
        <color theme="0"/>
      </right>
      <top style="thin">
        <color theme="0"/>
      </top>
      <bottom style="thin">
        <color theme="0"/>
      </bottom>
      <diagonal/>
    </border>
    <border>
      <left style="thin">
        <color theme="5" tint="0.399975585192419"/>
      </left>
      <right style="thin">
        <color theme="0"/>
      </right>
      <top style="thin">
        <color theme="0"/>
      </top>
      <bottom style="thin">
        <color theme="5" tint="0.399975585192419"/>
      </bottom>
      <diagonal/>
    </border>
    <border>
      <left style="thin">
        <color theme="5" tint="0.399975585192419"/>
      </left>
      <right style="thin">
        <color theme="0"/>
      </right>
      <top style="thin">
        <color theme="5" tint="0.399975585192419"/>
      </top>
      <bottom style="thin">
        <color theme="0"/>
      </bottom>
      <diagonal/>
    </border>
    <border>
      <left style="thin">
        <color theme="5" tint="0.399975585192419"/>
      </left>
      <right style="thin">
        <color theme="0"/>
      </right>
      <top style="thin">
        <color theme="0"/>
      </top>
      <bottom style="medium">
        <color theme="5" tint="0.399975585192419"/>
      </bottom>
      <diagonal/>
    </border>
    <border>
      <left/>
      <right style="medium">
        <color theme="0"/>
      </right>
      <top style="medium">
        <color theme="0"/>
      </top>
      <bottom style="medium">
        <color theme="0"/>
      </bottom>
      <diagonal/>
    </border>
    <border>
      <left/>
      <right style="thin">
        <color theme="5" tint="0.399975585192419"/>
      </right>
      <top style="thin">
        <color theme="5" tint="0.399975585192419"/>
      </top>
      <bottom style="thin">
        <color theme="5" tint="0.399975585192419"/>
      </bottom>
      <diagonal/>
    </border>
    <border>
      <left/>
      <right/>
      <top style="thin">
        <color theme="5" tint="0.399975585192419"/>
      </top>
      <bottom/>
      <diagonal/>
    </border>
    <border>
      <left/>
      <right style="thin">
        <color theme="5" tint="0.399975585192419"/>
      </right>
      <top style="thin">
        <color theme="5" tint="0.399975585192419"/>
      </top>
      <bottom/>
      <diagonal/>
    </border>
    <border>
      <left/>
      <right style="thin">
        <color theme="5" tint="0.399975585192419"/>
      </right>
      <top/>
      <bottom/>
      <diagonal/>
    </border>
    <border>
      <left/>
      <right/>
      <top/>
      <bottom style="thin">
        <color theme="5" tint="0.399975585192419"/>
      </bottom>
      <diagonal/>
    </border>
    <border>
      <left/>
      <right style="thin">
        <color theme="5" tint="0.399975585192419"/>
      </right>
      <top/>
      <bottom style="thin">
        <color theme="5" tint="0.399975585192419"/>
      </bottom>
      <diagonal/>
    </border>
    <border>
      <left/>
      <right/>
      <top/>
      <bottom style="medium">
        <color theme="5" tint="0.399975585192419"/>
      </bottom>
      <diagonal/>
    </border>
    <border>
      <left/>
      <right style="thin">
        <color theme="5" tint="0.399975585192419"/>
      </right>
      <top/>
      <bottom style="medium">
        <color theme="5" tint="0.399975585192419"/>
      </bottom>
      <diagonal/>
    </border>
    <border>
      <left style="thin">
        <color theme="5" tint="0.399975585192419"/>
      </left>
      <right/>
      <top style="thin">
        <color theme="5" tint="0.399975585192419"/>
      </top>
      <bottom style="medium">
        <color theme="5" tint="0.399975585192419"/>
      </bottom>
      <diagonal/>
    </border>
    <border>
      <left/>
      <right/>
      <top style="medium">
        <color theme="0"/>
      </top>
      <bottom/>
      <diagonal/>
    </border>
    <border>
      <left/>
      <right style="medium">
        <color theme="0"/>
      </right>
      <top style="medium">
        <color theme="0"/>
      </top>
      <bottom/>
      <diagonal/>
    </border>
    <border>
      <left/>
      <right/>
      <top/>
      <bottom style="medium">
        <color theme="0"/>
      </bottom>
      <diagonal/>
    </border>
    <border>
      <left/>
      <right style="medium">
        <color theme="0"/>
      </right>
      <top/>
      <bottom style="medium">
        <color theme="0"/>
      </bottom>
      <diagonal/>
    </border>
    <border>
      <left style="thin">
        <color theme="0"/>
      </left>
      <right style="thin">
        <color theme="0"/>
      </right>
      <top style="medium">
        <color theme="5" tint="0.399975585192419"/>
      </top>
      <bottom style="thin">
        <color theme="0"/>
      </bottom>
      <diagonal/>
    </border>
    <border>
      <left style="thin">
        <color theme="0"/>
      </left>
      <right style="thin">
        <color theme="5" tint="0.399975585192419"/>
      </right>
      <top style="medium">
        <color theme="5" tint="0.399975585192419"/>
      </top>
      <bottom style="thin">
        <color theme="0"/>
      </bottom>
      <diagonal/>
    </border>
    <border>
      <left style="thin">
        <color theme="5" tint="0.399975585192419"/>
      </left>
      <right style="thin">
        <color theme="0"/>
      </right>
      <top style="medium">
        <color theme="5" tint="0.399975585192419"/>
      </top>
      <bottom style="thin">
        <color theme="5" tint="0.399975585192419"/>
      </bottom>
      <diagonal/>
    </border>
    <border>
      <left style="thin">
        <color theme="0"/>
      </left>
      <right style="thin">
        <color theme="0"/>
      </right>
      <top style="thin">
        <color theme="0"/>
      </top>
      <bottom style="thin">
        <color theme="0"/>
      </bottom>
      <diagonal/>
    </border>
    <border>
      <left style="thin">
        <color theme="0"/>
      </left>
      <right style="thin">
        <color theme="5" tint="0.399975585192419"/>
      </right>
      <top style="thin">
        <color theme="0"/>
      </top>
      <bottom style="thin">
        <color theme="0"/>
      </bottom>
      <diagonal/>
    </border>
    <border>
      <left style="thin">
        <color theme="5" tint="0.399975585192419"/>
      </left>
      <right style="thin">
        <color theme="0"/>
      </right>
      <top style="thin">
        <color theme="5" tint="0.399975585192419"/>
      </top>
      <bottom style="thin">
        <color theme="5" tint="0.399975585192419"/>
      </bottom>
      <diagonal/>
    </border>
    <border>
      <left style="thin">
        <color theme="0"/>
      </left>
      <right style="thin">
        <color theme="0"/>
      </right>
      <top style="thin">
        <color theme="0"/>
      </top>
      <bottom style="thin">
        <color theme="5" tint="0.399975585192419"/>
      </bottom>
      <diagonal/>
    </border>
    <border>
      <left style="thin">
        <color theme="0"/>
      </left>
      <right style="thin">
        <color theme="5" tint="0.399975585192419"/>
      </right>
      <top style="thin">
        <color theme="0"/>
      </top>
      <bottom style="thin">
        <color theme="5" tint="0.399975585192419"/>
      </bottom>
      <diagonal/>
    </border>
    <border>
      <left style="thin">
        <color theme="0"/>
      </left>
      <right style="thin">
        <color theme="0"/>
      </right>
      <top style="thin">
        <color theme="5" tint="0.399975585192419"/>
      </top>
      <bottom style="thin">
        <color theme="0"/>
      </bottom>
      <diagonal/>
    </border>
    <border>
      <left style="thin">
        <color theme="0"/>
      </left>
      <right style="thin">
        <color theme="5" tint="0.399975585192419"/>
      </right>
      <top style="thin">
        <color theme="5" tint="0.399975585192419"/>
      </top>
      <bottom style="thin">
        <color theme="0"/>
      </bottom>
      <diagonal/>
    </border>
    <border>
      <left style="thin">
        <color theme="0"/>
      </left>
      <right style="thin">
        <color theme="0"/>
      </right>
      <top style="thin">
        <color theme="0"/>
      </top>
      <bottom style="medium">
        <color theme="5" tint="0.399975585192419"/>
      </bottom>
      <diagonal/>
    </border>
    <border>
      <left style="thin">
        <color theme="0"/>
      </left>
      <right style="thin">
        <color theme="5" tint="0.399975585192419"/>
      </right>
      <top style="thin">
        <color theme="0"/>
      </top>
      <bottom style="medium">
        <color theme="5" tint="0.399975585192419"/>
      </bottom>
      <diagonal/>
    </border>
    <border>
      <left style="thin">
        <color theme="5" tint="0.399975585192419"/>
      </left>
      <right style="thin">
        <color theme="0"/>
      </right>
      <top style="thin">
        <color theme="5" tint="0.399975585192419"/>
      </top>
      <bottom style="medium">
        <color theme="5" tint="0.399975585192419"/>
      </bottom>
      <diagonal/>
    </border>
    <border>
      <left style="thin">
        <color theme="0"/>
      </left>
      <right style="thin">
        <color theme="0"/>
      </right>
      <top style="medium">
        <color theme="5" tint="0.399975585192419"/>
      </top>
      <bottom style="thin">
        <color theme="5" tint="0.399975585192419"/>
      </bottom>
      <diagonal/>
    </border>
    <border>
      <left style="thin">
        <color theme="0"/>
      </left>
      <right style="thin">
        <color theme="0"/>
      </right>
      <top style="thin">
        <color theme="5" tint="0.399975585192419"/>
      </top>
      <bottom style="thin">
        <color theme="5" tint="0.399975585192419"/>
      </bottom>
      <diagonal/>
    </border>
    <border>
      <left/>
      <right style="thin">
        <color theme="0"/>
      </right>
      <top style="thin">
        <color theme="5" tint="0.399975585192419"/>
      </top>
      <bottom style="thin">
        <color theme="5" tint="0.399975585192419"/>
      </bottom>
      <diagonal/>
    </border>
    <border>
      <left style="thin">
        <color theme="0"/>
      </left>
      <right style="thin">
        <color theme="0"/>
      </right>
      <top style="thin">
        <color theme="5" tint="0.399975585192419"/>
      </top>
      <bottom style="medium">
        <color theme="5" tint="0.399975585192419"/>
      </bottom>
      <diagonal/>
    </border>
    <border>
      <left style="thin">
        <color theme="0"/>
      </left>
      <right/>
      <top style="medium">
        <color theme="5" tint="0.399975585192419"/>
      </top>
      <bottom style="thin">
        <color theme="5" tint="0.399975585192419"/>
      </bottom>
      <diagonal/>
    </border>
    <border>
      <left style="thin">
        <color theme="0"/>
      </left>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medium">
        <color theme="5" tint="0.399975585192419"/>
      </bottom>
      <diagonal/>
    </border>
    <border>
      <left style="thin">
        <color theme="5" tint="0.399975585192419"/>
      </left>
      <right/>
      <top style="medium">
        <color theme="5" tint="0.399975585192419"/>
      </top>
      <bottom style="thin">
        <color theme="0" tint="-0.249977111117893"/>
      </bottom>
      <diagonal/>
    </border>
    <border>
      <left/>
      <right/>
      <top style="medium">
        <color theme="5" tint="0.399975585192419"/>
      </top>
      <bottom style="thin">
        <color theme="0" tint="-0.249977111117893"/>
      </bottom>
      <diagonal/>
    </border>
    <border>
      <left style="thin">
        <color theme="5" tint="0.399975585192419"/>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5" tint="0.399975585192419"/>
      </left>
      <right/>
      <top style="thin">
        <color theme="0" tint="-0.249977111117893"/>
      </top>
      <bottom style="medium">
        <color theme="5" tint="0.399975585192419"/>
      </bottom>
      <diagonal/>
    </border>
    <border>
      <left/>
      <right/>
      <top style="thin">
        <color theme="0" tint="-0.249977111117893"/>
      </top>
      <bottom style="medium">
        <color theme="5" tint="0.399975585192419"/>
      </bottom>
      <diagonal/>
    </border>
    <border>
      <left style="thin">
        <color theme="5" tint="0.399975585192419"/>
      </left>
      <right style="thin">
        <color theme="0" tint="-0.249977111117893"/>
      </right>
      <top style="medium">
        <color theme="5" tint="0.399975585192419"/>
      </top>
      <bottom style="thin">
        <color theme="0" tint="-0.249977111117893"/>
      </bottom>
      <diagonal/>
    </border>
    <border>
      <left style="thin">
        <color theme="0" tint="-0.249977111117893"/>
      </left>
      <right style="thin">
        <color theme="0" tint="-0.249977111117893"/>
      </right>
      <top style="medium">
        <color theme="5" tint="0.399975585192419"/>
      </top>
      <bottom style="thin">
        <color theme="0" tint="-0.249977111117893"/>
      </bottom>
      <diagonal/>
    </border>
    <border>
      <left style="thin">
        <color theme="5" tint="0.399975585192419"/>
      </left>
      <right style="thin">
        <color theme="0" tint="-0.249977111117893"/>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style="medium">
        <color theme="5" tint="0.399975585192419"/>
      </bottom>
      <diagonal/>
    </border>
    <border>
      <left/>
      <right style="medium">
        <color theme="0" tint="-0.249977111117893"/>
      </right>
      <top style="medium">
        <color theme="5" tint="0.399975585192419"/>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5" tint="0.399975585192419"/>
      </bottom>
      <diagonal/>
    </border>
    <border>
      <left style="medium">
        <color theme="0" tint="-0.249977111117893"/>
      </left>
      <right/>
      <top style="medium">
        <color theme="5" tint="0.399975585192419"/>
      </top>
      <bottom style="thin">
        <color theme="0" tint="-0.249977111117893"/>
      </bottom>
      <diagonal/>
    </border>
    <border>
      <left/>
      <right style="thin">
        <color theme="0" tint="-0.249977111117893"/>
      </right>
      <top style="medium">
        <color theme="0"/>
      </top>
      <bottom style="medium">
        <color theme="0"/>
      </bottom>
      <diagonal/>
    </border>
    <border>
      <left style="thin">
        <color theme="0" tint="-0.249977111117893"/>
      </left>
      <right style="medium">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5" tint="0.399975585192419"/>
      </bottom>
      <diagonal/>
    </border>
    <border>
      <left style="medium">
        <color theme="0" tint="-0.249977111117893"/>
      </left>
      <right style="thin">
        <color theme="0" tint="-0.249977111117893"/>
      </right>
      <top style="thin">
        <color theme="0" tint="-0.249977111117893"/>
      </top>
      <bottom style="medium">
        <color theme="5" tint="0.399975585192419"/>
      </bottom>
      <diagonal/>
    </border>
    <border>
      <left style="thin">
        <color theme="0" tint="-0.249977111117893"/>
      </left>
      <right/>
      <top style="medium">
        <color theme="0"/>
      </top>
      <bottom style="medium">
        <color theme="0"/>
      </bottom>
      <diagonal/>
    </border>
    <border>
      <left/>
      <right style="medium">
        <color theme="5" tint="0.399975585192419"/>
      </right>
      <top style="thin">
        <color theme="0" tint="-0.249977111117893"/>
      </top>
      <bottom style="thin">
        <color theme="0" tint="-0.249977111117893"/>
      </bottom>
      <diagonal/>
    </border>
    <border>
      <left/>
      <right style="medium">
        <color theme="5" tint="0.399975585192419"/>
      </right>
      <top style="medium">
        <color theme="5" tint="0.399975585192419"/>
      </top>
      <bottom style="thin">
        <color theme="0" tint="-0.249977111117893"/>
      </bottom>
      <diagonal/>
    </border>
    <border>
      <left style="thin">
        <color theme="0" tint="-0.249977111117893"/>
      </left>
      <right/>
      <top style="medium">
        <color theme="5" tint="0.399975585192419"/>
      </top>
      <bottom style="thin">
        <color theme="0" tint="-0.249977111117893"/>
      </bottom>
      <diagonal/>
    </border>
    <border>
      <left style="medium">
        <color theme="0" tint="-0.249977111117893"/>
      </left>
      <right style="thin">
        <color theme="0" tint="-0.249977111117893"/>
      </right>
      <top style="medium">
        <color theme="5" tint="0.399975585192419"/>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5" tint="0.399975585192419"/>
      </bottom>
      <diagonal/>
    </border>
    <border>
      <left/>
      <right style="thin">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5" tint="0.399975585192419"/>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theme="5" tint="0.399975585192419"/>
      </right>
      <top style="medium">
        <color theme="5" tint="0.399975585192419"/>
      </top>
      <bottom style="thin">
        <color theme="0" tint="-0.249977111117893"/>
      </bottom>
      <diagonal/>
    </border>
    <border>
      <left style="thin">
        <color theme="0" tint="-0.249977111117893"/>
      </left>
      <right style="medium">
        <color theme="5" tint="0.399975585192419"/>
      </right>
      <top style="thin">
        <color theme="0" tint="-0.249977111117893"/>
      </top>
      <bottom style="thin">
        <color theme="0" tint="-0.249977111117893"/>
      </bottom>
      <diagonal/>
    </border>
    <border>
      <left style="thin">
        <color theme="0" tint="-0.249977111117893"/>
      </left>
      <right style="medium">
        <color theme="5" tint="0.399975585192419"/>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diagonal/>
    </border>
    <border>
      <left style="medium">
        <color theme="5" tint="0.399975585192419"/>
      </left>
      <right/>
      <top style="medium">
        <color theme="5" tint="0.399975585192419"/>
      </top>
      <bottom/>
      <diagonal/>
    </border>
    <border>
      <left/>
      <right/>
      <top style="medium">
        <color theme="5" tint="0.399975585192419"/>
      </top>
      <bottom/>
      <diagonal/>
    </border>
    <border>
      <left style="medium">
        <color theme="5" tint="0.399975585192419"/>
      </left>
      <right/>
      <top style="thin">
        <color theme="5" tint="0.399975585192419"/>
      </top>
      <bottom/>
      <diagonal/>
    </border>
    <border>
      <left style="medium">
        <color theme="5" tint="0.399975585192419"/>
      </left>
      <right/>
      <top style="medium">
        <color theme="5" tint="0.399975585192419"/>
      </top>
      <bottom style="medium">
        <color theme="5" tint="0.399975585192419"/>
      </bottom>
      <diagonal/>
    </border>
    <border>
      <left/>
      <right/>
      <top style="medium">
        <color theme="5" tint="0.399975585192419"/>
      </top>
      <bottom style="medium">
        <color theme="5" tint="0.399975585192419"/>
      </bottom>
      <diagonal/>
    </border>
    <border>
      <left/>
      <right style="thin">
        <color theme="5" tint="0.399975585192419"/>
      </right>
      <top style="medium">
        <color theme="5" tint="0.399975585192419"/>
      </top>
      <bottom style="medium">
        <color theme="5" tint="0.399975585192419"/>
      </bottom>
      <diagonal/>
    </border>
    <border>
      <left style="medium">
        <color theme="0" tint="-0.249977111117893"/>
      </left>
      <right/>
      <top style="thin">
        <color theme="0" tint="-0.249977111117893"/>
      </top>
      <bottom/>
      <diagonal/>
    </border>
    <border>
      <left/>
      <right/>
      <top style="thin">
        <color theme="0" tint="-0.249977111117893"/>
      </top>
      <bottom/>
      <diagonal/>
    </border>
    <border>
      <left/>
      <right style="medium">
        <color theme="0" tint="-0.249977111117893"/>
      </right>
      <top style="medium">
        <color theme="5" tint="0.399975585192419"/>
      </top>
      <bottom style="medium">
        <color theme="5" tint="0.399975585192419"/>
      </bottom>
      <diagonal/>
    </border>
    <border>
      <left style="medium">
        <color theme="0" tint="-0.249977111117893"/>
      </left>
      <right/>
      <top style="medium">
        <color theme="5" tint="0.399975585192419"/>
      </top>
      <bottom style="medium">
        <color theme="5" tint="0.399975585192419"/>
      </bottom>
      <diagonal/>
    </border>
    <border>
      <left/>
      <right style="medium">
        <color theme="0" tint="-0.249977111117893"/>
      </right>
      <top style="thin">
        <color theme="0" tint="-0.249977111117893"/>
      </top>
      <bottom/>
      <diagonal/>
    </border>
    <border>
      <left/>
      <right style="medium">
        <color theme="5" tint="0.399975585192419"/>
      </right>
      <top style="medium">
        <color theme="5" tint="0.399975585192419"/>
      </top>
      <bottom/>
      <diagonal/>
    </border>
    <border>
      <left/>
      <right style="medium">
        <color theme="5" tint="0.399975585192419"/>
      </right>
      <top/>
      <bottom/>
      <diagonal/>
    </border>
    <border>
      <left/>
      <right style="medium">
        <color theme="5" tint="0.399975585192419"/>
      </right>
      <top style="thin">
        <color theme="0" tint="-0.249977111117893"/>
      </top>
      <bottom/>
      <diagonal/>
    </border>
    <border>
      <left/>
      <right style="medium">
        <color theme="5" tint="0.399975585192419"/>
      </right>
      <top style="medium">
        <color theme="5" tint="0.399975585192419"/>
      </top>
      <bottom style="medium">
        <color theme="5" tint="0.399975585192419"/>
      </bottom>
      <diagonal/>
    </border>
    <border>
      <left style="medium">
        <color theme="5" tint="0.399975585192419"/>
      </left>
      <right/>
      <top/>
      <bottom style="thin">
        <color theme="5" tint="0.399975585192419"/>
      </bottom>
      <diagonal/>
    </border>
    <border>
      <left style="medium">
        <color rgb="FFF4B084"/>
      </left>
      <right/>
      <top style="medium">
        <color rgb="FFF4B084"/>
      </top>
      <bottom/>
      <diagonal/>
    </border>
    <border>
      <left/>
      <right/>
      <top style="medium">
        <color rgb="FFF4B084"/>
      </top>
      <bottom/>
      <diagonal/>
    </border>
    <border>
      <left style="medium">
        <color rgb="FFF4B084"/>
      </left>
      <right/>
      <top style="thin">
        <color rgb="FFF4B084"/>
      </top>
      <bottom style="thin">
        <color rgb="FFF4B084"/>
      </bottom>
      <diagonal/>
    </border>
    <border>
      <left/>
      <right/>
      <top style="thin">
        <color rgb="FFF4B084"/>
      </top>
      <bottom style="thin">
        <color rgb="FFF4B084"/>
      </bottom>
      <diagonal/>
    </border>
    <border>
      <left/>
      <right style="thin">
        <color theme="5" tint="0.399975585192419"/>
      </right>
      <top style="medium">
        <color theme="5" tint="0.399975585192419"/>
      </top>
      <bottom style="thin">
        <color theme="5" tint="0.399975585192419"/>
      </bottom>
      <diagonal/>
    </border>
    <border>
      <left/>
      <right style="thin">
        <color rgb="FFF4B084"/>
      </right>
      <top style="thin">
        <color rgb="FFF4B084"/>
      </top>
      <bottom style="thin">
        <color rgb="FFF4B084"/>
      </bottom>
      <diagonal/>
    </border>
    <border>
      <left/>
      <right/>
      <top/>
      <bottom style="thin">
        <color theme="0" tint="-0.249977111117893"/>
      </bottom>
      <diagonal/>
    </border>
    <border>
      <left/>
      <right/>
      <top style="thin">
        <color rgb="FFBFBFBF"/>
      </top>
      <bottom style="thin">
        <color rgb="FFBFBFBF"/>
      </bottom>
      <diagonal/>
    </border>
    <border>
      <left/>
      <right style="medium">
        <color theme="0" tint="-0.249977111117893"/>
      </right>
      <top/>
      <bottom style="thin">
        <color theme="0" tint="-0.249977111117893"/>
      </bottom>
      <diagonal/>
    </border>
    <border>
      <left style="medium">
        <color theme="0" tint="-0.249977111117893"/>
      </left>
      <right/>
      <top/>
      <bottom style="thin">
        <color theme="0" tint="-0.249977111117893"/>
      </bottom>
      <diagonal/>
    </border>
    <border>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thin">
        <color theme="0" tint="-0.249977111117893"/>
      </left>
      <right/>
      <top/>
      <bottom/>
      <diagonal/>
    </border>
    <border>
      <left style="medium">
        <color theme="8" tint="-0.249946592608417"/>
      </left>
      <right/>
      <top style="thin">
        <color auto="1"/>
      </top>
      <bottom style="thin">
        <color auto="1"/>
      </bottom>
      <diagonal/>
    </border>
    <border>
      <left style="medium">
        <color theme="8" tint="-0.249946592608417"/>
      </left>
      <right/>
      <top/>
      <bottom/>
      <diagonal/>
    </border>
    <border>
      <left/>
      <right style="medium">
        <color theme="5" tint="0.399975585192419"/>
      </right>
      <top/>
      <bottom style="thin">
        <color theme="0" tint="-0.249977111117893"/>
      </bottom>
      <diagonal/>
    </border>
    <border>
      <left/>
      <right style="medium">
        <color rgb="FFF4B084"/>
      </right>
      <top style="medium">
        <color rgb="FFF4B084"/>
      </top>
      <bottom/>
      <diagonal/>
    </border>
    <border>
      <left/>
      <right style="medium">
        <color rgb="FFF4B084"/>
      </right>
      <top style="thin">
        <color rgb="FFBFBFBF"/>
      </top>
      <bottom style="thin">
        <color rgb="FFBFBFBF"/>
      </bottom>
      <diagonal/>
    </border>
    <border>
      <left/>
      <right/>
      <top style="thin">
        <color auto="1"/>
      </top>
      <bottom style="thin">
        <color auto="1"/>
      </bottom>
      <diagonal/>
    </border>
    <border>
      <left style="medium">
        <color rgb="FFF4B084"/>
      </left>
      <right/>
      <top style="thin">
        <color rgb="FFF4B084"/>
      </top>
      <bottom/>
      <diagonal/>
    </border>
    <border>
      <left/>
      <right/>
      <top style="thin">
        <color rgb="FFF4B084"/>
      </top>
      <bottom/>
      <diagonal/>
    </border>
    <border>
      <left style="medium">
        <color rgb="FFF4B084"/>
      </left>
      <right/>
      <top style="medium">
        <color rgb="FFF4B084"/>
      </top>
      <bottom style="medium">
        <color rgb="FFF4B084"/>
      </bottom>
      <diagonal/>
    </border>
    <border>
      <left/>
      <right/>
      <top style="medium">
        <color rgb="FFF4B084"/>
      </top>
      <bottom style="medium">
        <color rgb="FFF4B084"/>
      </bottom>
      <diagonal/>
    </border>
    <border>
      <left style="medium">
        <color rgb="FFF4B084"/>
      </left>
      <right/>
      <top/>
      <bottom/>
      <diagonal/>
    </border>
    <border>
      <left/>
      <right style="thin">
        <color rgb="FFF4B084"/>
      </right>
      <top style="medium">
        <color rgb="FFF4B084"/>
      </top>
      <bottom style="medium">
        <color rgb="FFF4B084"/>
      </bottom>
      <diagonal/>
    </border>
    <border>
      <left style="thin">
        <color rgb="FFF4B084"/>
      </left>
      <right/>
      <top style="thin">
        <color rgb="FFBFBFBF"/>
      </top>
      <bottom style="medium">
        <color rgb="FFF4B084"/>
      </bottom>
      <diagonal/>
    </border>
    <border>
      <left/>
      <right/>
      <top style="thin">
        <color rgb="FFBFBFBF"/>
      </top>
      <bottom style="medium">
        <color rgb="FFF4B084"/>
      </bottom>
      <diagonal/>
    </border>
    <border>
      <left style="thin">
        <color rgb="FFF4B084"/>
      </left>
      <right/>
      <top style="thin">
        <color rgb="FFBFBFBF"/>
      </top>
      <bottom style="thin">
        <color rgb="FFBFBFBF"/>
      </bottom>
      <diagonal/>
    </border>
    <border>
      <left/>
      <right style="medium">
        <color rgb="FFBFBFBF"/>
      </right>
      <top style="thin">
        <color rgb="FFBFBFBF"/>
      </top>
      <bottom style="medium">
        <color rgb="FFF4B084"/>
      </bottom>
      <diagonal/>
    </border>
    <border>
      <left style="medium">
        <color rgb="FFBFBFBF"/>
      </left>
      <right/>
      <top style="thin">
        <color rgb="FFBFBFBF"/>
      </top>
      <bottom/>
      <diagonal/>
    </border>
    <border>
      <left/>
      <right/>
      <top style="thin">
        <color rgb="FFBFBFBF"/>
      </top>
      <bottom/>
      <diagonal/>
    </border>
    <border>
      <left/>
      <right style="medium">
        <color rgb="FFBFBFBF"/>
      </right>
      <top style="medium">
        <color rgb="FFF4B084"/>
      </top>
      <bottom style="medium">
        <color rgb="FFF4B084"/>
      </bottom>
      <diagonal/>
    </border>
    <border>
      <left style="medium">
        <color rgb="FFBFBFBF"/>
      </left>
      <right/>
      <top style="thin">
        <color rgb="FFBFBFBF"/>
      </top>
      <bottom style="medium">
        <color rgb="FFF4B084"/>
      </bottom>
      <diagonal/>
    </border>
    <border>
      <left style="medium">
        <color rgb="FFBFBFBF"/>
      </left>
      <right/>
      <top style="medium">
        <color rgb="FFF4B084"/>
      </top>
      <bottom style="medium">
        <color rgb="FFF4B084"/>
      </bottom>
      <diagonal/>
    </border>
    <border>
      <left/>
      <right style="medium">
        <color rgb="FFBFBFBF"/>
      </right>
      <top style="thin">
        <color rgb="FFBFBFBF"/>
      </top>
      <bottom/>
      <diagonal/>
    </border>
    <border>
      <left/>
      <right style="medium">
        <color rgb="FFF4B084"/>
      </right>
      <top style="thin">
        <color rgb="FFBFBFBF"/>
      </top>
      <bottom/>
      <diagonal/>
    </border>
    <border>
      <left/>
      <right style="medium">
        <color rgb="FFF4B084"/>
      </right>
      <top style="medium">
        <color rgb="FFF4B084"/>
      </top>
      <bottom style="medium">
        <color rgb="FFF4B084"/>
      </bottom>
      <diagonal/>
    </border>
    <border>
      <left/>
      <right style="medium">
        <color rgb="FFF4B084"/>
      </right>
      <top style="thin">
        <color rgb="FFBFBFBF"/>
      </top>
      <bottom style="medium">
        <color rgb="FFF4B084"/>
      </bottom>
      <diagonal/>
    </border>
    <border>
      <left/>
      <right style="medium">
        <color rgb="FFF4B084"/>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18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185" fontId="22" fillId="0" borderId="0" applyFont="0" applyFill="0" applyBorder="0" applyAlignment="0" applyProtection="0"/>
    <xf numFmtId="0" fontId="34" fillId="38" borderId="0" applyNumberFormat="0" applyBorder="0" applyAlignment="0" applyProtection="0">
      <alignment vertical="center"/>
    </xf>
    <xf numFmtId="0" fontId="39" fillId="11" borderId="0" applyNumberFormat="0" applyBorder="0" applyAlignment="0" applyProtection="0">
      <alignment vertical="center"/>
    </xf>
    <xf numFmtId="0" fontId="34" fillId="46" borderId="0" applyNumberFormat="0" applyBorder="0" applyAlignment="0" applyProtection="0">
      <alignment vertical="center"/>
    </xf>
    <xf numFmtId="0" fontId="34" fillId="45" borderId="0" applyNumberFormat="0" applyBorder="0" applyAlignment="0" applyProtection="0">
      <alignment vertical="center"/>
    </xf>
    <xf numFmtId="0" fontId="39" fillId="44" borderId="0" applyNumberFormat="0" applyBorder="0" applyAlignment="0" applyProtection="0">
      <alignment vertical="center"/>
    </xf>
    <xf numFmtId="0" fontId="22" fillId="0" borderId="0"/>
    <xf numFmtId="0" fontId="39" fillId="26" borderId="0" applyNumberFormat="0" applyBorder="0" applyAlignment="0" applyProtection="0">
      <alignment vertical="center"/>
    </xf>
    <xf numFmtId="0" fontId="34" fillId="42" borderId="0" applyNumberFormat="0" applyBorder="0" applyAlignment="0" applyProtection="0">
      <alignment vertical="center"/>
    </xf>
    <xf numFmtId="0" fontId="34" fillId="32" borderId="0" applyNumberFormat="0" applyBorder="0" applyAlignment="0" applyProtection="0">
      <alignment vertical="center"/>
    </xf>
    <xf numFmtId="0" fontId="39" fillId="40" borderId="0" applyNumberFormat="0" applyBorder="0" applyAlignment="0" applyProtection="0">
      <alignment vertical="center"/>
    </xf>
    <xf numFmtId="0" fontId="34" fillId="39" borderId="0" applyNumberFormat="0" applyBorder="0" applyAlignment="0" applyProtection="0">
      <alignment vertical="center"/>
    </xf>
    <xf numFmtId="0" fontId="50" fillId="0" borderId="304" applyNumberFormat="0" applyFill="0" applyAlignment="0" applyProtection="0">
      <alignment vertical="center"/>
    </xf>
    <xf numFmtId="0" fontId="39" fillId="31"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9" fillId="13" borderId="0" applyNumberFormat="0" applyBorder="0" applyAlignment="0" applyProtection="0">
      <alignment vertical="center"/>
    </xf>
    <xf numFmtId="0" fontId="39" fillId="20" borderId="0" applyNumberFormat="0" applyBorder="0" applyAlignment="0" applyProtection="0">
      <alignment vertical="center"/>
    </xf>
    <xf numFmtId="0" fontId="34" fillId="37" borderId="0" applyNumberFormat="0" applyBorder="0" applyAlignment="0" applyProtection="0">
      <alignment vertical="center"/>
    </xf>
    <xf numFmtId="0" fontId="39" fillId="15" borderId="0" applyNumberFormat="0" applyBorder="0" applyAlignment="0" applyProtection="0">
      <alignment vertical="center"/>
    </xf>
    <xf numFmtId="0" fontId="39" fillId="4" borderId="0" applyNumberFormat="0" applyBorder="0" applyAlignment="0" applyProtection="0">
      <alignment vertical="center"/>
    </xf>
    <xf numFmtId="0" fontId="34" fillId="36" borderId="0" applyNumberFormat="0" applyBorder="0" applyAlignment="0" applyProtection="0">
      <alignment vertical="center"/>
    </xf>
    <xf numFmtId="0" fontId="48" fillId="35" borderId="0" applyNumberFormat="0" applyBorder="0" applyAlignment="0" applyProtection="0">
      <alignment vertical="center"/>
    </xf>
    <xf numFmtId="0" fontId="34" fillId="41" borderId="0" applyNumberFormat="0" applyBorder="0" applyAlignment="0" applyProtection="0">
      <alignment vertical="center"/>
    </xf>
    <xf numFmtId="0" fontId="47" fillId="33" borderId="0" applyNumberFormat="0" applyBorder="0" applyAlignment="0" applyProtection="0">
      <alignment vertical="center"/>
    </xf>
    <xf numFmtId="0" fontId="39" fillId="19" borderId="0" applyNumberFormat="0" applyBorder="0" applyAlignment="0" applyProtection="0">
      <alignment vertical="center"/>
    </xf>
    <xf numFmtId="0" fontId="49" fillId="0" borderId="303" applyNumberFormat="0" applyFill="0" applyAlignment="0" applyProtection="0">
      <alignment vertical="center"/>
    </xf>
    <xf numFmtId="0" fontId="40" fillId="27" borderId="299" applyNumberFormat="0" applyAlignment="0" applyProtection="0">
      <alignment vertical="center"/>
    </xf>
    <xf numFmtId="187" fontId="0" fillId="0" borderId="0" applyFont="0" applyFill="0" applyBorder="0" applyAlignment="0" applyProtection="0"/>
    <xf numFmtId="0" fontId="39" fillId="10" borderId="0" applyNumberFormat="0" applyBorder="0" applyAlignment="0" applyProtection="0">
      <alignment vertical="center"/>
    </xf>
    <xf numFmtId="0" fontId="22" fillId="30" borderId="301" applyNumberFormat="0" applyFont="0" applyAlignment="0" applyProtection="0">
      <alignment vertical="center"/>
    </xf>
    <xf numFmtId="0" fontId="42" fillId="29" borderId="300" applyNumberFormat="0" applyAlignment="0" applyProtection="0">
      <alignment vertical="center"/>
    </xf>
    <xf numFmtId="0" fontId="43" fillId="0" borderId="0" applyNumberFormat="0" applyFill="0" applyBorder="0" applyAlignment="0" applyProtection="0">
      <alignment vertical="center"/>
    </xf>
    <xf numFmtId="0" fontId="46" fillId="27" borderId="300" applyNumberFormat="0" applyAlignment="0" applyProtection="0">
      <alignment vertical="center"/>
    </xf>
    <xf numFmtId="0" fontId="41" fillId="28" borderId="0" applyNumberFormat="0" applyBorder="0" applyAlignment="0" applyProtection="0">
      <alignment vertical="center"/>
    </xf>
    <xf numFmtId="188" fontId="3" fillId="0" borderId="0" applyFont="0" applyFill="0" applyBorder="0" applyAlignment="0" applyProtection="0"/>
    <xf numFmtId="0" fontId="43" fillId="0" borderId="302" applyNumberFormat="0" applyFill="0" applyAlignment="0" applyProtection="0">
      <alignment vertical="center"/>
    </xf>
    <xf numFmtId="0" fontId="45" fillId="0" borderId="0" applyNumberFormat="0" applyFill="0" applyBorder="0" applyAlignment="0" applyProtection="0">
      <alignment vertical="center"/>
    </xf>
    <xf numFmtId="0" fontId="44" fillId="0" borderId="298" applyNumberFormat="0" applyFill="0" applyAlignment="0" applyProtection="0">
      <alignment vertical="center"/>
    </xf>
    <xf numFmtId="41" fontId="22" fillId="0" borderId="0" applyFont="0" applyFill="0" applyBorder="0" applyAlignment="0" applyProtection="0">
      <alignment vertical="center"/>
    </xf>
    <xf numFmtId="0" fontId="39" fillId="12" borderId="0" applyNumberFormat="0" applyBorder="0" applyAlignment="0" applyProtection="0">
      <alignment vertical="center"/>
    </xf>
    <xf numFmtId="0" fontId="51" fillId="0" borderId="0" applyNumberFormat="0" applyFill="0" applyBorder="0" applyAlignment="0" applyProtection="0">
      <alignment vertical="center"/>
    </xf>
    <xf numFmtId="42" fontId="22"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0" borderId="298" applyNumberFormat="0" applyFill="0" applyAlignment="0" applyProtection="0">
      <alignment vertical="center"/>
    </xf>
    <xf numFmtId="43" fontId="0" fillId="0" borderId="0" applyFont="0" applyFill="0" applyBorder="0" applyAlignment="0" applyProtection="0"/>
    <xf numFmtId="0" fontId="35" fillId="25" borderId="297" applyNumberFormat="0" applyAlignment="0" applyProtection="0">
      <alignment vertical="center"/>
    </xf>
    <xf numFmtId="0" fontId="34" fillId="24" borderId="0" applyNumberFormat="0" applyBorder="0" applyAlignment="0" applyProtection="0">
      <alignment vertical="center"/>
    </xf>
    <xf numFmtId="9" fontId="0" fillId="0" borderId="0" applyFont="0" applyFill="0" applyBorder="0" applyAlignment="0" applyProtection="0"/>
    <xf numFmtId="0" fontId="33" fillId="0" borderId="0" applyNumberFormat="0" applyFill="0" applyBorder="0" applyAlignment="0" applyProtection="0">
      <alignment vertical="center"/>
    </xf>
  </cellStyleXfs>
  <cellXfs count="668">
    <xf numFmtId="0" fontId="0" fillId="0" borderId="0" xfId="0" applyFont="1" applyAlignment="1"/>
    <xf numFmtId="0" fontId="0" fillId="0" borderId="0" xfId="0"/>
    <xf numFmtId="0" fontId="1" fillId="0" borderId="0" xfId="0" applyFont="1"/>
    <xf numFmtId="0" fontId="2" fillId="2" borderId="1"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1" fillId="0" borderId="2" xfId="0" applyFont="1" applyBorder="1" applyAlignment="1">
      <alignment horizontal="left"/>
    </xf>
    <xf numFmtId="0" fontId="1" fillId="0" borderId="3" xfId="0" applyFont="1" applyBorder="1" applyAlignment="1">
      <alignment horizontal="center" vertical="center"/>
    </xf>
    <xf numFmtId="0" fontId="3" fillId="0" borderId="4" xfId="0" applyFont="1" applyBorder="1" applyAlignment="1">
      <alignment horizontal="center"/>
    </xf>
    <xf numFmtId="0" fontId="1" fillId="0" borderId="0" xfId="0" applyFont="1" applyAlignment="1"/>
    <xf numFmtId="0" fontId="3" fillId="0" borderId="5" xfId="0" applyFont="1" applyBorder="1" applyAlignment="1">
      <alignment horizontal="center"/>
    </xf>
    <xf numFmtId="0" fontId="1" fillId="0" borderId="6" xfId="0" applyFont="1" applyFill="1" applyBorder="1" applyAlignment="1"/>
    <xf numFmtId="0" fontId="1" fillId="0" borderId="7" xfId="0" applyFont="1" applyBorder="1" applyAlignment="1">
      <alignment horizontal="center" vertical="center" wrapText="1"/>
    </xf>
    <xf numFmtId="0" fontId="3" fillId="0" borderId="8" xfId="0" applyFont="1" applyBorder="1" applyAlignment="1">
      <alignment horizontal="center"/>
    </xf>
    <xf numFmtId="0" fontId="3" fillId="0" borderId="9" xfId="0" applyFont="1" applyBorder="1" applyAlignment="1">
      <alignment horizontal="center"/>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3" fillId="0" borderId="0" xfId="0" applyFont="1" applyBorder="1" applyAlignment="1">
      <alignment horizontal="center"/>
    </xf>
    <xf numFmtId="0" fontId="3" fillId="0" borderId="11" xfId="0" applyFont="1" applyBorder="1" applyAlignment="1">
      <alignment horizontal="center"/>
    </xf>
    <xf numFmtId="9" fontId="3" fillId="0" borderId="12" xfId="53"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9" fontId="3" fillId="0" borderId="14" xfId="53" applyFont="1" applyBorder="1" applyAlignment="1">
      <alignment horizontal="center"/>
    </xf>
    <xf numFmtId="0" fontId="1" fillId="0" borderId="15" xfId="0" applyFont="1" applyBorder="1" applyAlignment="1">
      <alignment horizontal="center" vertical="center" wrapText="1"/>
    </xf>
    <xf numFmtId="1" fontId="0" fillId="0" borderId="0" xfId="3" applyNumberFormat="1" applyFont="1" applyBorder="1" applyAlignment="1">
      <alignment horizontal="center" vertical="center"/>
    </xf>
    <xf numFmtId="0" fontId="3" fillId="0" borderId="16" xfId="0" applyFont="1" applyBorder="1" applyAlignment="1">
      <alignment horizontal="center"/>
    </xf>
    <xf numFmtId="1" fontId="0" fillId="0" borderId="16" xfId="0" applyNumberFormat="1" applyBorder="1" applyAlignment="1">
      <alignment horizontal="center" vertical="center"/>
    </xf>
    <xf numFmtId="9" fontId="0" fillId="0" borderId="0" xfId="53" applyFont="1" applyBorder="1" applyAlignment="1">
      <alignment horizontal="center"/>
    </xf>
    <xf numFmtId="9" fontId="3" fillId="0" borderId="11" xfId="53" applyFont="1" applyBorder="1" applyAlignment="1">
      <alignment horizontal="center"/>
    </xf>
    <xf numFmtId="9" fontId="3" fillId="0" borderId="2" xfId="53" applyFont="1" applyBorder="1" applyAlignment="1">
      <alignment horizontal="center"/>
    </xf>
    <xf numFmtId="9" fontId="3" fillId="0" borderId="13" xfId="53" applyFont="1" applyBorder="1" applyAlignment="1">
      <alignment horizontal="center"/>
    </xf>
    <xf numFmtId="0" fontId="0" fillId="0" borderId="0" xfId="0" applyNumberFormat="1"/>
    <xf numFmtId="1" fontId="3" fillId="0" borderId="17" xfId="3" applyNumberFormat="1" applyFont="1" applyBorder="1" applyAlignment="1">
      <alignment horizontal="center" vertical="center"/>
    </xf>
    <xf numFmtId="1" fontId="0" fillId="0" borderId="18" xfId="0" applyNumberFormat="1" applyBorder="1" applyAlignment="1">
      <alignment horizontal="center" vertical="center"/>
    </xf>
    <xf numFmtId="0" fontId="4" fillId="2" borderId="0" xfId="0" applyFont="1" applyFill="1" applyBorder="1" applyAlignment="1" applyProtection="1">
      <alignment vertical="center" wrapText="1"/>
    </xf>
    <xf numFmtId="0" fontId="5" fillId="2" borderId="0" xfId="0" applyFont="1" applyFill="1" applyBorder="1" applyAlignment="1" applyProtection="1">
      <alignment vertical="center"/>
    </xf>
    <xf numFmtId="0" fontId="0" fillId="0" borderId="6" xfId="0" applyFill="1" applyBorder="1"/>
    <xf numFmtId="0" fontId="1" fillId="0" borderId="19" xfId="0" applyFont="1" applyBorder="1" applyAlignment="1">
      <alignment horizontal="center" vertical="center" wrapText="1"/>
    </xf>
    <xf numFmtId="1" fontId="3" fillId="0" borderId="20" xfId="3" applyNumberFormat="1" applyFont="1" applyBorder="1" applyAlignment="1">
      <alignment horizontal="center" vertical="center"/>
    </xf>
    <xf numFmtId="1" fontId="0" fillId="0" borderId="21" xfId="0" applyNumberFormat="1" applyBorder="1" applyAlignment="1">
      <alignment horizontal="center" vertical="center"/>
    </xf>
    <xf numFmtId="0" fontId="1" fillId="0" borderId="22" xfId="0" applyFont="1" applyBorder="1" applyAlignment="1">
      <alignment horizontal="center" vertical="center" wrapText="1"/>
    </xf>
    <xf numFmtId="9" fontId="3" fillId="0" borderId="23" xfId="53" applyFont="1" applyBorder="1" applyAlignment="1">
      <alignment horizontal="center"/>
    </xf>
    <xf numFmtId="9" fontId="3" fillId="0" borderId="24" xfId="53" applyFont="1" applyBorder="1" applyAlignment="1">
      <alignment horizontal="center"/>
    </xf>
    <xf numFmtId="0" fontId="1" fillId="0" borderId="25" xfId="0" applyFont="1" applyBorder="1" applyAlignment="1">
      <alignment horizontal="center"/>
    </xf>
    <xf numFmtId="0" fontId="1" fillId="0" borderId="0" xfId="0" applyFont="1" applyAlignment="1">
      <alignment horizont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1" fillId="0" borderId="31" xfId="0" applyFont="1" applyBorder="1" applyAlignment="1"/>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3" fillId="0" borderId="34" xfId="0" applyFont="1" applyBorder="1" applyAlignment="1">
      <alignment horizontal="center"/>
    </xf>
    <xf numFmtId="0" fontId="3" fillId="0" borderId="35" xfId="0" applyFont="1" applyBorder="1" applyAlignment="1">
      <alignment horizontal="center"/>
    </xf>
    <xf numFmtId="0" fontId="3" fillId="0" borderId="31" xfId="0" applyFont="1" applyBorder="1" applyAlignment="1">
      <alignment horizontal="center"/>
    </xf>
    <xf numFmtId="0" fontId="1" fillId="0" borderId="27" xfId="0" applyFont="1" applyBorder="1" applyAlignment="1">
      <alignment horizontal="center" vertical="center" wrapText="1"/>
    </xf>
    <xf numFmtId="2" fontId="6" fillId="0" borderId="36" xfId="0" applyNumberFormat="1" applyFont="1" applyBorder="1" applyAlignment="1">
      <alignment horizontal="center"/>
    </xf>
    <xf numFmtId="0" fontId="6" fillId="0" borderId="36" xfId="0" applyFont="1" applyBorder="1" applyAlignment="1">
      <alignment horizontal="center"/>
    </xf>
    <xf numFmtId="2" fontId="0" fillId="0" borderId="36" xfId="0" applyNumberFormat="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0" borderId="33" xfId="0" applyFont="1" applyBorder="1" applyAlignment="1">
      <alignment horizontal="center" vertical="center" wrapText="1"/>
    </xf>
    <xf numFmtId="2" fontId="0" fillId="0" borderId="38" xfId="0" applyNumberForma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5" xfId="0" applyBorder="1"/>
    <xf numFmtId="2" fontId="0" fillId="0" borderId="40" xfId="0" applyNumberFormat="1" applyBorder="1" applyAlignment="1">
      <alignment horizontal="center"/>
    </xf>
    <xf numFmtId="2" fontId="0" fillId="0" borderId="0" xfId="0" applyNumberFormat="1"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1" fillId="0" borderId="42" xfId="0" applyFont="1"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58" fontId="4" fillId="2" borderId="0" xfId="0" applyNumberFormat="1"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1" fillId="0" borderId="45" xfId="0" applyFont="1" applyBorder="1" applyAlignment="1">
      <alignment horizontal="center" vertical="center" wrapText="1"/>
    </xf>
    <xf numFmtId="2" fontId="0" fillId="0" borderId="46" xfId="0" applyNumberFormat="1" applyBorder="1" applyAlignment="1">
      <alignment horizontal="center"/>
    </xf>
    <xf numFmtId="0" fontId="0" fillId="0" borderId="47" xfId="0" applyBorder="1" applyAlignment="1">
      <alignment horizontal="center"/>
    </xf>
    <xf numFmtId="187" fontId="0" fillId="0" borderId="0" xfId="32" applyFont="1"/>
    <xf numFmtId="0" fontId="1" fillId="3" borderId="0" xfId="0" applyFont="1" applyFill="1" applyAlignment="1">
      <alignment horizontal="center"/>
    </xf>
    <xf numFmtId="0" fontId="0" fillId="4" borderId="0" xfId="0" applyFill="1" applyAlignment="1">
      <alignment horizontal="left" vertical="center" wrapText="1"/>
    </xf>
    <xf numFmtId="0" fontId="0" fillId="4" borderId="0" xfId="0" applyFill="1"/>
    <xf numFmtId="0" fontId="0" fillId="0" borderId="0" xfId="0" applyAlignment="1">
      <alignment horizontal="center" vertical="center"/>
    </xf>
    <xf numFmtId="0" fontId="7" fillId="5" borderId="0" xfId="0" applyFont="1" applyFill="1" applyBorder="1" applyAlignment="1" applyProtection="1">
      <alignment horizontal="left" vertical="center"/>
    </xf>
    <xf numFmtId="183" fontId="7" fillId="5" borderId="0" xfId="0" applyNumberFormat="1"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xf>
    <xf numFmtId="0" fontId="7" fillId="5" borderId="48" xfId="0" applyFont="1" applyFill="1" applyBorder="1" applyAlignment="1" applyProtection="1">
      <alignment horizontal="center" vertical="center"/>
    </xf>
    <xf numFmtId="0" fontId="7" fillId="5" borderId="49" xfId="0" applyFont="1" applyFill="1" applyBorder="1" applyAlignment="1" applyProtection="1">
      <alignment horizontal="center" vertical="center"/>
    </xf>
    <xf numFmtId="0" fontId="8" fillId="5" borderId="50" xfId="0" applyFont="1" applyFill="1" applyBorder="1" applyAlignment="1" applyProtection="1">
      <alignment horizontal="left" vertical="center"/>
    </xf>
    <xf numFmtId="186" fontId="7" fillId="5" borderId="51" xfId="50" applyNumberFormat="1" applyFont="1" applyFill="1" applyBorder="1" applyAlignment="1" applyProtection="1">
      <alignment horizontal="right" vertical="center"/>
    </xf>
    <xf numFmtId="0" fontId="8" fillId="5" borderId="52" xfId="0" applyFont="1" applyFill="1" applyBorder="1" applyAlignment="1" applyProtection="1">
      <alignment horizontal="left" vertical="center"/>
    </xf>
    <xf numFmtId="186" fontId="7" fillId="5" borderId="53" xfId="50" applyNumberFormat="1" applyFont="1" applyFill="1" applyBorder="1" applyAlignment="1" applyProtection="1">
      <alignment horizontal="right" vertical="center"/>
    </xf>
    <xf numFmtId="0" fontId="8" fillId="5" borderId="52" xfId="0" applyFont="1" applyFill="1" applyBorder="1" applyAlignment="1" applyProtection="1">
      <alignment vertical="center" wrapText="1"/>
    </xf>
    <xf numFmtId="0" fontId="8" fillId="5" borderId="54" xfId="0" applyFont="1" applyFill="1" applyBorder="1" applyAlignment="1" applyProtection="1">
      <alignment horizontal="left" vertical="center"/>
    </xf>
    <xf numFmtId="186" fontId="7" fillId="5" borderId="55" xfId="50" applyNumberFormat="1" applyFont="1" applyFill="1" applyBorder="1" applyAlignment="1" applyProtection="1">
      <alignment horizontal="right" vertical="center"/>
    </xf>
    <xf numFmtId="0" fontId="8" fillId="5" borderId="0" xfId="0" applyFont="1" applyFill="1" applyBorder="1" applyAlignment="1" applyProtection="1">
      <alignment horizontal="left" vertical="center"/>
    </xf>
    <xf numFmtId="0" fontId="7" fillId="5" borderId="56" xfId="0" applyFont="1" applyFill="1" applyBorder="1" applyAlignment="1" applyProtection="1">
      <alignment horizontal="center" vertical="center"/>
    </xf>
    <xf numFmtId="0" fontId="7" fillId="5" borderId="57" xfId="0" applyFont="1" applyFill="1" applyBorder="1" applyAlignment="1" applyProtection="1">
      <alignment horizontal="center" vertical="center"/>
    </xf>
    <xf numFmtId="0" fontId="7" fillId="5" borderId="58" xfId="0" applyFont="1" applyFill="1" applyBorder="1" applyAlignment="1" applyProtection="1">
      <alignment horizontal="left" vertical="center"/>
    </xf>
    <xf numFmtId="186" fontId="7" fillId="5" borderId="58" xfId="50" applyNumberFormat="1" applyFont="1" applyFill="1" applyBorder="1" applyAlignment="1" applyProtection="1">
      <alignment horizontal="right" vertical="center"/>
    </xf>
    <xf numFmtId="0" fontId="8" fillId="6" borderId="59" xfId="0" applyFont="1" applyFill="1" applyBorder="1" applyAlignment="1" applyProtection="1">
      <alignment horizontal="left" vertical="center"/>
    </xf>
    <xf numFmtId="186" fontId="7" fillId="6" borderId="59" xfId="50" applyNumberFormat="1" applyFont="1" applyFill="1" applyBorder="1" applyAlignment="1" applyProtection="1">
      <alignment horizontal="right" vertical="center"/>
    </xf>
    <xf numFmtId="0" fontId="9" fillId="7" borderId="59" xfId="0" applyFont="1" applyFill="1" applyBorder="1" applyAlignment="1" applyProtection="1">
      <alignment horizontal="center" vertical="center"/>
    </xf>
    <xf numFmtId="186" fontId="8" fillId="7" borderId="59" xfId="50" applyNumberFormat="1" applyFont="1" applyFill="1" applyBorder="1" applyAlignment="1" applyProtection="1">
      <alignment horizontal="right" vertical="center"/>
    </xf>
    <xf numFmtId="0" fontId="7" fillId="5" borderId="59" xfId="0" applyFont="1" applyFill="1" applyBorder="1" applyAlignment="1" applyProtection="1">
      <alignment horizontal="left" vertical="center"/>
    </xf>
    <xf numFmtId="186" fontId="7" fillId="5" borderId="59" xfId="50" applyNumberFormat="1" applyFont="1" applyFill="1" applyBorder="1" applyAlignment="1" applyProtection="1">
      <alignment horizontal="right" vertical="center"/>
    </xf>
    <xf numFmtId="0" fontId="8" fillId="5" borderId="59" xfId="0" applyFont="1" applyFill="1" applyBorder="1" applyAlignment="1" applyProtection="1">
      <alignment horizontal="left" vertical="center"/>
    </xf>
    <xf numFmtId="186" fontId="8" fillId="5" borderId="59" xfId="50" applyNumberFormat="1" applyFont="1" applyFill="1" applyBorder="1" applyAlignment="1" applyProtection="1">
      <alignment horizontal="right" vertical="center"/>
    </xf>
    <xf numFmtId="0" fontId="8" fillId="5" borderId="60" xfId="0" applyFont="1" applyFill="1" applyBorder="1" applyAlignment="1" applyProtection="1">
      <alignment horizontal="left" vertical="center"/>
    </xf>
    <xf numFmtId="186" fontId="8" fillId="5" borderId="60" xfId="50" applyNumberFormat="1" applyFont="1" applyFill="1" applyBorder="1" applyAlignment="1" applyProtection="1">
      <alignment horizontal="right" vertical="center"/>
    </xf>
    <xf numFmtId="0" fontId="7" fillId="5" borderId="61" xfId="0" applyFont="1" applyFill="1" applyBorder="1" applyAlignment="1" applyProtection="1">
      <alignment horizontal="center" vertical="center"/>
    </xf>
    <xf numFmtId="186" fontId="7" fillId="5" borderId="62" xfId="50" applyNumberFormat="1" applyFont="1" applyFill="1" applyBorder="1" applyAlignment="1" applyProtection="1">
      <alignment horizontal="right" vertical="center"/>
    </xf>
    <xf numFmtId="186" fontId="7" fillId="5" borderId="63" xfId="50" applyNumberFormat="1" applyFont="1" applyFill="1" applyBorder="1" applyAlignment="1" applyProtection="1">
      <alignment horizontal="right" vertical="center"/>
    </xf>
    <xf numFmtId="186" fontId="7" fillId="5" borderId="64" xfId="50" applyNumberFormat="1" applyFont="1" applyFill="1" applyBorder="1" applyAlignment="1" applyProtection="1">
      <alignment horizontal="right" vertical="center"/>
    </xf>
    <xf numFmtId="0" fontId="10" fillId="8" borderId="0" xfId="0" applyFont="1" applyFill="1" applyBorder="1" applyAlignment="1">
      <alignment horizontal="center" vertical="center" wrapText="1" readingOrder="1"/>
    </xf>
    <xf numFmtId="0" fontId="11" fillId="9" borderId="0" xfId="0" applyFont="1" applyFill="1" applyBorder="1" applyAlignment="1">
      <alignment horizontal="left" vertical="center" wrapText="1" readingOrder="1"/>
    </xf>
    <xf numFmtId="0" fontId="12" fillId="9" borderId="0" xfId="0" applyFont="1" applyFill="1" applyBorder="1" applyAlignment="1">
      <alignment vertical="top" wrapText="1"/>
    </xf>
    <xf numFmtId="0" fontId="13" fillId="8" borderId="0" xfId="0" applyFont="1" applyFill="1" applyBorder="1" applyAlignment="1" applyProtection="1">
      <alignment horizontal="left" vertical="center" wrapText="1" readingOrder="1"/>
    </xf>
    <xf numFmtId="0" fontId="14" fillId="8" borderId="0" xfId="0" applyFont="1" applyFill="1" applyBorder="1" applyAlignment="1" applyProtection="1">
      <alignment vertical="top" wrapText="1"/>
    </xf>
    <xf numFmtId="0" fontId="15" fillId="5" borderId="0"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0" fillId="8" borderId="0" xfId="0" applyFont="1" applyFill="1" applyAlignment="1">
      <alignment vertical="center"/>
    </xf>
    <xf numFmtId="0" fontId="16" fillId="10" borderId="66" xfId="10" applyFont="1" applyFill="1" applyBorder="1" applyAlignment="1" applyProtection="1">
      <alignment horizontal="right" vertical="center"/>
    </xf>
    <xf numFmtId="0" fontId="16" fillId="10" borderId="67" xfId="10" applyFont="1" applyFill="1" applyBorder="1" applyAlignment="1" applyProtection="1">
      <alignment horizontal="right" vertical="center"/>
    </xf>
    <xf numFmtId="182" fontId="17" fillId="10" borderId="68" xfId="50" applyNumberFormat="1" applyFont="1" applyFill="1" applyBorder="1" applyAlignment="1" applyProtection="1">
      <alignment vertical="center"/>
    </xf>
    <xf numFmtId="0" fontId="16" fillId="9" borderId="69" xfId="10" applyFont="1" applyFill="1" applyBorder="1" applyAlignment="1" applyProtection="1">
      <alignment horizontal="right" vertical="center"/>
    </xf>
    <xf numFmtId="0" fontId="16" fillId="9" borderId="70" xfId="10" applyFont="1" applyFill="1" applyBorder="1" applyAlignment="1" applyProtection="1">
      <alignment horizontal="right" vertical="center"/>
    </xf>
    <xf numFmtId="0" fontId="17" fillId="9" borderId="71" xfId="32" applyNumberFormat="1" applyFont="1" applyFill="1" applyBorder="1" applyAlignment="1" applyProtection="1">
      <alignment horizontal="center" vertical="center"/>
    </xf>
    <xf numFmtId="0" fontId="16" fillId="10" borderId="69" xfId="10" applyFont="1" applyFill="1" applyBorder="1" applyAlignment="1" applyProtection="1">
      <alignment horizontal="right" vertical="center"/>
    </xf>
    <xf numFmtId="0" fontId="16" fillId="10" borderId="70" xfId="10" applyFont="1" applyFill="1" applyBorder="1" applyAlignment="1" applyProtection="1">
      <alignment horizontal="right" vertical="center"/>
    </xf>
    <xf numFmtId="182" fontId="17" fillId="10" borderId="71" xfId="50" applyNumberFormat="1" applyFont="1" applyFill="1" applyBorder="1" applyAlignment="1" applyProtection="1">
      <alignment vertical="center"/>
    </xf>
    <xf numFmtId="0" fontId="16" fillId="9" borderId="72" xfId="10" applyFont="1" applyFill="1" applyBorder="1" applyAlignment="1" applyProtection="1">
      <alignment vertical="center" wrapText="1"/>
    </xf>
    <xf numFmtId="0" fontId="16" fillId="9" borderId="73" xfId="10" applyFont="1" applyFill="1" applyBorder="1" applyAlignment="1" applyProtection="1">
      <alignment vertical="center" wrapText="1"/>
    </xf>
    <xf numFmtId="182" fontId="17" fillId="9" borderId="74" xfId="50" applyNumberFormat="1" applyFont="1" applyFill="1" applyBorder="1" applyAlignment="1" applyProtection="1">
      <alignment vertical="center"/>
    </xf>
    <xf numFmtId="0" fontId="16" fillId="9" borderId="75" xfId="10" applyFont="1" applyFill="1" applyBorder="1" applyAlignment="1" applyProtection="1">
      <alignment horizontal="right" vertical="center" wrapText="1"/>
    </xf>
    <xf numFmtId="0" fontId="16" fillId="9" borderId="76" xfId="10" applyFont="1" applyFill="1" applyBorder="1" applyAlignment="1" applyProtection="1">
      <alignment horizontal="right" vertical="center" wrapText="1"/>
    </xf>
    <xf numFmtId="182" fontId="17" fillId="9" borderId="77" xfId="50" applyNumberFormat="1" applyFont="1" applyFill="1" applyBorder="1" applyAlignment="1" applyProtection="1">
      <alignment vertical="center"/>
    </xf>
    <xf numFmtId="0" fontId="17" fillId="8" borderId="0" xfId="0" applyFont="1" applyFill="1" applyAlignment="1" applyProtection="1">
      <alignment vertical="center"/>
    </xf>
    <xf numFmtId="0" fontId="18" fillId="11" borderId="78" xfId="0" applyFont="1" applyFill="1" applyBorder="1" applyAlignment="1" applyProtection="1">
      <alignment horizontal="left" vertical="center" wrapText="1"/>
    </xf>
    <xf numFmtId="0" fontId="18" fillId="11" borderId="79" xfId="0" applyFont="1" applyFill="1" applyBorder="1" applyAlignment="1" applyProtection="1">
      <alignment horizontal="left" vertical="center" wrapText="1"/>
    </xf>
    <xf numFmtId="182" fontId="17" fillId="11" borderId="79" xfId="50" applyNumberFormat="1" applyFont="1" applyFill="1" applyBorder="1" applyAlignment="1" applyProtection="1">
      <alignment horizontal="left" vertical="center"/>
    </xf>
    <xf numFmtId="0" fontId="18" fillId="11" borderId="80" xfId="0" applyFont="1" applyFill="1" applyBorder="1" applyAlignment="1" applyProtection="1">
      <alignment horizontal="left" vertical="center" wrapText="1"/>
    </xf>
    <xf numFmtId="0" fontId="18" fillId="11" borderId="81" xfId="0" applyFont="1" applyFill="1" applyBorder="1" applyAlignment="1" applyProtection="1">
      <alignment horizontal="left" vertical="center" wrapText="1"/>
    </xf>
    <xf numFmtId="2" fontId="19" fillId="0" borderId="81" xfId="50" applyNumberFormat="1" applyFont="1" applyFill="1" applyBorder="1" applyAlignment="1" applyProtection="1">
      <alignment horizontal="left" vertical="center" wrapText="1"/>
    </xf>
    <xf numFmtId="0" fontId="20" fillId="6" borderId="82"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xf>
    <xf numFmtId="0" fontId="18" fillId="11" borderId="82" xfId="0" applyFont="1" applyFill="1" applyBorder="1" applyAlignment="1" applyProtection="1">
      <alignment vertical="center" wrapText="1"/>
    </xf>
    <xf numFmtId="0" fontId="18" fillId="11" borderId="0" xfId="0" applyFont="1" applyFill="1" applyBorder="1" applyAlignment="1" applyProtection="1">
      <alignment vertical="center" wrapText="1"/>
    </xf>
    <xf numFmtId="182" fontId="17" fillId="11" borderId="0" xfId="50" applyNumberFormat="1" applyFont="1" applyFill="1" applyBorder="1" applyAlignment="1" applyProtection="1">
      <alignment vertical="center"/>
    </xf>
    <xf numFmtId="0" fontId="18" fillId="11" borderId="80" xfId="0" applyFont="1" applyFill="1" applyBorder="1" applyAlignment="1" applyProtection="1">
      <alignment vertical="center" wrapText="1"/>
    </xf>
    <xf numFmtId="0" fontId="18" fillId="11" borderId="81" xfId="0" applyFont="1" applyFill="1" applyBorder="1" applyAlignment="1" applyProtection="1">
      <alignment vertical="center" wrapText="1"/>
    </xf>
    <xf numFmtId="2" fontId="19" fillId="0" borderId="81" xfId="50" applyNumberFormat="1" applyFont="1" applyFill="1" applyBorder="1" applyAlignment="1" applyProtection="1">
      <alignment vertical="center" wrapText="1"/>
    </xf>
    <xf numFmtId="0" fontId="20" fillId="6" borderId="82" xfId="0" applyFont="1" applyFill="1" applyBorder="1" applyAlignment="1" applyProtection="1">
      <alignment vertical="center" wrapText="1"/>
    </xf>
    <xf numFmtId="0" fontId="20" fillId="6" borderId="0" xfId="0" applyFont="1" applyFill="1" applyBorder="1" applyAlignment="1" applyProtection="1">
      <alignment vertical="center" wrapText="1"/>
    </xf>
    <xf numFmtId="0" fontId="20" fillId="6" borderId="0" xfId="0" applyFont="1" applyFill="1" applyBorder="1" applyAlignment="1" applyProtection="1">
      <alignment vertical="center"/>
    </xf>
    <xf numFmtId="2" fontId="17" fillId="11" borderId="0" xfId="50" applyNumberFormat="1" applyFont="1" applyFill="1" applyBorder="1" applyAlignment="1" applyProtection="1">
      <alignment vertical="center"/>
    </xf>
    <xf numFmtId="0" fontId="18" fillId="11" borderId="82" xfId="0" applyFont="1" applyFill="1" applyBorder="1" applyAlignment="1" applyProtection="1">
      <alignment horizontal="center" vertical="center" wrapText="1"/>
    </xf>
    <xf numFmtId="0" fontId="18" fillId="11" borderId="0" xfId="0" applyFont="1" applyFill="1" applyBorder="1" applyAlignment="1" applyProtection="1">
      <alignment horizontal="center" vertical="center" wrapText="1"/>
    </xf>
    <xf numFmtId="2" fontId="19" fillId="0" borderId="81" xfId="50" applyNumberFormat="1" applyFont="1" applyFill="1" applyBorder="1" applyAlignment="1" applyProtection="1">
      <alignment horizontal="center" vertical="center" wrapText="1"/>
    </xf>
    <xf numFmtId="0" fontId="15" fillId="5" borderId="0" xfId="0" applyFont="1" applyFill="1" applyBorder="1" applyAlignment="1" applyProtection="1">
      <alignment horizontal="center" vertical="center" wrapText="1"/>
    </xf>
    <xf numFmtId="0" fontId="15" fillId="5" borderId="65" xfId="0" applyFont="1" applyFill="1" applyBorder="1" applyAlignment="1" applyProtection="1">
      <alignment horizontal="center" vertical="center" wrapText="1"/>
    </xf>
    <xf numFmtId="182" fontId="17" fillId="10" borderId="83" xfId="50" applyNumberFormat="1" applyFont="1" applyFill="1" applyBorder="1" applyAlignment="1" applyProtection="1">
      <alignment vertical="center"/>
    </xf>
    <xf numFmtId="182" fontId="17" fillId="10" borderId="84" xfId="50" applyNumberFormat="1" applyFont="1" applyFill="1" applyBorder="1" applyAlignment="1" applyProtection="1">
      <alignment vertical="center"/>
    </xf>
    <xf numFmtId="0" fontId="17" fillId="9" borderId="85" xfId="32" applyNumberFormat="1" applyFont="1" applyFill="1" applyBorder="1" applyAlignment="1" applyProtection="1">
      <alignment horizontal="center" vertical="center"/>
    </xf>
    <xf numFmtId="0" fontId="17" fillId="9" borderId="86" xfId="32" applyNumberFormat="1" applyFont="1" applyFill="1" applyBorder="1" applyAlignment="1" applyProtection="1">
      <alignment horizontal="center" vertical="center"/>
    </xf>
    <xf numFmtId="182" fontId="17" fillId="10" borderId="85" xfId="50" applyNumberFormat="1" applyFont="1" applyFill="1" applyBorder="1" applyAlignment="1" applyProtection="1">
      <alignment vertical="center"/>
    </xf>
    <xf numFmtId="182" fontId="17" fillId="10" borderId="86" xfId="50" applyNumberFormat="1" applyFont="1" applyFill="1" applyBorder="1" applyAlignment="1" applyProtection="1">
      <alignment vertical="center"/>
    </xf>
    <xf numFmtId="182" fontId="17" fillId="9" borderId="87" xfId="50" applyNumberFormat="1" applyFont="1" applyFill="1" applyBorder="1" applyAlignment="1" applyProtection="1">
      <alignment vertical="center"/>
    </xf>
    <xf numFmtId="182" fontId="17" fillId="9" borderId="88" xfId="50" applyNumberFormat="1" applyFont="1" applyFill="1" applyBorder="1" applyAlignment="1" applyProtection="1">
      <alignment vertical="center"/>
    </xf>
    <xf numFmtId="182" fontId="17" fillId="9" borderId="89" xfId="50" applyNumberFormat="1" applyFont="1" applyFill="1" applyBorder="1" applyAlignment="1" applyProtection="1">
      <alignment vertical="center"/>
    </xf>
    <xf numFmtId="182" fontId="17" fillId="9" borderId="90" xfId="50" applyNumberFormat="1" applyFont="1" applyFill="1" applyBorder="1" applyAlignment="1" applyProtection="1">
      <alignment vertical="center"/>
    </xf>
    <xf numFmtId="182" fontId="17" fillId="12" borderId="79" xfId="50" applyNumberFormat="1" applyFont="1" applyFill="1" applyBorder="1" applyAlignment="1" applyProtection="1">
      <alignment horizontal="left" vertical="center"/>
    </xf>
    <xf numFmtId="182" fontId="17" fillId="11" borderId="91" xfId="50" applyNumberFormat="1" applyFont="1" applyFill="1" applyBorder="1" applyAlignment="1" applyProtection="1">
      <alignment horizontal="left" vertical="center"/>
    </xf>
    <xf numFmtId="2" fontId="19" fillId="0" borderId="92" xfId="50" applyNumberFormat="1" applyFont="1" applyFill="1" applyBorder="1" applyAlignment="1" applyProtection="1">
      <alignment horizontal="left" vertical="center" wrapText="1"/>
    </xf>
    <xf numFmtId="0" fontId="20" fillId="6" borderId="93" xfId="0" applyFont="1" applyFill="1" applyBorder="1" applyAlignment="1" applyProtection="1">
      <alignment horizontal="left" vertical="center"/>
    </xf>
    <xf numFmtId="2" fontId="19" fillId="0" borderId="92" xfId="50" applyNumberFormat="1" applyFont="1" applyFill="1" applyBorder="1" applyAlignment="1" applyProtection="1">
      <alignment vertical="center" wrapText="1"/>
    </xf>
    <xf numFmtId="0" fontId="20" fillId="6" borderId="93" xfId="0" applyFont="1" applyFill="1" applyBorder="1" applyAlignment="1" applyProtection="1">
      <alignment vertical="center"/>
    </xf>
    <xf numFmtId="2" fontId="17" fillId="12" borderId="0" xfId="50" applyNumberFormat="1" applyFont="1" applyFill="1" applyBorder="1" applyAlignment="1" applyProtection="1">
      <alignment vertical="center"/>
    </xf>
    <xf numFmtId="2" fontId="17" fillId="11" borderId="93" xfId="50" applyNumberFormat="1" applyFont="1" applyFill="1" applyBorder="1" applyAlignment="1" applyProtection="1">
      <alignment vertical="center"/>
    </xf>
    <xf numFmtId="2" fontId="19" fillId="0" borderId="92" xfId="50" applyNumberFormat="1" applyFont="1" applyFill="1" applyBorder="1" applyAlignment="1" applyProtection="1">
      <alignment horizontal="center" vertical="center" wrapText="1"/>
    </xf>
    <xf numFmtId="182" fontId="17" fillId="12" borderId="0" xfId="50" applyNumberFormat="1" applyFont="1" applyFill="1" applyBorder="1" applyAlignment="1" applyProtection="1">
      <alignment vertical="center"/>
    </xf>
    <xf numFmtId="182" fontId="17" fillId="11" borderId="93" xfId="50" applyNumberFormat="1" applyFont="1" applyFill="1" applyBorder="1" applyAlignment="1" applyProtection="1">
      <alignment vertical="center"/>
    </xf>
    <xf numFmtId="2" fontId="17" fillId="12" borderId="0" xfId="50" applyNumberFormat="1" applyFont="1" applyFill="1" applyBorder="1" applyAlignment="1" applyProtection="1">
      <alignment vertical="center" wrapText="1"/>
    </xf>
    <xf numFmtId="0" fontId="3" fillId="0" borderId="0" xfId="0" applyFont="1" applyAlignment="1" applyProtection="1">
      <alignment vertical="center"/>
    </xf>
    <xf numFmtId="0" fontId="1" fillId="5" borderId="0" xfId="0" applyFont="1" applyFill="1" applyBorder="1" applyAlignment="1" applyProtection="1">
      <alignment horizontal="left" vertical="center"/>
    </xf>
    <xf numFmtId="0" fontId="1" fillId="5" borderId="65" xfId="0" applyFont="1" applyFill="1" applyBorder="1" applyAlignment="1" applyProtection="1">
      <alignment horizontal="center" vertical="center"/>
      <protection locked="0"/>
    </xf>
    <xf numFmtId="0" fontId="1" fillId="13" borderId="94" xfId="0" applyFont="1" applyFill="1" applyBorder="1" applyAlignment="1" applyProtection="1">
      <alignment horizontal="center" vertical="center" textRotation="90"/>
    </xf>
    <xf numFmtId="0" fontId="1" fillId="0" borderId="95" xfId="0" applyFont="1" applyFill="1" applyBorder="1" applyAlignment="1" applyProtection="1">
      <alignment horizontal="left" vertical="center"/>
    </xf>
    <xf numFmtId="0" fontId="1" fillId="14" borderId="95" xfId="0" applyFont="1" applyFill="1" applyBorder="1" applyAlignment="1" applyProtection="1">
      <alignment horizontal="center" vertical="center"/>
    </xf>
    <xf numFmtId="0" fontId="1" fillId="13" borderId="96" xfId="0" applyFont="1" applyFill="1" applyBorder="1" applyAlignment="1" applyProtection="1">
      <alignment horizontal="center" vertical="center" textRotation="90"/>
    </xf>
    <xf numFmtId="0" fontId="3" fillId="5" borderId="0" xfId="0" applyFont="1" applyFill="1" applyBorder="1" applyAlignment="1" applyProtection="1">
      <alignment horizontal="left" vertical="center"/>
    </xf>
    <xf numFmtId="186" fontId="3" fillId="5" borderId="0" xfId="50" applyNumberFormat="1" applyFont="1" applyFill="1" applyBorder="1" applyAlignment="1" applyProtection="1">
      <alignment horizontal="center" vertical="center"/>
      <protection locked="0"/>
    </xf>
    <xf numFmtId="186" fontId="21" fillId="5" borderId="0" xfId="53" applyNumberFormat="1" applyFont="1" applyFill="1" applyBorder="1" applyAlignment="1" applyProtection="1">
      <alignment horizontal="center" vertical="center"/>
    </xf>
    <xf numFmtId="0" fontId="1" fillId="13" borderId="0" xfId="0" applyFont="1" applyFill="1" applyBorder="1" applyAlignment="1" applyProtection="1">
      <alignment horizontal="left" vertical="center"/>
    </xf>
    <xf numFmtId="181" fontId="1" fillId="13" borderId="97" xfId="39" applyNumberFormat="1" applyFont="1" applyFill="1" applyBorder="1" applyAlignment="1" applyProtection="1">
      <alignment horizontal="center" vertical="center"/>
    </xf>
    <xf numFmtId="0" fontId="1" fillId="0" borderId="0" xfId="0" applyFont="1" applyFill="1" applyBorder="1" applyAlignment="1" applyProtection="1">
      <alignment horizontal="left" vertical="center"/>
    </xf>
    <xf numFmtId="0" fontId="1" fillId="14" borderId="0" xfId="0" applyFont="1" applyFill="1" applyBorder="1" applyAlignment="1" applyProtection="1">
      <alignment horizontal="center" vertical="center"/>
    </xf>
    <xf numFmtId="0" fontId="3" fillId="5" borderId="0" xfId="0" applyFont="1" applyFill="1" applyBorder="1" applyAlignment="1" applyProtection="1">
      <alignment vertical="center"/>
    </xf>
    <xf numFmtId="186" fontId="3" fillId="5" borderId="0" xfId="0" applyNumberFormat="1" applyFont="1" applyFill="1" applyBorder="1" applyAlignment="1" applyProtection="1">
      <alignment horizontal="center" vertical="center"/>
    </xf>
    <xf numFmtId="186" fontId="1" fillId="5" borderId="0" xfId="0" applyNumberFormat="1" applyFont="1" applyFill="1" applyBorder="1" applyAlignment="1" applyProtection="1">
      <alignment horizontal="center" vertical="center"/>
    </xf>
    <xf numFmtId="0" fontId="1" fillId="13" borderId="98" xfId="0" applyFont="1" applyFill="1" applyBorder="1" applyAlignment="1" applyProtection="1">
      <alignment horizontal="center" vertical="center" textRotation="90"/>
    </xf>
    <xf numFmtId="0" fontId="1" fillId="0" borderId="99" xfId="0" applyFont="1" applyFill="1" applyBorder="1" applyAlignment="1" applyProtection="1">
      <alignment horizontal="left" vertical="center"/>
    </xf>
    <xf numFmtId="0" fontId="3" fillId="5" borderId="99" xfId="0" applyFont="1" applyFill="1" applyBorder="1" applyAlignment="1" applyProtection="1">
      <alignment horizontal="left" vertical="center"/>
    </xf>
    <xf numFmtId="189" fontId="1" fillId="13" borderId="97" xfId="1" applyNumberFormat="1" applyFont="1" applyFill="1" applyBorder="1" applyAlignment="1" applyProtection="1">
      <alignment horizontal="center" vertical="center"/>
    </xf>
    <xf numFmtId="0" fontId="3" fillId="5" borderId="0" xfId="0" applyFont="1" applyFill="1" applyBorder="1" applyAlignment="1" applyProtection="1">
      <alignment vertical="center" wrapText="1"/>
    </xf>
    <xf numFmtId="0" fontId="1" fillId="13" borderId="100" xfId="0" applyFont="1" applyFill="1" applyBorder="1" applyAlignment="1" applyProtection="1">
      <alignment horizontal="left" vertical="center"/>
    </xf>
    <xf numFmtId="180" fontId="1" fillId="5" borderId="0" xfId="0" applyNumberFormat="1" applyFont="1" applyFill="1" applyBorder="1" applyAlignment="1" applyProtection="1">
      <alignment horizontal="center" vertical="center"/>
    </xf>
    <xf numFmtId="0" fontId="1" fillId="13" borderId="101" xfId="0" applyFont="1" applyFill="1" applyBorder="1" applyAlignment="1" applyProtection="1">
      <alignment horizontal="center" vertical="center" textRotation="90"/>
    </xf>
    <xf numFmtId="179" fontId="1" fillId="13" borderId="102" xfId="53" applyNumberFormat="1"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11" borderId="103" xfId="0" applyFont="1" applyFill="1" applyBorder="1" applyAlignment="1" applyProtection="1">
      <alignment horizontal="center" vertical="center" textRotation="90"/>
    </xf>
    <xf numFmtId="0" fontId="1" fillId="0" borderId="104" xfId="0" applyFont="1" applyFill="1" applyBorder="1" applyAlignment="1" applyProtection="1">
      <alignment horizontal="left" vertical="center"/>
    </xf>
    <xf numFmtId="0" fontId="1" fillId="14" borderId="104" xfId="0" applyFont="1" applyFill="1" applyBorder="1" applyAlignment="1" applyProtection="1">
      <alignment horizontal="center" vertical="center"/>
    </xf>
    <xf numFmtId="0" fontId="1" fillId="11" borderId="105" xfId="0" applyFont="1" applyFill="1" applyBorder="1" applyAlignment="1" applyProtection="1">
      <alignment horizontal="center" vertical="center" textRotation="90"/>
    </xf>
    <xf numFmtId="0" fontId="1" fillId="11" borderId="0" xfId="0" applyFont="1" applyFill="1" applyBorder="1" applyAlignment="1" applyProtection="1">
      <alignment horizontal="left" vertical="center"/>
    </xf>
    <xf numFmtId="178" fontId="1" fillId="5" borderId="0" xfId="0" applyNumberFormat="1" applyFont="1" applyFill="1" applyBorder="1" applyAlignment="1" applyProtection="1">
      <alignment horizontal="center" vertical="center"/>
    </xf>
    <xf numFmtId="0" fontId="1" fillId="0" borderId="0" xfId="0" applyFont="1" applyBorder="1" applyAlignment="1" applyProtection="1">
      <alignment vertical="center"/>
    </xf>
    <xf numFmtId="0" fontId="3" fillId="0" borderId="0" xfId="0" applyFont="1" applyBorder="1" applyAlignment="1" applyProtection="1">
      <alignment vertical="center"/>
    </xf>
    <xf numFmtId="186" fontId="3" fillId="0" borderId="0" xfId="50" applyNumberFormat="1" applyFont="1" applyBorder="1" applyAlignment="1" applyProtection="1">
      <alignment horizontal="center" vertical="center"/>
    </xf>
    <xf numFmtId="186" fontId="3" fillId="0" borderId="0" xfId="0" applyNumberFormat="1" applyFont="1" applyBorder="1" applyAlignment="1" applyProtection="1">
      <alignment vertical="center"/>
    </xf>
    <xf numFmtId="0" fontId="1" fillId="11" borderId="0" xfId="0" applyFont="1" applyFill="1" applyBorder="1" applyAlignment="1" applyProtection="1">
      <alignment vertical="center"/>
    </xf>
    <xf numFmtId="186" fontId="3" fillId="11" borderId="97" xfId="50" applyNumberFormat="1"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1" fillId="11" borderId="106" xfId="0" applyFont="1" applyFill="1" applyBorder="1" applyAlignment="1" applyProtection="1">
      <alignment horizontal="center" vertical="center" textRotation="90"/>
    </xf>
    <xf numFmtId="0" fontId="1" fillId="11" borderId="107" xfId="0" applyFont="1" applyFill="1" applyBorder="1" applyAlignment="1" applyProtection="1">
      <alignment vertical="center"/>
    </xf>
    <xf numFmtId="180" fontId="3" fillId="11" borderId="108" xfId="3" applyNumberFormat="1" applyFont="1" applyFill="1" applyBorder="1" applyAlignment="1" applyProtection="1">
      <alignment horizontal="center" vertical="center"/>
    </xf>
    <xf numFmtId="0" fontId="1" fillId="15" borderId="109" xfId="0" applyFont="1" applyFill="1" applyBorder="1" applyAlignment="1" applyProtection="1">
      <alignment horizontal="center" vertical="center" textRotation="90"/>
    </xf>
    <xf numFmtId="0" fontId="1" fillId="0" borderId="57" xfId="0" applyFont="1" applyBorder="1" applyAlignment="1" applyProtection="1">
      <alignment vertical="center"/>
    </xf>
    <xf numFmtId="0" fontId="3" fillId="7" borderId="57" xfId="0" applyFont="1" applyFill="1" applyBorder="1" applyAlignment="1" applyProtection="1">
      <alignment vertical="center"/>
    </xf>
    <xf numFmtId="0" fontId="1" fillId="15" borderId="110" xfId="0" applyFont="1" applyFill="1" applyBorder="1" applyAlignment="1" applyProtection="1">
      <alignment horizontal="center" vertical="center" textRotation="90"/>
    </xf>
    <xf numFmtId="186" fontId="3" fillId="0" borderId="0" xfId="50" applyNumberFormat="1" applyFont="1" applyBorder="1" applyAlignment="1" applyProtection="1">
      <alignment vertical="center"/>
    </xf>
    <xf numFmtId="0" fontId="1" fillId="15" borderId="0" xfId="0" applyFont="1" applyFill="1" applyBorder="1" applyAlignment="1" applyProtection="1">
      <alignment horizontal="left" vertical="center"/>
    </xf>
    <xf numFmtId="186" fontId="1" fillId="15" borderId="97" xfId="0" applyNumberFormat="1" applyFont="1" applyFill="1" applyBorder="1" applyAlignment="1" applyProtection="1">
      <alignment horizontal="center" vertical="center"/>
    </xf>
    <xf numFmtId="0" fontId="1" fillId="0" borderId="25" xfId="0" applyFont="1" applyBorder="1" applyAlignment="1" applyProtection="1">
      <alignment vertical="center" wrapText="1"/>
    </xf>
    <xf numFmtId="0" fontId="3" fillId="0" borderId="111" xfId="0" applyFont="1" applyBorder="1" applyAlignment="1">
      <alignment horizontal="left" vertical="center" wrapText="1"/>
    </xf>
    <xf numFmtId="0" fontId="0" fillId="0" borderId="112" xfId="0" applyFont="1" applyBorder="1" applyAlignment="1">
      <alignment horizontal="left" vertical="center" wrapText="1"/>
    </xf>
    <xf numFmtId="0" fontId="3" fillId="0" borderId="112" xfId="0" applyFont="1" applyBorder="1" applyAlignment="1">
      <alignment horizontal="left" vertical="center" wrapText="1"/>
    </xf>
    <xf numFmtId="0" fontId="0" fillId="0" borderId="113" xfId="0" applyFont="1" applyBorder="1" applyAlignment="1">
      <alignment horizontal="left" vertical="center" wrapText="1"/>
    </xf>
    <xf numFmtId="0" fontId="0" fillId="0" borderId="114" xfId="0" applyFont="1" applyBorder="1" applyAlignment="1">
      <alignment horizontal="left" vertical="center" wrapText="1"/>
    </xf>
    <xf numFmtId="0" fontId="3" fillId="0" borderId="112" xfId="0" applyFont="1" applyBorder="1" applyAlignment="1">
      <alignment vertical="center" wrapText="1"/>
    </xf>
    <xf numFmtId="0" fontId="0" fillId="16" borderId="112" xfId="0" applyFont="1" applyFill="1" applyBorder="1" applyAlignment="1">
      <alignment horizontal="left" wrapText="1"/>
    </xf>
    <xf numFmtId="0" fontId="0" fillId="16" borderId="113" xfId="0" applyFont="1" applyFill="1" applyBorder="1" applyAlignment="1">
      <alignment horizontal="left" wrapText="1"/>
    </xf>
    <xf numFmtId="0" fontId="3" fillId="0" borderId="114" xfId="0" applyFont="1" applyBorder="1" applyAlignment="1">
      <alignment horizontal="left" vertical="center" wrapText="1"/>
    </xf>
    <xf numFmtId="0" fontId="3" fillId="0" borderId="113" xfId="0" applyFont="1" applyBorder="1" applyAlignment="1">
      <alignment horizontal="left" vertical="center" wrapText="1"/>
    </xf>
    <xf numFmtId="0" fontId="3" fillId="0" borderId="115" xfId="0" applyFont="1" applyBorder="1" applyAlignment="1">
      <alignment horizontal="left" vertical="center" wrapText="1"/>
    </xf>
    <xf numFmtId="0" fontId="3" fillId="0" borderId="116" xfId="0" applyFont="1" applyBorder="1" applyAlignment="1">
      <alignment horizontal="left" vertical="center" wrapText="1"/>
    </xf>
    <xf numFmtId="0" fontId="3" fillId="0" borderId="0" xfId="0" applyFont="1" applyAlignment="1" applyProtection="1">
      <alignment vertical="center" wrapText="1"/>
    </xf>
    <xf numFmtId="0" fontId="3" fillId="0" borderId="117" xfId="0" applyFont="1" applyBorder="1" applyAlignment="1">
      <alignment horizontal="left" vertical="center" wrapText="1"/>
    </xf>
    <xf numFmtId="0" fontId="3" fillId="0" borderId="118" xfId="0" applyFont="1" applyBorder="1" applyAlignment="1">
      <alignment horizontal="left" vertical="center" wrapText="1"/>
    </xf>
    <xf numFmtId="0" fontId="3" fillId="0" borderId="118" xfId="0" applyFont="1" applyBorder="1" applyAlignment="1">
      <alignment vertical="center" wrapText="1"/>
    </xf>
    <xf numFmtId="0" fontId="3" fillId="0" borderId="119" xfId="0" applyFont="1" applyBorder="1" applyAlignment="1">
      <alignment horizontal="left" vertical="center" wrapText="1"/>
    </xf>
    <xf numFmtId="0" fontId="3" fillId="0" borderId="120" xfId="0" applyFont="1" applyBorder="1" applyAlignment="1" applyProtection="1">
      <alignment horizontal="left" vertical="center" wrapText="1"/>
    </xf>
    <xf numFmtId="0" fontId="3" fillId="0" borderId="121" xfId="0" applyFont="1" applyBorder="1" applyAlignment="1" applyProtection="1">
      <alignment horizontal="left" vertical="center" wrapText="1"/>
    </xf>
    <xf numFmtId="0" fontId="3" fillId="0" borderId="121" xfId="0" applyFont="1" applyBorder="1" applyAlignment="1" applyProtection="1">
      <alignment vertical="center" wrapText="1"/>
    </xf>
    <xf numFmtId="0" fontId="3" fillId="0" borderId="122" xfId="0" applyFont="1" applyBorder="1" applyAlignment="1" applyProtection="1">
      <alignment horizontal="left" vertical="center" wrapText="1"/>
    </xf>
    <xf numFmtId="0" fontId="3" fillId="0" borderId="123" xfId="0" applyFont="1" applyBorder="1" applyAlignment="1" applyProtection="1">
      <alignment vertical="center" wrapText="1"/>
    </xf>
    <xf numFmtId="0" fontId="3" fillId="0" borderId="124" xfId="0" applyFont="1" applyBorder="1" applyAlignment="1">
      <alignment horizontal="left" vertical="center" wrapText="1"/>
    </xf>
    <xf numFmtId="0" fontId="3" fillId="0" borderId="125" xfId="0" applyFont="1" applyBorder="1" applyAlignment="1">
      <alignment horizontal="left" vertical="center" wrapText="1"/>
    </xf>
    <xf numFmtId="0" fontId="3" fillId="0" borderId="125" xfId="0" applyFont="1" applyBorder="1" applyAlignment="1">
      <alignment vertical="center" wrapText="1"/>
    </xf>
    <xf numFmtId="0" fontId="1" fillId="15" borderId="0" xfId="0" applyFont="1" applyFill="1" applyBorder="1" applyAlignment="1" applyProtection="1">
      <alignment vertical="center"/>
    </xf>
    <xf numFmtId="186" fontId="21" fillId="15" borderId="97" xfId="0" applyNumberFormat="1" applyFont="1" applyFill="1" applyBorder="1" applyAlignment="1" applyProtection="1">
      <alignment horizontal="center" vertical="center"/>
    </xf>
    <xf numFmtId="0" fontId="1" fillId="0" borderId="0" xfId="0" applyFont="1" applyFill="1" applyBorder="1" applyAlignment="1" applyProtection="1">
      <alignment vertical="center"/>
    </xf>
    <xf numFmtId="186" fontId="1" fillId="0" borderId="0" xfId="0" applyNumberFormat="1" applyFont="1" applyFill="1" applyBorder="1" applyAlignment="1" applyProtection="1">
      <alignment horizontal="center" vertical="center"/>
    </xf>
    <xf numFmtId="0" fontId="1" fillId="0" borderId="99" xfId="0" applyFont="1" applyBorder="1" applyAlignment="1" applyProtection="1">
      <alignment vertical="center"/>
    </xf>
    <xf numFmtId="186" fontId="3" fillId="7" borderId="0" xfId="0" applyNumberFormat="1" applyFont="1" applyFill="1" applyBorder="1" applyAlignment="1" applyProtection="1">
      <alignment vertical="center"/>
    </xf>
    <xf numFmtId="0" fontId="1" fillId="15" borderId="126" xfId="0" applyFont="1" applyFill="1" applyBorder="1" applyAlignment="1" applyProtection="1">
      <alignment horizontal="center" vertical="center" textRotation="90"/>
    </xf>
    <xf numFmtId="0" fontId="1" fillId="15" borderId="127" xfId="0" applyFont="1" applyFill="1" applyBorder="1" applyAlignment="1" applyProtection="1">
      <alignment vertical="center"/>
    </xf>
    <xf numFmtId="186" fontId="1" fillId="15" borderId="128" xfId="0" applyNumberFormat="1" applyFont="1" applyFill="1" applyBorder="1" applyAlignment="1" applyProtection="1">
      <alignment horizontal="center" vertical="center"/>
    </xf>
    <xf numFmtId="0" fontId="1" fillId="17" borderId="129" xfId="0" applyFont="1" applyFill="1" applyBorder="1" applyAlignment="1" applyProtection="1">
      <alignment horizontal="center" vertical="center" textRotation="90"/>
    </xf>
    <xf numFmtId="0" fontId="1" fillId="5" borderId="33" xfId="0" applyFont="1" applyFill="1" applyBorder="1" applyAlignment="1" applyProtection="1">
      <alignment horizontal="left" vertical="center"/>
    </xf>
    <xf numFmtId="179" fontId="1" fillId="7" borderId="33" xfId="0" applyNumberFormat="1" applyFont="1" applyFill="1" applyBorder="1" applyAlignment="1" applyProtection="1">
      <alignment horizontal="center" vertical="center"/>
    </xf>
    <xf numFmtId="0" fontId="1" fillId="17" borderId="130" xfId="0" applyFont="1" applyFill="1" applyBorder="1" applyAlignment="1" applyProtection="1">
      <alignment horizontal="center" vertical="center" textRotation="90"/>
    </xf>
    <xf numFmtId="179" fontId="3" fillId="5" borderId="0" xfId="50" applyNumberFormat="1" applyFont="1" applyFill="1" applyBorder="1" applyAlignment="1" applyProtection="1">
      <alignment horizontal="center" vertical="center"/>
    </xf>
    <xf numFmtId="179" fontId="3" fillId="5" borderId="0" xfId="50" applyNumberFormat="1" applyFont="1" applyFill="1" applyBorder="1" applyAlignment="1" applyProtection="1">
      <alignment horizontal="center" vertical="center"/>
      <protection locked="0"/>
    </xf>
    <xf numFmtId="0" fontId="1" fillId="17" borderId="0" xfId="0" applyFont="1" applyFill="1" applyBorder="1" applyAlignment="1" applyProtection="1">
      <alignment horizontal="left" vertical="center"/>
    </xf>
    <xf numFmtId="179" fontId="1" fillId="17" borderId="97" xfId="0" applyNumberFormat="1" applyFont="1" applyFill="1" applyBorder="1" applyAlignment="1" applyProtection="1">
      <alignment horizontal="center" vertical="center"/>
    </xf>
    <xf numFmtId="179" fontId="1" fillId="5" borderId="0" xfId="0" applyNumberFormat="1" applyFont="1" applyFill="1" applyBorder="1" applyAlignment="1" applyProtection="1">
      <alignment horizontal="center" vertical="center"/>
    </xf>
    <xf numFmtId="179" fontId="1" fillId="7" borderId="0" xfId="0" applyNumberFormat="1" applyFont="1" applyFill="1" applyBorder="1" applyAlignment="1" applyProtection="1">
      <alignment horizontal="center" vertical="center"/>
    </xf>
    <xf numFmtId="0" fontId="1" fillId="17" borderId="131" xfId="0" applyFont="1" applyFill="1" applyBorder="1" applyAlignment="1" applyProtection="1">
      <alignment horizontal="center" vertical="center" textRotation="90"/>
    </xf>
    <xf numFmtId="0" fontId="1" fillId="17" borderId="31" xfId="0" applyFont="1" applyFill="1" applyBorder="1" applyAlignment="1" applyProtection="1">
      <alignment horizontal="left" vertical="center"/>
    </xf>
    <xf numFmtId="179" fontId="1" fillId="17" borderId="132" xfId="0" applyNumberFormat="1" applyFont="1" applyFill="1" applyBorder="1" applyAlignment="1" applyProtection="1">
      <alignment horizontal="center" vertical="center"/>
    </xf>
    <xf numFmtId="179" fontId="3" fillId="0" borderId="0" xfId="0" applyNumberFormat="1" applyFont="1" applyAlignment="1" applyProtection="1">
      <alignment vertical="center"/>
    </xf>
    <xf numFmtId="0" fontId="0" fillId="5" borderId="0" xfId="0" applyFont="1" applyFill="1" applyBorder="1" applyAlignment="1" applyProtection="1">
      <alignment horizontal="left" vertical="center"/>
    </xf>
    <xf numFmtId="0" fontId="3" fillId="0" borderId="133" xfId="0" applyFont="1" applyBorder="1" applyAlignment="1">
      <alignment horizontal="left" vertical="center" wrapText="1"/>
    </xf>
    <xf numFmtId="0" fontId="3" fillId="0" borderId="134" xfId="0" applyFont="1" applyBorder="1" applyAlignment="1">
      <alignment vertical="center" wrapText="1"/>
    </xf>
    <xf numFmtId="0" fontId="3" fillId="0" borderId="135" xfId="0" applyFont="1" applyBorder="1" applyAlignment="1">
      <alignment horizontal="left" vertical="center" wrapText="1"/>
    </xf>
    <xf numFmtId="0" fontId="3" fillId="0" borderId="135" xfId="0" applyFont="1" applyBorder="1" applyAlignment="1">
      <alignment vertical="center" wrapText="1"/>
    </xf>
    <xf numFmtId="0" fontId="3" fillId="0" borderId="133" xfId="0" applyFont="1" applyBorder="1" applyAlignment="1">
      <alignment vertical="center" wrapText="1"/>
    </xf>
    <xf numFmtId="0" fontId="3" fillId="0" borderId="136" xfId="0" applyFont="1" applyBorder="1" applyAlignment="1">
      <alignment vertical="center" wrapText="1"/>
    </xf>
    <xf numFmtId="0" fontId="3" fillId="0" borderId="137" xfId="0" applyFont="1" applyBorder="1" applyAlignment="1">
      <alignment vertical="center" wrapText="1"/>
    </xf>
    <xf numFmtId="0" fontId="3" fillId="0" borderId="138" xfId="0" applyFont="1" applyBorder="1" applyAlignment="1">
      <alignment horizontal="left" vertical="center" wrapText="1"/>
    </xf>
    <xf numFmtId="0" fontId="3" fillId="0" borderId="139" xfId="0" applyFont="1" applyBorder="1" applyAlignment="1">
      <alignment wrapText="1"/>
    </xf>
    <xf numFmtId="0" fontId="3" fillId="0" borderId="139" xfId="0" applyFont="1" applyBorder="1" applyAlignment="1">
      <alignment vertical="center" wrapText="1"/>
    </xf>
    <xf numFmtId="0" fontId="3" fillId="0" borderId="140" xfId="0" applyFont="1" applyBorder="1" applyAlignment="1">
      <alignment vertical="center" wrapText="1"/>
    </xf>
    <xf numFmtId="0" fontId="3" fillId="0" borderId="141" xfId="0" applyFont="1" applyBorder="1" applyAlignment="1">
      <alignment vertical="center" wrapText="1"/>
    </xf>
    <xf numFmtId="0" fontId="3" fillId="0" borderId="142" xfId="0" applyFont="1" applyBorder="1" applyAlignment="1">
      <alignment vertical="center" wrapText="1"/>
    </xf>
    <xf numFmtId="0" fontId="0" fillId="0" borderId="139" xfId="0" applyFont="1" applyBorder="1" applyAlignment="1">
      <alignment vertical="center" wrapText="1"/>
    </xf>
    <xf numFmtId="0" fontId="3" fillId="0" borderId="139" xfId="0" applyFont="1" applyBorder="1" applyAlignment="1">
      <alignment horizontal="left" vertical="center" wrapText="1"/>
    </xf>
    <xf numFmtId="0" fontId="3" fillId="0" borderId="143" xfId="0" applyFont="1" applyBorder="1" applyAlignment="1">
      <alignment horizontal="left" vertical="center" wrapText="1"/>
    </xf>
    <xf numFmtId="0" fontId="22" fillId="0" borderId="0" xfId="10" applyFill="1"/>
    <xf numFmtId="0" fontId="22" fillId="0" borderId="0" xfId="10" applyAlignment="1">
      <alignment wrapText="1"/>
    </xf>
    <xf numFmtId="0" fontId="22" fillId="0" borderId="0" xfId="10"/>
    <xf numFmtId="0" fontId="23" fillId="18" borderId="144" xfId="10" applyFont="1" applyFill="1" applyBorder="1" applyAlignment="1">
      <alignment horizontal="center" vertical="center"/>
    </xf>
    <xf numFmtId="0" fontId="23" fillId="18" borderId="145" xfId="10" applyFont="1" applyFill="1" applyBorder="1" applyAlignment="1">
      <alignment horizontal="center" vertical="center"/>
    </xf>
    <xf numFmtId="0" fontId="24" fillId="15" borderId="144" xfId="10" applyFont="1" applyFill="1" applyBorder="1" applyAlignment="1">
      <alignment horizontal="center" vertical="center"/>
    </xf>
    <xf numFmtId="0" fontId="24" fillId="15" borderId="145" xfId="10" applyFont="1" applyFill="1" applyBorder="1" applyAlignment="1">
      <alignment horizontal="center" vertical="center"/>
    </xf>
    <xf numFmtId="0" fontId="22" fillId="19" borderId="144" xfId="10" applyFill="1" applyBorder="1" applyAlignment="1"/>
    <xf numFmtId="0" fontId="22" fillId="19" borderId="145" xfId="10" applyFill="1" applyBorder="1" applyAlignment="1"/>
    <xf numFmtId="0" fontId="22" fillId="8" borderId="146" xfId="10" applyFill="1" applyBorder="1" applyAlignment="1"/>
    <xf numFmtId="0" fontId="22" fillId="8" borderId="147" xfId="10" applyFill="1" applyBorder="1" applyAlignment="1"/>
    <xf numFmtId="0" fontId="22" fillId="8" borderId="148" xfId="10" applyFill="1" applyBorder="1" applyAlignment="1"/>
    <xf numFmtId="0" fontId="22" fillId="8" borderId="149" xfId="10" applyFill="1" applyBorder="1" applyAlignment="1"/>
    <xf numFmtId="0" fontId="22" fillId="8" borderId="148" xfId="10" applyFont="1" applyFill="1" applyBorder="1" applyAlignment="1"/>
    <xf numFmtId="0" fontId="22" fillId="8" borderId="150" xfId="10" applyFont="1" applyFill="1" applyBorder="1" applyAlignment="1"/>
    <xf numFmtId="0" fontId="22" fillId="8" borderId="151" xfId="10" applyFill="1" applyBorder="1" applyAlignment="1"/>
    <xf numFmtId="0" fontId="25" fillId="0" borderId="0" xfId="10" applyFont="1" applyAlignment="1">
      <alignment vertical="top"/>
    </xf>
    <xf numFmtId="0" fontId="22" fillId="0" borderId="0" xfId="10" applyAlignment="1">
      <alignment horizontal="left" vertical="center" wrapText="1"/>
    </xf>
    <xf numFmtId="0" fontId="25" fillId="0" borderId="0" xfId="10" applyFont="1"/>
    <xf numFmtId="0" fontId="26" fillId="19" borderId="152" xfId="10" applyFont="1" applyFill="1" applyBorder="1" applyAlignment="1"/>
    <xf numFmtId="0" fontId="26" fillId="19" borderId="144" xfId="10" applyFont="1" applyFill="1" applyBorder="1" applyAlignment="1">
      <alignment horizontal="center"/>
    </xf>
    <xf numFmtId="0" fontId="22" fillId="0" borderId="0" xfId="10" applyFill="1" applyBorder="1" applyAlignment="1"/>
    <xf numFmtId="0" fontId="22" fillId="0" borderId="0" xfId="10" applyFill="1" applyBorder="1" applyAlignment="1">
      <alignment horizontal="center"/>
    </xf>
    <xf numFmtId="0" fontId="22" fillId="8" borderId="153" xfId="10" applyFill="1" applyBorder="1" applyAlignment="1">
      <alignment horizontal="center" vertical="center"/>
    </xf>
    <xf numFmtId="0" fontId="22" fillId="8" borderId="154" xfId="10" applyFill="1" applyBorder="1" applyAlignment="1">
      <alignment horizontal="center"/>
    </xf>
    <xf numFmtId="0" fontId="22" fillId="8" borderId="155" xfId="10" applyFill="1" applyBorder="1" applyAlignment="1">
      <alignment horizontal="center" vertical="center"/>
    </xf>
    <xf numFmtId="0" fontId="22" fillId="8" borderId="154" xfId="10" applyFill="1" applyBorder="1" applyAlignment="1">
      <alignment horizontal="center" wrapText="1"/>
    </xf>
    <xf numFmtId="0" fontId="22" fillId="8" borderId="156" xfId="10" applyFill="1" applyBorder="1" applyAlignment="1">
      <alignment horizontal="center" vertical="center"/>
    </xf>
    <xf numFmtId="0" fontId="22" fillId="8" borderId="157" xfId="10" applyFill="1" applyBorder="1" applyAlignment="1">
      <alignment horizontal="center" vertical="center" wrapText="1"/>
    </xf>
    <xf numFmtId="0" fontId="22" fillId="8" borderId="158" xfId="10" applyFill="1" applyBorder="1" applyAlignment="1">
      <alignment horizontal="center" vertical="center" wrapText="1"/>
    </xf>
    <xf numFmtId="0" fontId="22" fillId="8" borderId="159" xfId="10" applyFill="1" applyBorder="1" applyAlignment="1">
      <alignment horizontal="center" vertical="center" wrapText="1"/>
    </xf>
    <xf numFmtId="0" fontId="22" fillId="8" borderId="148" xfId="10" applyFill="1" applyBorder="1" applyAlignment="1">
      <alignment horizontal="center" vertical="center"/>
    </xf>
    <xf numFmtId="0" fontId="22" fillId="8" borderId="160" xfId="10" applyFill="1" applyBorder="1" applyAlignment="1">
      <alignment horizontal="center" vertical="center"/>
    </xf>
    <xf numFmtId="0" fontId="22" fillId="8" borderId="161" xfId="10" applyFill="1" applyBorder="1" applyAlignment="1">
      <alignment horizontal="center" vertical="center" wrapText="1"/>
    </xf>
    <xf numFmtId="0" fontId="26" fillId="19" borderId="162" xfId="10" applyFont="1" applyFill="1" applyBorder="1" applyAlignment="1">
      <alignment horizontal="center" wrapText="1"/>
    </xf>
    <xf numFmtId="0" fontId="26" fillId="19" borderId="163" xfId="10" applyFont="1" applyFill="1" applyBorder="1" applyAlignment="1">
      <alignment horizontal="center" wrapText="1"/>
    </xf>
    <xf numFmtId="0" fontId="26" fillId="19" borderId="164" xfId="10" applyFont="1" applyFill="1" applyBorder="1" applyAlignment="1">
      <alignment horizontal="center" wrapText="1"/>
    </xf>
    <xf numFmtId="0" fontId="26" fillId="19" borderId="165" xfId="10" applyFont="1" applyFill="1" applyBorder="1" applyAlignment="1">
      <alignment horizontal="center" wrapText="1"/>
    </xf>
    <xf numFmtId="0" fontId="22" fillId="8" borderId="153" xfId="10" applyFill="1" applyBorder="1" applyAlignment="1"/>
    <xf numFmtId="0" fontId="26" fillId="20" borderId="166" xfId="10" applyFont="1" applyFill="1" applyBorder="1" applyAlignment="1">
      <alignment horizontal="center" vertical="center" wrapText="1"/>
    </xf>
    <xf numFmtId="0" fontId="22" fillId="8" borderId="156" xfId="10" applyFill="1" applyBorder="1" applyAlignment="1"/>
    <xf numFmtId="0" fontId="26" fillId="20" borderId="167" xfId="10" applyFont="1" applyFill="1" applyBorder="1" applyAlignment="1">
      <alignment horizontal="center" vertical="center" wrapText="1"/>
    </xf>
    <xf numFmtId="0" fontId="26" fillId="20" borderId="168" xfId="10" applyFont="1" applyFill="1" applyBorder="1" applyAlignment="1">
      <alignment horizontal="center" vertical="center" wrapText="1"/>
    </xf>
    <xf numFmtId="0" fontId="26" fillId="12" borderId="169" xfId="10" applyFont="1" applyFill="1" applyBorder="1" applyAlignment="1">
      <alignment horizontal="center" vertical="center" wrapText="1"/>
    </xf>
    <xf numFmtId="0" fontId="26" fillId="12" borderId="167" xfId="10" applyFont="1" applyFill="1" applyBorder="1" applyAlignment="1">
      <alignment horizontal="center" vertical="center" wrapText="1"/>
    </xf>
    <xf numFmtId="0" fontId="22" fillId="8" borderId="160" xfId="10" applyFill="1" applyBorder="1" applyAlignment="1"/>
    <xf numFmtId="0" fontId="26" fillId="12" borderId="170" xfId="10" applyFont="1" applyFill="1" applyBorder="1" applyAlignment="1">
      <alignment horizontal="center" vertical="center" wrapText="1"/>
    </xf>
    <xf numFmtId="0" fontId="27" fillId="8" borderId="0" xfId="10" applyFont="1" applyFill="1" applyBorder="1" applyAlignment="1">
      <alignment horizontal="center"/>
    </xf>
    <xf numFmtId="0" fontId="26" fillId="19" borderId="145" xfId="10" applyFont="1" applyFill="1" applyBorder="1" applyAlignment="1">
      <alignment horizontal="center"/>
    </xf>
    <xf numFmtId="0" fontId="26" fillId="19" borderId="171" xfId="10" applyFont="1" applyFill="1" applyBorder="1" applyAlignment="1">
      <alignment horizontal="center"/>
    </xf>
    <xf numFmtId="0" fontId="26" fillId="19" borderId="144" xfId="10" applyFont="1" applyFill="1" applyBorder="1" applyAlignment="1">
      <alignment horizontal="center" wrapText="1"/>
    </xf>
    <xf numFmtId="0" fontId="22" fillId="0" borderId="0" xfId="10" applyFill="1" applyBorder="1" applyAlignment="1">
      <alignment horizontal="center" wrapText="1"/>
    </xf>
    <xf numFmtId="0" fontId="22" fillId="8" borderId="149" xfId="10" applyFill="1" applyBorder="1" applyAlignment="1">
      <alignment horizontal="center"/>
    </xf>
    <xf numFmtId="0" fontId="22" fillId="8" borderId="172" xfId="10" applyFill="1" applyBorder="1" applyAlignment="1">
      <alignment horizontal="center"/>
    </xf>
    <xf numFmtId="0" fontId="22" fillId="8" borderId="147" xfId="10" applyFont="1" applyFill="1" applyBorder="1" applyAlignment="1">
      <alignment horizontal="center" vertical="center" wrapText="1"/>
    </xf>
    <xf numFmtId="0" fontId="22" fillId="8" borderId="149" xfId="10" applyFill="1" applyBorder="1" applyAlignment="1">
      <alignment horizontal="center" wrapText="1"/>
    </xf>
    <xf numFmtId="0" fontId="22" fillId="8" borderId="172" xfId="10" applyFill="1" applyBorder="1" applyAlignment="1">
      <alignment horizontal="center" wrapText="1"/>
    </xf>
    <xf numFmtId="0" fontId="22" fillId="8" borderId="149" xfId="10" applyFont="1" applyFill="1" applyBorder="1" applyAlignment="1">
      <alignment horizontal="center" vertical="center" wrapText="1"/>
    </xf>
    <xf numFmtId="0" fontId="22" fillId="8" borderId="173" xfId="10" applyFill="1" applyBorder="1" applyAlignment="1">
      <alignment horizontal="center" vertical="center" wrapText="1"/>
    </xf>
    <xf numFmtId="0" fontId="22" fillId="8" borderId="174" xfId="10" applyFill="1" applyBorder="1" applyAlignment="1">
      <alignment horizontal="center" vertical="center" wrapText="1"/>
    </xf>
    <xf numFmtId="0" fontId="22" fillId="8" borderId="0" xfId="10" applyFill="1" applyBorder="1" applyAlignment="1">
      <alignment horizontal="center" vertical="center" wrapText="1"/>
    </xf>
    <xf numFmtId="0" fontId="22" fillId="8" borderId="175" xfId="10" applyFill="1" applyBorder="1" applyAlignment="1">
      <alignment horizontal="center" vertical="center" wrapText="1"/>
    </xf>
    <xf numFmtId="0" fontId="22" fillId="8" borderId="149" xfId="10" applyFont="1" applyFill="1" applyBorder="1" applyAlignment="1">
      <alignment horizontal="center" vertical="center"/>
    </xf>
    <xf numFmtId="0" fontId="22" fillId="8" borderId="176" xfId="10" applyFill="1" applyBorder="1" applyAlignment="1">
      <alignment horizontal="center" vertical="center" wrapText="1"/>
    </xf>
    <xf numFmtId="0" fontId="22" fillId="8" borderId="177" xfId="10" applyFill="1" applyBorder="1" applyAlignment="1">
      <alignment horizontal="center" vertical="center" wrapText="1"/>
    </xf>
    <xf numFmtId="0" fontId="22" fillId="8" borderId="154" xfId="10" applyFont="1" applyFill="1" applyBorder="1" applyAlignment="1">
      <alignment horizontal="center" vertical="center" wrapText="1"/>
    </xf>
    <xf numFmtId="0" fontId="22" fillId="8" borderId="154" xfId="10" applyFont="1" applyFill="1" applyBorder="1" applyAlignment="1">
      <alignment horizontal="center" vertical="center"/>
    </xf>
    <xf numFmtId="0" fontId="22" fillId="8" borderId="178" xfId="10" applyFill="1" applyBorder="1" applyAlignment="1">
      <alignment horizontal="center" vertical="center" wrapText="1"/>
    </xf>
    <xf numFmtId="0" fontId="22" fillId="8" borderId="179" xfId="10" applyFill="1" applyBorder="1" applyAlignment="1">
      <alignment horizontal="center" vertical="center" wrapText="1"/>
    </xf>
    <xf numFmtId="0" fontId="22" fillId="8" borderId="180" xfId="10" applyFont="1" applyFill="1" applyBorder="1" applyAlignment="1">
      <alignment horizontal="center" vertical="center" wrapText="1"/>
    </xf>
    <xf numFmtId="0" fontId="26" fillId="19" borderId="181" xfId="10" applyFont="1" applyFill="1" applyBorder="1" applyAlignment="1">
      <alignment horizontal="center" wrapText="1"/>
    </xf>
    <xf numFmtId="0" fontId="26" fillId="19" borderId="182" xfId="10" applyFont="1" applyFill="1" applyBorder="1" applyAlignment="1">
      <alignment horizontal="center" wrapText="1"/>
    </xf>
    <xf numFmtId="0" fontId="26" fillId="19" borderId="183" xfId="10" applyFont="1" applyFill="1" applyBorder="1" applyAlignment="1">
      <alignment horizontal="center" wrapText="1"/>
    </xf>
    <xf numFmtId="0" fontId="26" fillId="19" borderId="184" xfId="10" applyFont="1" applyFill="1" applyBorder="1" applyAlignment="1">
      <alignment horizontal="center" wrapText="1"/>
    </xf>
    <xf numFmtId="0" fontId="26" fillId="20" borderId="185" xfId="10" applyFont="1" applyFill="1" applyBorder="1" applyAlignment="1">
      <alignment horizontal="center" vertical="center" wrapText="1"/>
    </xf>
    <xf numFmtId="0" fontId="26" fillId="20" borderId="186" xfId="10" applyFont="1" applyFill="1" applyBorder="1" applyAlignment="1">
      <alignment horizontal="center" vertical="center" wrapText="1"/>
    </xf>
    <xf numFmtId="0" fontId="22" fillId="20" borderId="187" xfId="10" applyFill="1" applyBorder="1" applyAlignment="1">
      <alignment horizontal="center"/>
    </xf>
    <xf numFmtId="0" fontId="26" fillId="20" borderId="188" xfId="10" applyFont="1" applyFill="1" applyBorder="1" applyAlignment="1">
      <alignment horizontal="center" vertical="center" wrapText="1"/>
    </xf>
    <xf numFmtId="0" fontId="26" fillId="20" borderId="189" xfId="10" applyFont="1" applyFill="1" applyBorder="1" applyAlignment="1">
      <alignment horizontal="center" vertical="center" wrapText="1"/>
    </xf>
    <xf numFmtId="0" fontId="22" fillId="20" borderId="190" xfId="10" applyFill="1" applyBorder="1" applyAlignment="1">
      <alignment horizontal="center"/>
    </xf>
    <xf numFmtId="0" fontId="26" fillId="20" borderId="191" xfId="10" applyFont="1" applyFill="1" applyBorder="1" applyAlignment="1">
      <alignment horizontal="center" vertical="center" wrapText="1"/>
    </xf>
    <xf numFmtId="0" fontId="26" fillId="20" borderId="192" xfId="10" applyFont="1" applyFill="1" applyBorder="1" applyAlignment="1">
      <alignment horizontal="center" vertical="center" wrapText="1"/>
    </xf>
    <xf numFmtId="0" fontId="26" fillId="12" borderId="193" xfId="10" applyFont="1" applyFill="1" applyBorder="1" applyAlignment="1">
      <alignment horizontal="center" vertical="center" wrapText="1"/>
    </xf>
    <xf numFmtId="0" fontId="26" fillId="12" borderId="194" xfId="10" applyFont="1" applyFill="1" applyBorder="1" applyAlignment="1">
      <alignment horizontal="center" vertical="center" wrapText="1"/>
    </xf>
    <xf numFmtId="0" fontId="22" fillId="12" borderId="154" xfId="10" applyFill="1" applyBorder="1" applyAlignment="1">
      <alignment horizontal="center"/>
    </xf>
    <xf numFmtId="0" fontId="26" fillId="12" borderId="188" xfId="10" applyFont="1" applyFill="1" applyBorder="1" applyAlignment="1">
      <alignment horizontal="center" vertical="center" wrapText="1"/>
    </xf>
    <xf numFmtId="0" fontId="26" fillId="12" borderId="189" xfId="10" applyFont="1" applyFill="1" applyBorder="1" applyAlignment="1">
      <alignment horizontal="center" vertical="center" wrapText="1"/>
    </xf>
    <xf numFmtId="0" fontId="22" fillId="12" borderId="190" xfId="10" applyFill="1" applyBorder="1" applyAlignment="1">
      <alignment horizontal="center"/>
    </xf>
    <xf numFmtId="0" fontId="26" fillId="12" borderId="195" xfId="10" applyFont="1" applyFill="1" applyBorder="1" applyAlignment="1">
      <alignment horizontal="center" vertical="center" wrapText="1"/>
    </xf>
    <xf numFmtId="0" fontId="26" fillId="12" borderId="196" xfId="10" applyFont="1" applyFill="1" applyBorder="1" applyAlignment="1">
      <alignment horizontal="center" vertical="center" wrapText="1"/>
    </xf>
    <xf numFmtId="0" fontId="22" fillId="12" borderId="197" xfId="10" applyFill="1" applyBorder="1" applyAlignment="1">
      <alignment horizontal="center"/>
    </xf>
    <xf numFmtId="0" fontId="25" fillId="8" borderId="147" xfId="10" applyFont="1" applyFill="1" applyBorder="1" applyAlignment="1">
      <alignment horizontal="left"/>
    </xf>
    <xf numFmtId="0" fontId="25" fillId="8" borderId="149" xfId="10" applyFont="1" applyFill="1" applyBorder="1" applyAlignment="1">
      <alignment horizontal="left"/>
    </xf>
    <xf numFmtId="0" fontId="26" fillId="19" borderId="145" xfId="10" applyFont="1" applyFill="1" applyBorder="1" applyAlignment="1">
      <alignment horizontal="center" wrapText="1"/>
    </xf>
    <xf numFmtId="0" fontId="22" fillId="8" borderId="147" xfId="10" applyFill="1" applyBorder="1" applyAlignment="1">
      <alignment horizontal="center" vertical="center" wrapText="1"/>
    </xf>
    <xf numFmtId="0" fontId="22" fillId="8" borderId="149" xfId="10" applyFill="1" applyBorder="1" applyAlignment="1">
      <alignment horizontal="center" vertical="center" wrapText="1"/>
    </xf>
    <xf numFmtId="0" fontId="22" fillId="8" borderId="149" xfId="10" applyFill="1" applyBorder="1" applyAlignment="1">
      <alignment horizontal="center" vertical="center"/>
    </xf>
    <xf numFmtId="0" fontId="22" fillId="8" borderId="151" xfId="10" applyFill="1" applyBorder="1" applyAlignment="1">
      <alignment horizontal="center" vertical="center" wrapText="1"/>
    </xf>
    <xf numFmtId="0" fontId="22" fillId="20" borderId="198" xfId="10" applyFill="1" applyBorder="1" applyAlignment="1">
      <alignment horizontal="center"/>
    </xf>
    <xf numFmtId="0" fontId="22" fillId="20" borderId="199" xfId="10" applyFill="1" applyBorder="1" applyAlignment="1">
      <alignment horizontal="center"/>
    </xf>
    <xf numFmtId="0" fontId="22" fillId="12" borderId="149" xfId="10" applyFill="1" applyBorder="1" applyAlignment="1">
      <alignment horizontal="center"/>
    </xf>
    <xf numFmtId="0" fontId="22" fillId="12" borderId="200" xfId="10" applyFill="1" applyBorder="1" applyAlignment="1">
      <alignment horizontal="center"/>
    </xf>
    <xf numFmtId="0" fontId="22" fillId="12" borderId="199" xfId="10" applyFill="1" applyBorder="1" applyAlignment="1">
      <alignment horizontal="center"/>
    </xf>
    <xf numFmtId="0" fontId="22" fillId="12" borderId="201" xfId="10" applyFill="1" applyBorder="1" applyAlignment="1">
      <alignment horizontal="center"/>
    </xf>
    <xf numFmtId="0" fontId="26" fillId="19" borderId="171" xfId="10" applyFont="1" applyFill="1" applyBorder="1" applyAlignment="1">
      <alignment horizontal="center" wrapText="1"/>
    </xf>
    <xf numFmtId="0" fontId="22" fillId="8" borderId="176" xfId="10" applyFont="1" applyFill="1" applyBorder="1" applyAlignment="1">
      <alignment horizontal="center" vertical="center" wrapText="1"/>
    </xf>
    <xf numFmtId="0" fontId="22" fillId="8" borderId="178" xfId="10" applyFont="1" applyFill="1" applyBorder="1" applyAlignment="1">
      <alignment horizontal="center" vertical="center" wrapText="1"/>
    </xf>
    <xf numFmtId="0" fontId="22" fillId="20" borderId="198" xfId="10" applyFill="1" applyBorder="1" applyAlignment="1">
      <alignment horizontal="center" wrapText="1"/>
    </xf>
    <xf numFmtId="0" fontId="22" fillId="20" borderId="199" xfId="10" applyFill="1" applyBorder="1" applyAlignment="1">
      <alignment horizontal="center" wrapText="1"/>
    </xf>
    <xf numFmtId="0" fontId="22" fillId="12" borderId="199" xfId="10" applyFill="1" applyBorder="1" applyAlignment="1">
      <alignment horizontal="center" wrapText="1"/>
    </xf>
    <xf numFmtId="0" fontId="22" fillId="12" borderId="201" xfId="10" applyFill="1" applyBorder="1" applyAlignment="1">
      <alignment horizontal="center" wrapText="1"/>
    </xf>
    <xf numFmtId="0" fontId="25" fillId="8" borderId="151" xfId="10" applyFont="1" applyFill="1" applyBorder="1" applyAlignment="1">
      <alignment horizontal="left"/>
    </xf>
    <xf numFmtId="0" fontId="22" fillId="8" borderId="147" xfId="10" applyFill="1" applyBorder="1" applyAlignment="1">
      <alignment horizontal="center" wrapText="1"/>
    </xf>
    <xf numFmtId="0" fontId="22" fillId="8" borderId="151" xfId="10" applyFill="1" applyBorder="1" applyAlignment="1">
      <alignment horizontal="center" wrapText="1"/>
    </xf>
    <xf numFmtId="0" fontId="22" fillId="8" borderId="151" xfId="10" applyFill="1" applyBorder="1" applyAlignment="1">
      <alignment horizontal="center"/>
    </xf>
    <xf numFmtId="0" fontId="22" fillId="19" borderId="171" xfId="10" applyFill="1" applyBorder="1" applyAlignment="1"/>
    <xf numFmtId="0" fontId="22" fillId="0" borderId="0" xfId="10" applyBorder="1" applyAlignment="1"/>
    <xf numFmtId="0" fontId="22" fillId="20" borderId="202" xfId="10" applyFill="1" applyBorder="1" applyAlignment="1">
      <alignment horizontal="center" wrapText="1"/>
    </xf>
    <xf numFmtId="0" fontId="22" fillId="20" borderId="203" xfId="10" applyFill="1" applyBorder="1" applyAlignment="1">
      <alignment horizontal="center" wrapText="1"/>
    </xf>
    <xf numFmtId="0" fontId="22" fillId="20" borderId="204" xfId="10" applyFill="1" applyBorder="1" applyAlignment="1">
      <alignment horizontal="center" wrapText="1"/>
    </xf>
    <xf numFmtId="0" fontId="22" fillId="12" borderId="204" xfId="10" applyFill="1" applyBorder="1" applyAlignment="1">
      <alignment horizontal="center" wrapText="1"/>
    </xf>
    <xf numFmtId="0" fontId="22" fillId="12" borderId="205" xfId="10" applyFill="1" applyBorder="1" applyAlignment="1">
      <alignment horizontal="center" wrapText="1"/>
    </xf>
    <xf numFmtId="0" fontId="22" fillId="0" borderId="181" xfId="10" applyBorder="1" applyAlignment="1"/>
    <xf numFmtId="182" fontId="0" fillId="8" borderId="206" xfId="4" applyNumberFormat="1" applyFont="1" applyFill="1" applyBorder="1" applyAlignment="1">
      <alignment horizontal="center"/>
    </xf>
    <xf numFmtId="182" fontId="0" fillId="8" borderId="207" xfId="4" applyNumberFormat="1" applyFont="1" applyFill="1" applyBorder="1" applyAlignment="1">
      <alignment horizontal="center"/>
    </xf>
    <xf numFmtId="182" fontId="0" fillId="8" borderId="208" xfId="4" applyNumberFormat="1" applyFont="1" applyFill="1" applyBorder="1" applyAlignment="1" applyProtection="1">
      <alignment horizontal="center"/>
      <protection locked="0"/>
    </xf>
    <xf numFmtId="182" fontId="0" fillId="8" borderId="209" xfId="4" applyNumberFormat="1" applyFont="1" applyFill="1" applyBorder="1" applyAlignment="1" applyProtection="1">
      <alignment horizontal="center"/>
      <protection locked="0"/>
    </xf>
    <xf numFmtId="182" fontId="0" fillId="8" borderId="208" xfId="4" applyNumberFormat="1" applyFont="1" applyFill="1" applyBorder="1" applyAlignment="1">
      <alignment horizontal="center"/>
    </xf>
    <xf numFmtId="182" fontId="0" fillId="8" borderId="209" xfId="4" applyNumberFormat="1" applyFont="1" applyFill="1" applyBorder="1" applyAlignment="1">
      <alignment horizontal="center"/>
    </xf>
    <xf numFmtId="182" fontId="0" fillId="8" borderId="210" xfId="4" applyNumberFormat="1" applyFont="1" applyFill="1" applyBorder="1" applyAlignment="1" applyProtection="1">
      <alignment horizontal="center"/>
      <protection locked="0"/>
    </xf>
    <xf numFmtId="182" fontId="0" fillId="8" borderId="211" xfId="4" applyNumberFormat="1" applyFont="1" applyFill="1" applyBorder="1" applyAlignment="1" applyProtection="1">
      <alignment horizontal="center"/>
      <protection locked="0"/>
    </xf>
    <xf numFmtId="185" fontId="0" fillId="8" borderId="206" xfId="4" applyFont="1" applyFill="1" applyBorder="1" applyAlignment="1">
      <alignment horizontal="center"/>
    </xf>
    <xf numFmtId="185" fontId="0" fillId="8" borderId="207" xfId="4" applyFont="1" applyFill="1" applyBorder="1" applyAlignment="1">
      <alignment horizontal="center"/>
    </xf>
    <xf numFmtId="185" fontId="0" fillId="8" borderId="208" xfId="4" applyFont="1" applyFill="1" applyBorder="1" applyAlignment="1">
      <alignment horizontal="center"/>
    </xf>
    <xf numFmtId="185" fontId="0" fillId="8" borderId="209" xfId="4" applyFont="1" applyFill="1" applyBorder="1" applyAlignment="1">
      <alignment horizontal="center"/>
    </xf>
    <xf numFmtId="185" fontId="0" fillId="8" borderId="210" xfId="4" applyFont="1" applyFill="1" applyBorder="1" applyAlignment="1">
      <alignment horizontal="center"/>
    </xf>
    <xf numFmtId="185" fontId="0" fillId="8" borderId="211" xfId="4" applyFont="1" applyFill="1" applyBorder="1" applyAlignment="1">
      <alignment horizontal="center"/>
    </xf>
    <xf numFmtId="0" fontId="28" fillId="0" borderId="0" xfId="10" applyFont="1"/>
    <xf numFmtId="0" fontId="22" fillId="8" borderId="144" xfId="10" applyFill="1" applyBorder="1" applyAlignment="1">
      <alignment horizontal="center" vertical="center"/>
    </xf>
    <xf numFmtId="0" fontId="22" fillId="8" borderId="145" xfId="10" applyFill="1" applyBorder="1" applyAlignment="1">
      <alignment horizontal="center" vertical="center"/>
    </xf>
    <xf numFmtId="0" fontId="22" fillId="0" borderId="0" xfId="10" applyFill="1" applyBorder="1" applyAlignment="1">
      <alignment horizontal="center" vertical="center"/>
    </xf>
    <xf numFmtId="182" fontId="0" fillId="4" borderId="212" xfId="4" applyNumberFormat="1" applyFont="1" applyFill="1" applyBorder="1" applyAlignment="1" applyProtection="1">
      <alignment horizontal="center"/>
      <protection locked="0"/>
    </xf>
    <xf numFmtId="182" fontId="0" fillId="4" borderId="213" xfId="4" applyNumberFormat="1" applyFont="1" applyFill="1" applyBorder="1" applyAlignment="1" applyProtection="1">
      <alignment horizontal="center"/>
      <protection locked="0"/>
    </xf>
    <xf numFmtId="182" fontId="0" fillId="4" borderId="208" xfId="4" applyNumberFormat="1" applyFont="1" applyFill="1" applyBorder="1" applyAlignment="1" applyProtection="1">
      <alignment horizontal="center"/>
      <protection locked="0"/>
    </xf>
    <xf numFmtId="182" fontId="0" fillId="4" borderId="209" xfId="4" applyNumberFormat="1" applyFont="1" applyFill="1" applyBorder="1" applyAlignment="1" applyProtection="1">
      <alignment horizontal="center"/>
      <protection locked="0"/>
    </xf>
    <xf numFmtId="182" fontId="0" fillId="4" borderId="214" xfId="4" applyNumberFormat="1" applyFont="1" applyFill="1" applyBorder="1" applyAlignment="1" applyProtection="1">
      <alignment horizontal="center"/>
      <protection locked="0"/>
    </xf>
    <xf numFmtId="182" fontId="0" fillId="4" borderId="215" xfId="4" applyNumberFormat="1" applyFont="1" applyFill="1" applyBorder="1" applyAlignment="1" applyProtection="1">
      <alignment horizontal="center"/>
      <protection locked="0"/>
    </xf>
    <xf numFmtId="182" fontId="0" fillId="8" borderId="216" xfId="4" applyNumberFormat="1" applyFont="1" applyFill="1" applyBorder="1" applyAlignment="1">
      <alignment horizontal="center"/>
    </xf>
    <xf numFmtId="182" fontId="0" fillId="8" borderId="217" xfId="4" applyNumberFormat="1" applyFont="1" applyFill="1" applyBorder="1" applyAlignment="1" applyProtection="1">
      <alignment horizontal="center"/>
      <protection locked="0"/>
    </xf>
    <xf numFmtId="182" fontId="0" fillId="8" borderId="217" xfId="4" applyNumberFormat="1" applyFont="1" applyFill="1" applyBorder="1" applyAlignment="1">
      <alignment horizontal="center"/>
    </xf>
    <xf numFmtId="182" fontId="0" fillId="8" borderId="218" xfId="4" applyNumberFormat="1" applyFont="1" applyFill="1" applyBorder="1" applyAlignment="1">
      <alignment horizontal="center"/>
    </xf>
    <xf numFmtId="182" fontId="0" fillId="8" borderId="219" xfId="4" applyNumberFormat="1" applyFont="1" applyFill="1" applyBorder="1" applyAlignment="1" applyProtection="1">
      <alignment horizontal="center"/>
      <protection locked="0"/>
    </xf>
    <xf numFmtId="185" fontId="0" fillId="8" borderId="216" xfId="4" applyFont="1" applyFill="1" applyBorder="1" applyAlignment="1">
      <alignment horizontal="center"/>
    </xf>
    <xf numFmtId="185" fontId="0" fillId="8" borderId="220" xfId="4" applyFont="1" applyFill="1" applyBorder="1" applyAlignment="1">
      <alignment horizontal="center"/>
    </xf>
    <xf numFmtId="185" fontId="0" fillId="8" borderId="217" xfId="4" applyFont="1" applyFill="1" applyBorder="1" applyAlignment="1">
      <alignment horizontal="center"/>
    </xf>
    <xf numFmtId="185" fontId="0" fillId="8" borderId="218" xfId="4" applyFont="1" applyFill="1" applyBorder="1" applyAlignment="1">
      <alignment horizontal="center"/>
    </xf>
    <xf numFmtId="185" fontId="0" fillId="8" borderId="219" xfId="4" applyFont="1" applyFill="1" applyBorder="1" applyAlignment="1">
      <alignment horizontal="center"/>
    </xf>
    <xf numFmtId="0" fontId="22" fillId="8" borderId="221" xfId="10" applyFill="1" applyBorder="1" applyAlignment="1">
      <alignment horizontal="center" vertical="center"/>
    </xf>
    <xf numFmtId="182" fontId="0" fillId="4" borderId="222" xfId="4" applyNumberFormat="1" applyFont="1" applyFill="1" applyBorder="1" applyAlignment="1" applyProtection="1">
      <alignment horizontal="center"/>
      <protection locked="0"/>
    </xf>
    <xf numFmtId="182" fontId="0" fillId="4" borderId="217" xfId="4" applyNumberFormat="1" applyFont="1" applyFill="1" applyBorder="1" applyAlignment="1" applyProtection="1">
      <alignment horizontal="center"/>
      <protection locked="0"/>
    </xf>
    <xf numFmtId="182" fontId="0" fillId="4" borderId="223" xfId="4" applyNumberFormat="1" applyFont="1" applyFill="1" applyBorder="1" applyAlignment="1" applyProtection="1">
      <alignment horizontal="center"/>
      <protection locked="0"/>
    </xf>
    <xf numFmtId="182" fontId="0" fillId="4" borderId="224" xfId="4" applyNumberFormat="1" applyFont="1" applyFill="1" applyBorder="1" applyAlignment="1" applyProtection="1">
      <alignment horizontal="center"/>
      <protection locked="0"/>
    </xf>
    <xf numFmtId="0" fontId="22" fillId="8" borderId="225" xfId="10" applyFill="1" applyBorder="1" applyAlignment="1">
      <alignment horizontal="center" vertical="center"/>
    </xf>
    <xf numFmtId="0" fontId="23" fillId="18" borderId="171" xfId="10" applyFont="1" applyFill="1" applyBorder="1" applyAlignment="1">
      <alignment horizontal="center" vertical="center"/>
    </xf>
    <xf numFmtId="0" fontId="24" fillId="15" borderId="171" xfId="10" applyFont="1" applyFill="1" applyBorder="1" applyAlignment="1">
      <alignment horizontal="center" vertical="center"/>
    </xf>
    <xf numFmtId="182" fontId="0" fillId="8" borderId="226" xfId="4" applyNumberFormat="1" applyFont="1" applyFill="1" applyBorder="1" applyAlignment="1">
      <alignment horizontal="center"/>
    </xf>
    <xf numFmtId="185" fontId="0" fillId="8" borderId="227" xfId="4" applyFont="1" applyFill="1" applyBorder="1" applyAlignment="1">
      <alignment horizontal="center"/>
    </xf>
    <xf numFmtId="185" fontId="0" fillId="8" borderId="226" xfId="4" applyFont="1" applyFill="1" applyBorder="1" applyAlignment="1">
      <alignment horizontal="center"/>
    </xf>
    <xf numFmtId="182" fontId="0" fillId="4" borderId="208" xfId="4" applyNumberFormat="1" applyFont="1" applyFill="1" applyBorder="1" applyAlignment="1">
      <alignment horizontal="center"/>
    </xf>
    <xf numFmtId="182" fontId="0" fillId="4" borderId="209" xfId="4" applyNumberFormat="1" applyFont="1" applyFill="1" applyBorder="1" applyAlignment="1">
      <alignment horizontal="center"/>
    </xf>
    <xf numFmtId="182" fontId="0" fillId="4" borderId="217" xfId="4" applyNumberFormat="1" applyFont="1" applyFill="1" applyBorder="1" applyAlignment="1">
      <alignment horizontal="center"/>
    </xf>
    <xf numFmtId="185" fontId="22" fillId="0" borderId="0" xfId="10" applyNumberFormat="1" applyFill="1"/>
    <xf numFmtId="182" fontId="0" fillId="4" borderId="228" xfId="4" applyNumberFormat="1" applyFont="1" applyFill="1" applyBorder="1" applyAlignment="1" applyProtection="1">
      <alignment horizontal="center"/>
      <protection locked="0"/>
    </xf>
    <xf numFmtId="185" fontId="0" fillId="20" borderId="229" xfId="4" applyFont="1" applyFill="1" applyBorder="1" applyAlignment="1">
      <alignment horizontal="center"/>
    </xf>
    <xf numFmtId="185" fontId="0" fillId="20" borderId="213" xfId="4" applyFont="1" applyFill="1" applyBorder="1" applyAlignment="1">
      <alignment horizontal="center"/>
    </xf>
    <xf numFmtId="185" fontId="0" fillId="20" borderId="230" xfId="4" applyFont="1" applyFill="1" applyBorder="1" applyAlignment="1">
      <alignment horizontal="center"/>
    </xf>
    <xf numFmtId="185" fontId="0" fillId="20" borderId="231" xfId="4" applyFont="1" applyFill="1" applyBorder="1" applyAlignment="1">
      <alignment horizontal="center"/>
    </xf>
    <xf numFmtId="182" fontId="0" fillId="20" borderId="230" xfId="4" applyNumberFormat="1" applyFont="1" applyFill="1" applyBorder="1" applyAlignment="1">
      <alignment horizontal="center"/>
    </xf>
    <xf numFmtId="182" fontId="0" fillId="20" borderId="231" xfId="4" applyNumberFormat="1" applyFont="1" applyFill="1" applyBorder="1" applyAlignment="1">
      <alignment horizontal="center"/>
    </xf>
    <xf numFmtId="185" fontId="0" fillId="12" borderId="230" xfId="4" applyFont="1" applyFill="1" applyBorder="1" applyAlignment="1">
      <alignment horizontal="center"/>
    </xf>
    <xf numFmtId="185" fontId="0" fillId="12" borderId="231" xfId="4" applyFont="1" applyFill="1" applyBorder="1" applyAlignment="1">
      <alignment horizontal="center"/>
    </xf>
    <xf numFmtId="182" fontId="0" fillId="4" borderId="232" xfId="4" applyNumberFormat="1" applyFont="1" applyFill="1" applyBorder="1" applyAlignment="1" applyProtection="1">
      <alignment horizontal="center"/>
      <protection locked="0"/>
    </xf>
    <xf numFmtId="185" fontId="0" fillId="12" borderId="224" xfId="4" applyFont="1" applyFill="1" applyBorder="1" applyAlignment="1">
      <alignment horizontal="center"/>
    </xf>
    <xf numFmtId="185" fontId="0" fillId="12" borderId="215" xfId="4" applyFont="1" applyFill="1" applyBorder="1" applyAlignment="1">
      <alignment horizontal="center"/>
    </xf>
    <xf numFmtId="185" fontId="0" fillId="20" borderId="222" xfId="4" applyFont="1" applyFill="1" applyBorder="1" applyAlignment="1">
      <alignment horizontal="center"/>
    </xf>
    <xf numFmtId="185" fontId="0" fillId="20" borderId="233" xfId="4" applyFont="1" applyFill="1" applyBorder="1" applyAlignment="1">
      <alignment horizontal="center"/>
    </xf>
    <xf numFmtId="185" fontId="0" fillId="20" borderId="234" xfId="4" applyFont="1" applyFill="1" applyBorder="1" applyAlignment="1">
      <alignment horizontal="center"/>
    </xf>
    <xf numFmtId="185" fontId="0" fillId="20" borderId="235" xfId="4" applyFont="1" applyFill="1" applyBorder="1" applyAlignment="1">
      <alignment horizontal="center"/>
    </xf>
    <xf numFmtId="182" fontId="0" fillId="20" borderId="234" xfId="4" applyNumberFormat="1" applyFont="1" applyFill="1" applyBorder="1" applyAlignment="1">
      <alignment horizontal="center"/>
    </xf>
    <xf numFmtId="185" fontId="0" fillId="12" borderId="234" xfId="4" applyFont="1" applyFill="1" applyBorder="1" applyAlignment="1">
      <alignment horizontal="center"/>
    </xf>
    <xf numFmtId="185" fontId="0" fillId="12" borderId="235" xfId="4" applyFont="1" applyFill="1" applyBorder="1" applyAlignment="1">
      <alignment horizontal="center"/>
    </xf>
    <xf numFmtId="185" fontId="0" fillId="12" borderId="223" xfId="4" applyFont="1" applyFill="1" applyBorder="1" applyAlignment="1">
      <alignment horizontal="center"/>
    </xf>
    <xf numFmtId="185" fontId="0" fillId="12" borderId="236" xfId="4" applyFont="1" applyFill="1" applyBorder="1" applyAlignment="1">
      <alignment horizontal="center"/>
    </xf>
    <xf numFmtId="185" fontId="0" fillId="20" borderId="228" xfId="4" applyFont="1" applyFill="1" applyBorder="1" applyAlignment="1">
      <alignment horizontal="center"/>
    </xf>
    <xf numFmtId="185" fontId="0" fillId="20" borderId="237" xfId="4" applyFont="1" applyFill="1" applyBorder="1" applyAlignment="1">
      <alignment horizontal="center"/>
    </xf>
    <xf numFmtId="185" fontId="0" fillId="12" borderId="237" xfId="4" applyFont="1" applyFill="1" applyBorder="1" applyAlignment="1">
      <alignment horizontal="center"/>
    </xf>
    <xf numFmtId="185" fontId="0" fillId="12" borderId="232" xfId="4" applyFont="1" applyFill="1" applyBorder="1" applyAlignment="1">
      <alignment horizontal="center"/>
    </xf>
    <xf numFmtId="182" fontId="0" fillId="20" borderId="218" xfId="4" applyNumberFormat="1" applyFont="1" applyFill="1" applyBorder="1" applyAlignment="1">
      <alignment horizontal="center"/>
    </xf>
    <xf numFmtId="182" fontId="0" fillId="20" borderId="209" xfId="4" applyNumberFormat="1" applyFont="1" applyFill="1" applyBorder="1" applyAlignment="1">
      <alignment horizontal="center"/>
    </xf>
    <xf numFmtId="0" fontId="22" fillId="8" borderId="171" xfId="10" applyFill="1" applyBorder="1" applyAlignment="1">
      <alignment horizontal="center" vertical="center"/>
    </xf>
    <xf numFmtId="185" fontId="0" fillId="20" borderId="238" xfId="4" applyFont="1" applyFill="1" applyBorder="1" applyAlignment="1">
      <alignment horizontal="center"/>
    </xf>
    <xf numFmtId="185" fontId="0" fillId="20" borderId="239" xfId="4" applyFont="1" applyFill="1" applyBorder="1" applyAlignment="1">
      <alignment horizontal="center"/>
    </xf>
    <xf numFmtId="182" fontId="0" fillId="20" borderId="226" xfId="4" applyNumberFormat="1" applyFont="1" applyFill="1" applyBorder="1" applyAlignment="1">
      <alignment horizontal="center"/>
    </xf>
    <xf numFmtId="185" fontId="0" fillId="12" borderId="239" xfId="4" applyFont="1" applyFill="1" applyBorder="1" applyAlignment="1">
      <alignment horizontal="center"/>
    </xf>
    <xf numFmtId="185" fontId="0" fillId="12" borderId="240" xfId="4" applyFont="1" applyFill="1" applyBorder="1" applyAlignment="1">
      <alignment horizontal="center"/>
    </xf>
    <xf numFmtId="0" fontId="22" fillId="0" borderId="0" xfId="10" applyFill="1" applyBorder="1"/>
    <xf numFmtId="0" fontId="22" fillId="0" borderId="0" xfId="10" applyBorder="1"/>
    <xf numFmtId="0" fontId="27" fillId="8" borderId="241" xfId="10" applyFont="1" applyFill="1" applyBorder="1" applyAlignment="1">
      <alignment horizontal="center"/>
    </xf>
    <xf numFmtId="0" fontId="28" fillId="8" borderId="241" xfId="10" applyFont="1" applyFill="1" applyBorder="1" applyAlignment="1">
      <alignment horizontal="center"/>
    </xf>
    <xf numFmtId="0" fontId="28" fillId="0" borderId="0" xfId="10" applyFont="1" applyFill="1" applyBorder="1" applyAlignment="1">
      <alignment horizontal="center"/>
    </xf>
    <xf numFmtId="0" fontId="26" fillId="13" borderId="242" xfId="10" applyFont="1" applyFill="1" applyBorder="1" applyAlignment="1"/>
    <xf numFmtId="0" fontId="26" fillId="13" borderId="243" xfId="10" applyFont="1" applyFill="1" applyBorder="1" applyAlignment="1"/>
    <xf numFmtId="0" fontId="22" fillId="0" borderId="155" xfId="10" applyFill="1" applyBorder="1" applyAlignment="1"/>
    <xf numFmtId="0" fontId="26" fillId="0" borderId="0" xfId="10" applyFont="1" applyFill="1" applyBorder="1" applyAlignment="1"/>
    <xf numFmtId="0" fontId="26" fillId="8" borderId="149" xfId="10" applyFont="1" applyFill="1" applyBorder="1" applyAlignment="1"/>
    <xf numFmtId="0" fontId="22" fillId="8" borderId="244" xfId="10" applyFill="1" applyBorder="1" applyAlignment="1"/>
    <xf numFmtId="0" fontId="22" fillId="8" borderId="173" xfId="10" applyFill="1" applyBorder="1" applyAlignment="1"/>
    <xf numFmtId="0" fontId="26" fillId="8" borderId="245" xfId="10" applyFont="1" applyFill="1" applyBorder="1" applyAlignment="1">
      <alignment horizontal="right"/>
    </xf>
    <xf numFmtId="0" fontId="26" fillId="8" borderId="246" xfId="10" applyFont="1" applyFill="1" applyBorder="1" applyAlignment="1">
      <alignment horizontal="right"/>
    </xf>
    <xf numFmtId="0" fontId="22" fillId="13" borderId="243" xfId="10" applyFill="1" applyBorder="1" applyAlignment="1"/>
    <xf numFmtId="0" fontId="22" fillId="8" borderId="246" xfId="10" applyFill="1" applyBorder="1" applyAlignment="1">
      <alignment horizontal="right"/>
    </xf>
    <xf numFmtId="0" fontId="26" fillId="0" borderId="0" xfId="10" applyFont="1" applyFill="1" applyBorder="1" applyAlignment="1">
      <alignment horizontal="right"/>
    </xf>
    <xf numFmtId="0" fontId="26" fillId="13" borderId="144" xfId="10" applyFont="1" applyFill="1" applyBorder="1" applyAlignment="1">
      <alignment horizontal="left"/>
    </xf>
    <xf numFmtId="0" fontId="26" fillId="13" borderId="145" xfId="10" applyFont="1" applyFill="1" applyBorder="1" applyAlignment="1">
      <alignment horizontal="left"/>
    </xf>
    <xf numFmtId="0" fontId="22" fillId="8" borderId="149" xfId="10" applyFont="1" applyFill="1" applyBorder="1" applyAlignment="1"/>
    <xf numFmtId="0" fontId="22" fillId="8" borderId="172" xfId="10" applyFill="1" applyBorder="1" applyAlignment="1"/>
    <xf numFmtId="0" fontId="26" fillId="8" borderId="247" xfId="10" applyFont="1" applyFill="1" applyBorder="1" applyAlignment="1">
      <alignment horizontal="right"/>
    </xf>
    <xf numFmtId="0" fontId="26" fillId="8" borderId="172" xfId="10" applyFont="1" applyFill="1" applyBorder="1" applyAlignment="1"/>
    <xf numFmtId="0" fontId="22" fillId="8" borderId="247" xfId="10" applyFill="1" applyBorder="1" applyAlignment="1">
      <alignment horizontal="right"/>
    </xf>
    <xf numFmtId="0" fontId="26" fillId="13" borderId="171" xfId="10" applyFont="1" applyFill="1" applyBorder="1" applyAlignment="1">
      <alignment horizontal="left"/>
    </xf>
    <xf numFmtId="0" fontId="22" fillId="0" borderId="0" xfId="10" applyFont="1" applyFill="1" applyBorder="1"/>
    <xf numFmtId="182" fontId="0" fillId="0" borderId="0" xfId="4" applyNumberFormat="1" applyFont="1" applyBorder="1" applyAlignment="1">
      <alignment horizontal="center"/>
    </xf>
    <xf numFmtId="182" fontId="0" fillId="13" borderId="243" xfId="4" applyNumberFormat="1" applyFont="1" applyFill="1" applyBorder="1" applyAlignment="1"/>
    <xf numFmtId="182" fontId="0" fillId="0" borderId="0" xfId="4" applyNumberFormat="1" applyFont="1" applyFill="1" applyBorder="1" applyAlignment="1"/>
    <xf numFmtId="182" fontId="0" fillId="8" borderId="210" xfId="4" applyNumberFormat="1" applyFont="1" applyFill="1" applyBorder="1" applyAlignment="1">
      <alignment horizontal="center"/>
    </xf>
    <xf numFmtId="182" fontId="0" fillId="8" borderId="211" xfId="4" applyNumberFormat="1" applyFont="1" applyFill="1" applyBorder="1" applyAlignment="1">
      <alignment horizontal="center"/>
    </xf>
    <xf numFmtId="182" fontId="0" fillId="11" borderId="246" xfId="4" applyNumberFormat="1" applyFont="1" applyFill="1" applyBorder="1" applyAlignment="1">
      <alignment horizontal="center"/>
    </xf>
    <xf numFmtId="182" fontId="0" fillId="0" borderId="0" xfId="4" applyNumberFormat="1" applyFont="1" applyFill="1" applyBorder="1" applyAlignment="1">
      <alignment horizontal="center"/>
    </xf>
    <xf numFmtId="182" fontId="0" fillId="15" borderId="144" xfId="4" applyNumberFormat="1" applyFont="1" applyFill="1" applyBorder="1" applyAlignment="1">
      <alignment horizontal="center"/>
    </xf>
    <xf numFmtId="182" fontId="0" fillId="15" borderId="145" xfId="4" applyNumberFormat="1" applyFont="1" applyFill="1" applyBorder="1" applyAlignment="1">
      <alignment horizontal="center"/>
    </xf>
    <xf numFmtId="182" fontId="0" fillId="8" borderId="219" xfId="4" applyNumberFormat="1" applyFont="1" applyFill="1" applyBorder="1" applyAlignment="1">
      <alignment horizontal="center"/>
    </xf>
    <xf numFmtId="182" fontId="0" fillId="8" borderId="248" xfId="4" applyNumberFormat="1" applyFont="1" applyFill="1" applyBorder="1" applyAlignment="1">
      <alignment horizontal="center"/>
    </xf>
    <xf numFmtId="182" fontId="0" fillId="8" borderId="249" xfId="4" applyNumberFormat="1" applyFont="1" applyFill="1" applyBorder="1" applyAlignment="1">
      <alignment horizontal="center"/>
    </xf>
    <xf numFmtId="182" fontId="0" fillId="11" borderId="250" xfId="4" applyNumberFormat="1" applyFont="1" applyFill="1" applyBorder="1" applyAlignment="1">
      <alignment horizontal="center"/>
    </xf>
    <xf numFmtId="182" fontId="0" fillId="11" borderId="251" xfId="4" applyNumberFormat="1" applyFont="1" applyFill="1" applyBorder="1" applyAlignment="1">
      <alignment horizontal="center"/>
    </xf>
    <xf numFmtId="182" fontId="0" fillId="15" borderId="171" xfId="4" applyNumberFormat="1" applyFont="1" applyFill="1" applyBorder="1" applyAlignment="1">
      <alignment horizontal="center"/>
    </xf>
    <xf numFmtId="182" fontId="0" fillId="8" borderId="252" xfId="4" applyNumberFormat="1" applyFont="1" applyFill="1" applyBorder="1" applyAlignment="1">
      <alignment horizontal="center"/>
    </xf>
    <xf numFmtId="182" fontId="0" fillId="13" borderId="253" xfId="4" applyNumberFormat="1" applyFont="1" applyFill="1" applyBorder="1" applyAlignment="1"/>
    <xf numFmtId="182" fontId="0" fillId="0" borderId="254" xfId="4" applyNumberFormat="1" applyFont="1" applyFill="1" applyBorder="1" applyAlignment="1"/>
    <xf numFmtId="182" fontId="0" fillId="8" borderId="255" xfId="4" applyNumberFormat="1" applyFont="1" applyFill="1" applyBorder="1" applyAlignment="1">
      <alignment horizontal="center"/>
    </xf>
    <xf numFmtId="182" fontId="0" fillId="11" borderId="256" xfId="4" applyNumberFormat="1" applyFont="1" applyFill="1" applyBorder="1" applyAlignment="1">
      <alignment horizontal="center"/>
    </xf>
    <xf numFmtId="0" fontId="22" fillId="19" borderId="144" xfId="10" applyFill="1" applyBorder="1" applyAlignment="1">
      <alignment horizontal="center"/>
    </xf>
    <xf numFmtId="0" fontId="22" fillId="19" borderId="145" xfId="10" applyFill="1" applyBorder="1" applyAlignment="1">
      <alignment horizontal="center"/>
    </xf>
    <xf numFmtId="0" fontId="26" fillId="8" borderId="146" xfId="10" applyFont="1" applyFill="1" applyBorder="1" applyAlignment="1"/>
    <xf numFmtId="0" fontId="26" fillId="8" borderId="147" xfId="10" applyFont="1" applyFill="1" applyBorder="1" applyAlignment="1"/>
    <xf numFmtId="0" fontId="22" fillId="0" borderId="155" xfId="10" applyBorder="1" applyAlignment="1"/>
    <xf numFmtId="0" fontId="26" fillId="0" borderId="0" xfId="10" applyFont="1" applyBorder="1" applyAlignment="1"/>
    <xf numFmtId="0" fontId="26" fillId="13" borderId="245" xfId="10" applyFont="1" applyFill="1" applyBorder="1" applyAlignment="1">
      <alignment horizontal="left" vertical="top" wrapText="1"/>
    </xf>
    <xf numFmtId="0" fontId="26" fillId="13" borderId="246" xfId="10" applyFont="1" applyFill="1" applyBorder="1" applyAlignment="1">
      <alignment horizontal="left" vertical="top"/>
    </xf>
    <xf numFmtId="0" fontId="22" fillId="8" borderId="257" xfId="10" applyFill="1" applyBorder="1" applyAlignment="1"/>
    <xf numFmtId="0" fontId="22" fillId="8" borderId="176" xfId="10" applyFill="1" applyBorder="1" applyAlignment="1"/>
    <xf numFmtId="0" fontId="22" fillId="8" borderId="154" xfId="10" applyFill="1" applyBorder="1" applyAlignment="1"/>
    <xf numFmtId="0" fontId="22" fillId="0" borderId="155" xfId="10" applyBorder="1"/>
    <xf numFmtId="0" fontId="22" fillId="13" borderId="245" xfId="10" applyFill="1" applyBorder="1"/>
    <xf numFmtId="0" fontId="22" fillId="13" borderId="246" xfId="10" applyFill="1" applyBorder="1"/>
    <xf numFmtId="0" fontId="26" fillId="13" borderId="246" xfId="10" applyFont="1" applyFill="1" applyBorder="1"/>
    <xf numFmtId="0" fontId="29" fillId="21" borderId="258" xfId="10" applyFont="1" applyFill="1" applyBorder="1" applyAlignment="1"/>
    <xf numFmtId="0" fontId="30" fillId="21" borderId="259" xfId="10" applyFont="1" applyFill="1" applyBorder="1" applyAlignment="1"/>
    <xf numFmtId="0" fontId="30" fillId="22" borderId="260" xfId="10" applyFont="1" applyFill="1" applyBorder="1" applyAlignment="1"/>
    <xf numFmtId="0" fontId="30" fillId="22" borderId="261" xfId="10" applyFont="1" applyFill="1" applyBorder="1" applyAlignment="1"/>
    <xf numFmtId="0" fontId="26" fillId="8" borderId="149" xfId="10" applyFont="1" applyFill="1" applyBorder="1" applyAlignment="1">
      <alignment horizontal="right"/>
    </xf>
    <xf numFmtId="0" fontId="29" fillId="22" borderId="261" xfId="10" applyFont="1" applyFill="1" applyBorder="1" applyAlignment="1"/>
    <xf numFmtId="0" fontId="22" fillId="19" borderId="171" xfId="10" applyFill="1" applyBorder="1" applyAlignment="1">
      <alignment horizontal="center"/>
    </xf>
    <xf numFmtId="0" fontId="26" fillId="8" borderId="262" xfId="10" applyFont="1" applyFill="1" applyBorder="1" applyAlignment="1"/>
    <xf numFmtId="0" fontId="22" fillId="8" borderId="174" xfId="10" applyFill="1" applyBorder="1" applyAlignment="1"/>
    <xf numFmtId="0" fontId="26" fillId="8" borderId="256" xfId="10" applyFont="1" applyFill="1" applyBorder="1" applyAlignment="1">
      <alignment horizontal="right"/>
    </xf>
    <xf numFmtId="0" fontId="22" fillId="8" borderId="177" xfId="10" applyFill="1" applyBorder="1" applyAlignment="1"/>
    <xf numFmtId="0" fontId="26" fillId="8" borderId="172" xfId="10" applyFont="1" applyFill="1" applyBorder="1" applyAlignment="1">
      <alignment horizontal="right"/>
    </xf>
    <xf numFmtId="0" fontId="30" fillId="22" borderId="263" xfId="10" applyFont="1" applyFill="1" applyBorder="1" applyAlignment="1"/>
    <xf numFmtId="0" fontId="29" fillId="22" borderId="263" xfId="10" applyFont="1" applyFill="1" applyBorder="1" applyAlignment="1"/>
    <xf numFmtId="0" fontId="31" fillId="0" borderId="183" xfId="10" applyFont="1" applyBorder="1" applyAlignment="1">
      <alignment horizontal="center"/>
    </xf>
    <xf numFmtId="0" fontId="26" fillId="19" borderId="144" xfId="10" applyFont="1" applyFill="1" applyBorder="1" applyAlignment="1" applyProtection="1">
      <alignment horizontal="center" wrapText="1"/>
      <protection locked="0"/>
    </xf>
    <xf numFmtId="0" fontId="26" fillId="19" borderId="145" xfId="10" applyFont="1" applyFill="1" applyBorder="1" applyAlignment="1" applyProtection="1">
      <alignment horizontal="center"/>
      <protection locked="0"/>
    </xf>
    <xf numFmtId="182" fontId="0" fillId="8" borderId="207" xfId="4" applyNumberFormat="1" applyFont="1" applyFill="1" applyBorder="1" applyAlignment="1" applyProtection="1">
      <alignment horizontal="center"/>
      <protection locked="0"/>
    </xf>
    <xf numFmtId="182" fontId="0" fillId="8" borderId="249" xfId="4" applyNumberFormat="1" applyFont="1" applyFill="1" applyBorder="1" applyAlignment="1" applyProtection="1">
      <alignment horizontal="center"/>
      <protection locked="0"/>
    </xf>
    <xf numFmtId="182" fontId="0" fillId="8" borderId="264" xfId="4" applyNumberFormat="1" applyFont="1" applyFill="1" applyBorder="1" applyAlignment="1" applyProtection="1">
      <alignment horizontal="center"/>
      <protection locked="0"/>
    </xf>
    <xf numFmtId="182" fontId="0" fillId="10" borderId="209" xfId="4" applyNumberFormat="1" applyFont="1" applyFill="1" applyBorder="1" applyAlignment="1">
      <alignment horizontal="center"/>
    </xf>
    <xf numFmtId="182" fontId="0" fillId="21" borderId="259" xfId="4" applyNumberFormat="1" applyFont="1" applyFill="1" applyBorder="1" applyAlignment="1"/>
    <xf numFmtId="182" fontId="0" fillId="22" borderId="265" xfId="4" applyNumberFormat="1" applyFont="1" applyFill="1" applyBorder="1" applyAlignment="1">
      <alignment horizontal="center"/>
    </xf>
    <xf numFmtId="0" fontId="26" fillId="19" borderId="171" xfId="10" applyFont="1" applyFill="1" applyBorder="1" applyAlignment="1" applyProtection="1">
      <alignment horizontal="center"/>
      <protection locked="0"/>
    </xf>
    <xf numFmtId="0" fontId="26" fillId="19" borderId="144" xfId="10" applyFont="1" applyFill="1" applyBorder="1" applyAlignment="1" applyProtection="1">
      <alignment horizontal="center"/>
      <protection locked="0"/>
    </xf>
    <xf numFmtId="182" fontId="0" fillId="8" borderId="216" xfId="4" applyNumberFormat="1" applyFont="1" applyFill="1" applyBorder="1" applyAlignment="1" applyProtection="1">
      <alignment horizontal="center"/>
      <protection locked="0"/>
    </xf>
    <xf numFmtId="182" fontId="0" fillId="8" borderId="220" xfId="4" applyNumberFormat="1" applyFont="1" applyFill="1" applyBorder="1" applyAlignment="1" applyProtection="1">
      <alignment horizontal="center"/>
      <protection locked="0"/>
    </xf>
    <xf numFmtId="182" fontId="0" fillId="8" borderId="218" xfId="4" applyNumberFormat="1" applyFont="1" applyFill="1" applyBorder="1" applyAlignment="1" applyProtection="1">
      <alignment horizontal="center"/>
      <protection locked="0"/>
    </xf>
    <xf numFmtId="182" fontId="0" fillId="8" borderId="252" xfId="4" applyNumberFormat="1" applyFont="1" applyFill="1" applyBorder="1" applyAlignment="1" applyProtection="1">
      <alignment horizontal="center"/>
      <protection locked="0"/>
    </xf>
    <xf numFmtId="182" fontId="0" fillId="8" borderId="248" xfId="4" applyNumberFormat="1" applyFont="1" applyFill="1" applyBorder="1" applyAlignment="1" applyProtection="1">
      <alignment horizontal="center"/>
      <protection locked="0"/>
    </xf>
    <xf numFmtId="182" fontId="0" fillId="8" borderId="266" xfId="4" applyNumberFormat="1" applyFont="1" applyFill="1" applyBorder="1" applyAlignment="1" applyProtection="1">
      <alignment horizontal="center"/>
      <protection locked="0"/>
    </xf>
    <xf numFmtId="182" fontId="0" fillId="8" borderId="267" xfId="4" applyNumberFormat="1" applyFont="1" applyFill="1" applyBorder="1" applyAlignment="1" applyProtection="1">
      <alignment horizontal="center"/>
      <protection locked="0"/>
    </xf>
    <xf numFmtId="182" fontId="0" fillId="10" borderId="217" xfId="4" applyNumberFormat="1" applyFont="1" applyFill="1" applyBorder="1" applyAlignment="1">
      <alignment horizontal="center"/>
    </xf>
    <xf numFmtId="182" fontId="0" fillId="10" borderId="218" xfId="4" applyNumberFormat="1" applyFont="1" applyFill="1" applyBorder="1" applyAlignment="1">
      <alignment horizontal="center"/>
    </xf>
    <xf numFmtId="182" fontId="0" fillId="22" borderId="268" xfId="4" applyNumberFormat="1" applyFont="1" applyFill="1" applyBorder="1" applyAlignment="1">
      <alignment horizontal="center"/>
    </xf>
    <xf numFmtId="182" fontId="0" fillId="22" borderId="269" xfId="4" applyNumberFormat="1" applyFont="1" applyFill="1" applyBorder="1" applyAlignment="1">
      <alignment horizontal="center"/>
    </xf>
    <xf numFmtId="0" fontId="32" fillId="0" borderId="183" xfId="10" applyFont="1" applyBorder="1" applyAlignment="1">
      <alignment horizontal="center"/>
    </xf>
    <xf numFmtId="0" fontId="26" fillId="19" borderId="145" xfId="10" applyFont="1" applyFill="1" applyBorder="1" applyAlignment="1" applyProtection="1">
      <alignment horizontal="center" wrapText="1"/>
      <protection locked="0"/>
    </xf>
    <xf numFmtId="0" fontId="27" fillId="8" borderId="270" xfId="10" applyFont="1" applyFill="1" applyBorder="1" applyAlignment="1">
      <alignment horizontal="center"/>
    </xf>
    <xf numFmtId="0" fontId="26" fillId="19" borderId="171" xfId="10" applyFont="1" applyFill="1" applyBorder="1" applyAlignment="1" applyProtection="1">
      <alignment horizontal="center" wrapText="1"/>
      <protection locked="0"/>
    </xf>
    <xf numFmtId="182" fontId="0" fillId="8" borderId="227" xfId="4" applyNumberFormat="1" applyFont="1" applyFill="1" applyBorder="1" applyAlignment="1" applyProtection="1">
      <alignment horizontal="center"/>
      <protection locked="0"/>
    </xf>
    <xf numFmtId="0" fontId="7" fillId="5" borderId="271" xfId="0" applyFont="1" applyFill="1" applyBorder="1" applyAlignment="1" applyProtection="1">
      <alignment horizontal="center" vertical="center"/>
    </xf>
    <xf numFmtId="0" fontId="22" fillId="0" borderId="254" xfId="10" applyBorder="1"/>
    <xf numFmtId="0" fontId="7" fillId="5" borderId="272" xfId="0" applyFont="1" applyFill="1" applyBorder="1" applyAlignment="1" applyProtection="1">
      <alignment horizontal="center" vertical="center"/>
    </xf>
    <xf numFmtId="182" fontId="0" fillId="8" borderId="226" xfId="4" applyNumberFormat="1" applyFont="1" applyFill="1" applyBorder="1" applyAlignment="1" applyProtection="1">
      <alignment horizontal="center"/>
      <protection locked="0"/>
    </xf>
    <xf numFmtId="0" fontId="8" fillId="6" borderId="272" xfId="0" applyFont="1" applyFill="1" applyBorder="1" applyAlignment="1" applyProtection="1">
      <alignment horizontal="center" vertical="center"/>
    </xf>
    <xf numFmtId="182" fontId="0" fillId="8" borderId="255" xfId="4" applyNumberFormat="1" applyFont="1" applyFill="1" applyBorder="1" applyAlignment="1" applyProtection="1">
      <alignment horizontal="center"/>
      <protection locked="0"/>
    </xf>
    <xf numFmtId="0" fontId="9" fillId="7" borderId="272" xfId="0" applyFont="1" applyFill="1" applyBorder="1" applyAlignment="1" applyProtection="1">
      <alignment horizontal="right" vertical="center"/>
    </xf>
    <xf numFmtId="0" fontId="22" fillId="13" borderId="256" xfId="10" applyFill="1" applyBorder="1"/>
    <xf numFmtId="182" fontId="0" fillId="8" borderId="273" xfId="4" applyNumberFormat="1" applyFont="1" applyFill="1" applyBorder="1" applyAlignment="1" applyProtection="1">
      <alignment horizontal="center"/>
      <protection locked="0"/>
    </xf>
    <xf numFmtId="182" fontId="0" fillId="10" borderId="226" xfId="4" applyNumberFormat="1" applyFont="1" applyFill="1" applyBorder="1" applyAlignment="1">
      <alignment horizontal="center"/>
    </xf>
    <xf numFmtId="0" fontId="8" fillId="5" borderId="272" xfId="0" applyFont="1" applyFill="1" applyBorder="1" applyAlignment="1" applyProtection="1">
      <alignment horizontal="right" vertical="center"/>
    </xf>
    <xf numFmtId="177" fontId="8" fillId="5" borderId="272" xfId="32" applyNumberFormat="1" applyFont="1" applyFill="1" applyBorder="1" applyAlignment="1" applyProtection="1">
      <alignment horizontal="right" vertical="center"/>
    </xf>
    <xf numFmtId="182" fontId="0" fillId="21" borderId="274" xfId="4" applyNumberFormat="1" applyFont="1" applyFill="1" applyBorder="1" applyAlignment="1"/>
    <xf numFmtId="182" fontId="0" fillId="22" borderId="275" xfId="4" applyNumberFormat="1" applyFont="1" applyFill="1" applyBorder="1" applyAlignment="1">
      <alignment horizontal="center"/>
    </xf>
    <xf numFmtId="0" fontId="7" fillId="5" borderId="276" xfId="0" applyFont="1" applyFill="1" applyBorder="1" applyAlignment="1" applyProtection="1">
      <alignment horizontal="center" vertical="center"/>
    </xf>
    <xf numFmtId="0" fontId="8" fillId="6" borderId="0" xfId="0" applyFont="1" applyFill="1" applyBorder="1" applyAlignment="1" applyProtection="1">
      <alignment horizontal="center" vertical="center"/>
    </xf>
    <xf numFmtId="0" fontId="9" fillId="7" borderId="0" xfId="0" applyFont="1" applyFill="1" applyBorder="1" applyAlignment="1" applyProtection="1">
      <alignment horizontal="right" vertical="center"/>
    </xf>
    <xf numFmtId="177" fontId="7" fillId="6" borderId="59" xfId="32" applyNumberFormat="1" applyFont="1" applyFill="1" applyBorder="1" applyAlignment="1" applyProtection="1">
      <alignment horizontal="center" vertical="center"/>
    </xf>
    <xf numFmtId="176" fontId="7" fillId="6" borderId="0" xfId="3" applyNumberFormat="1" applyFont="1" applyFill="1" applyBorder="1" applyAlignment="1" applyProtection="1">
      <alignment horizontal="right" vertical="center"/>
    </xf>
    <xf numFmtId="187" fontId="7" fillId="6" borderId="59" xfId="32" applyFont="1" applyFill="1" applyBorder="1" applyAlignment="1" applyProtection="1">
      <alignment horizontal="center" vertical="center"/>
    </xf>
    <xf numFmtId="0" fontId="8" fillId="5" borderId="0" xfId="0" applyFont="1" applyFill="1" applyBorder="1" applyAlignment="1" applyProtection="1">
      <alignment horizontal="right" vertical="center"/>
    </xf>
    <xf numFmtId="177" fontId="8" fillId="5" borderId="0" xfId="32" applyNumberFormat="1" applyFont="1" applyFill="1" applyBorder="1" applyAlignment="1" applyProtection="1">
      <alignment horizontal="right" vertical="center"/>
    </xf>
    <xf numFmtId="187" fontId="7" fillId="5" borderId="272" xfId="32" applyFont="1" applyFill="1" applyBorder="1" applyAlignment="1" applyProtection="1">
      <alignment horizontal="center" vertical="center"/>
      <protection locked="0"/>
    </xf>
    <xf numFmtId="187" fontId="7" fillId="5" borderId="0" xfId="32" applyFont="1" applyFill="1" applyBorder="1" applyAlignment="1" applyProtection="1">
      <alignment horizontal="center" vertical="center"/>
      <protection locked="0"/>
    </xf>
    <xf numFmtId="187" fontId="7" fillId="6" borderId="272" xfId="32" applyFont="1" applyFill="1" applyBorder="1" applyAlignment="1" applyProtection="1">
      <alignment horizontal="center" vertical="center"/>
    </xf>
    <xf numFmtId="187" fontId="7" fillId="6" borderId="0" xfId="32" applyFont="1" applyFill="1" applyBorder="1" applyAlignment="1" applyProtection="1">
      <alignment horizontal="center" vertical="center"/>
    </xf>
    <xf numFmtId="187" fontId="8" fillId="7" borderId="272" xfId="32" applyFont="1" applyFill="1" applyBorder="1" applyAlignment="1" applyProtection="1">
      <alignment horizontal="center" vertical="center"/>
      <protection locked="0"/>
    </xf>
    <xf numFmtId="187" fontId="8" fillId="7" borderId="0" xfId="32" applyFont="1" applyFill="1" applyBorder="1" applyAlignment="1" applyProtection="1">
      <alignment horizontal="center" vertical="center"/>
      <protection locked="0"/>
    </xf>
    <xf numFmtId="187" fontId="7" fillId="6" borderId="272" xfId="32" applyFont="1" applyFill="1" applyBorder="1" applyAlignment="1" applyProtection="1">
      <alignment horizontal="center" vertical="center"/>
      <protection locked="0"/>
    </xf>
    <xf numFmtId="187" fontId="7" fillId="6" borderId="0" xfId="32" applyFont="1" applyFill="1" applyBorder="1" applyAlignment="1" applyProtection="1">
      <alignment horizontal="center" vertical="center"/>
      <protection locked="0"/>
    </xf>
    <xf numFmtId="187" fontId="7" fillId="5" borderId="272" xfId="32" applyFont="1" applyFill="1" applyBorder="1" applyAlignment="1" applyProtection="1">
      <alignment horizontal="center" vertical="center"/>
    </xf>
    <xf numFmtId="187" fontId="7" fillId="5" borderId="0" xfId="32" applyFont="1" applyFill="1" applyBorder="1" applyAlignment="1" applyProtection="1">
      <alignment horizontal="center" vertical="center"/>
    </xf>
    <xf numFmtId="0" fontId="30" fillId="22" borderId="277" xfId="10" applyFont="1" applyFill="1" applyBorder="1" applyAlignment="1"/>
    <xf numFmtId="0" fontId="30" fillId="22" borderId="278" xfId="10" applyFont="1" applyFill="1" applyBorder="1" applyAlignment="1"/>
    <xf numFmtId="0" fontId="29" fillId="22" borderId="279" xfId="10" applyFont="1" applyFill="1" applyBorder="1" applyAlignment="1">
      <alignment horizontal="right"/>
    </xf>
    <xf numFmtId="0" fontId="30" fillId="22" borderId="280" xfId="10" applyFont="1" applyFill="1" applyBorder="1" applyAlignment="1">
      <alignment horizontal="right"/>
    </xf>
    <xf numFmtId="0" fontId="30" fillId="0" borderId="0" xfId="10" applyFont="1" applyFill="1" applyBorder="1"/>
    <xf numFmtId="0" fontId="29" fillId="22" borderId="280" xfId="10" applyFont="1" applyFill="1" applyBorder="1" applyAlignment="1">
      <alignment horizontal="right"/>
    </xf>
    <xf numFmtId="0" fontId="29" fillId="21" borderId="259" xfId="10" applyFont="1" applyFill="1" applyBorder="1" applyAlignment="1"/>
    <xf numFmtId="0" fontId="30" fillId="0" borderId="281" xfId="10" applyFont="1" applyFill="1" applyBorder="1" applyAlignment="1"/>
    <xf numFmtId="0" fontId="30" fillId="0" borderId="0" xfId="10" applyFont="1" applyFill="1" applyBorder="1" applyAlignment="1"/>
    <xf numFmtId="0" fontId="29" fillId="0" borderId="0" xfId="10" applyFont="1" applyFill="1" applyBorder="1" applyAlignment="1"/>
    <xf numFmtId="0" fontId="30" fillId="22" borderId="282" xfId="10" applyFont="1" applyFill="1" applyBorder="1" applyAlignment="1">
      <alignment horizontal="right"/>
    </xf>
    <xf numFmtId="0" fontId="29" fillId="22" borderId="282" xfId="10" applyFont="1" applyFill="1" applyBorder="1" applyAlignment="1">
      <alignment horizontal="right"/>
    </xf>
    <xf numFmtId="182" fontId="0" fillId="22" borderId="283" xfId="4" applyNumberFormat="1" applyFont="1" applyFill="1" applyBorder="1" applyAlignment="1">
      <alignment horizontal="center"/>
    </xf>
    <xf numFmtId="182" fontId="0" fillId="22" borderId="284" xfId="4" applyNumberFormat="1" applyFont="1" applyFill="1" applyBorder="1" applyAlignment="1">
      <alignment horizontal="center"/>
    </xf>
    <xf numFmtId="182" fontId="0" fillId="23" borderId="280" xfId="4" applyNumberFormat="1" applyFont="1" applyFill="1" applyBorder="1" applyAlignment="1">
      <alignment horizontal="center"/>
    </xf>
    <xf numFmtId="182" fontId="0" fillId="22" borderId="285" xfId="4" applyNumberFormat="1" applyFont="1" applyFill="1" applyBorder="1" applyAlignment="1">
      <alignment horizontal="center"/>
    </xf>
    <xf numFmtId="182" fontId="0" fillId="23" borderId="265" xfId="4" applyNumberFormat="1" applyFont="1" applyFill="1" applyBorder="1" applyAlignment="1">
      <alignment horizontal="center"/>
    </xf>
    <xf numFmtId="182" fontId="0" fillId="22" borderId="286" xfId="4" applyNumberFormat="1" applyFont="1" applyFill="1" applyBorder="1" applyAlignment="1">
      <alignment horizontal="center"/>
    </xf>
    <xf numFmtId="182" fontId="0" fillId="22" borderId="287" xfId="4" applyNumberFormat="1" applyFont="1" applyFill="1" applyBorder="1" applyAlignment="1">
      <alignment horizontal="center"/>
    </xf>
    <xf numFmtId="182" fontId="0" fillId="22" borderId="288" xfId="4" applyNumberFormat="1" applyFont="1" applyFill="1" applyBorder="1" applyAlignment="1">
      <alignment horizontal="center"/>
    </xf>
    <xf numFmtId="182" fontId="0" fillId="23" borderId="289" xfId="4" applyNumberFormat="1" applyFont="1" applyFill="1" applyBorder="1" applyAlignment="1">
      <alignment horizontal="center"/>
    </xf>
    <xf numFmtId="182" fontId="0" fillId="22" borderId="290" xfId="4" applyNumberFormat="1" applyFont="1" applyFill="1" applyBorder="1" applyAlignment="1">
      <alignment horizontal="center"/>
    </xf>
    <xf numFmtId="182" fontId="0" fillId="23" borderId="291" xfId="4" applyNumberFormat="1" applyFont="1" applyFill="1" applyBorder="1" applyAlignment="1">
      <alignment horizontal="center"/>
    </xf>
    <xf numFmtId="182" fontId="0" fillId="23" borderId="268" xfId="4" applyNumberFormat="1" applyFont="1" applyFill="1" applyBorder="1" applyAlignment="1">
      <alignment horizontal="center"/>
    </xf>
    <xf numFmtId="182" fontId="0" fillId="22" borderId="292" xfId="4" applyNumberFormat="1" applyFont="1" applyFill="1" applyBorder="1" applyAlignment="1">
      <alignment horizontal="center"/>
    </xf>
    <xf numFmtId="182" fontId="0" fillId="22" borderId="293" xfId="4" applyNumberFormat="1" applyFont="1" applyFill="1" applyBorder="1" applyAlignment="1">
      <alignment horizontal="center"/>
    </xf>
    <xf numFmtId="182" fontId="0" fillId="23" borderId="294" xfId="4" applyNumberFormat="1" applyFont="1" applyFill="1" applyBorder="1" applyAlignment="1">
      <alignment horizontal="center"/>
    </xf>
    <xf numFmtId="182" fontId="0" fillId="22" borderId="295" xfId="4" applyNumberFormat="1" applyFont="1" applyFill="1" applyBorder="1" applyAlignment="1">
      <alignment horizontal="center"/>
    </xf>
    <xf numFmtId="182" fontId="0" fillId="0" borderId="296" xfId="4" applyNumberFormat="1" applyFont="1" applyFill="1" applyBorder="1" applyAlignment="1"/>
  </cellXfs>
  <cellStyles count="55">
    <cellStyle name="Normal" xfId="0" builtinId="0"/>
    <cellStyle name="Currency_simple" xfId="1"/>
    <cellStyle name="Currency 2" xfId="2"/>
    <cellStyle name="Comma 3" xfId="3"/>
    <cellStyle name="Comma 2" xfId="4"/>
    <cellStyle name="60% - Accent6" xfId="5" builtinId="52"/>
    <cellStyle name="40% - Accent6" xfId="6" builtinId="51"/>
    <cellStyle name="60% - Accent5" xfId="7" builtinId="48"/>
    <cellStyle name="Accent6" xfId="8" builtinId="49"/>
    <cellStyle name="40% - Accent5" xfId="9" builtinId="47"/>
    <cellStyle name="Normal 7" xfId="10"/>
    <cellStyle name="20% - Accent5" xfId="11" builtinId="46"/>
    <cellStyle name="60% - Accent4" xfId="12" builtinId="44"/>
    <cellStyle name="Accent5" xfId="13" builtinId="45"/>
    <cellStyle name="40% - Accent4" xfId="14" builtinId="43"/>
    <cellStyle name="Accent4" xfId="15" builtinId="41"/>
    <cellStyle name="Linked Cell" xfId="16" builtinId="24"/>
    <cellStyle name="40% - Accent3" xfId="17" builtinId="39"/>
    <cellStyle name="60% - Accent2" xfId="18" builtinId="36"/>
    <cellStyle name="Accent3" xfId="19" builtinId="37"/>
    <cellStyle name="40% - Accent2" xfId="20" builtinId="35"/>
    <cellStyle name="20% - Accent2" xfId="21" builtinId="34"/>
    <cellStyle name="Accent2" xfId="22" builtinId="33"/>
    <cellStyle name="40% - Accent1" xfId="23" builtinId="31"/>
    <cellStyle name="20% - Accent1" xfId="24" builtinId="30"/>
    <cellStyle name="Accent1" xfId="25" builtinId="29"/>
    <cellStyle name="Neutral" xfId="26" builtinId="28"/>
    <cellStyle name="60% - Accent1" xfId="27" builtinId="32"/>
    <cellStyle name="Bad" xfId="28" builtinId="27"/>
    <cellStyle name="20% - Accent4" xfId="29" builtinId="42"/>
    <cellStyle name="Total" xfId="30" builtinId="25"/>
    <cellStyle name="Output" xfId="31" builtinId="21"/>
    <cellStyle name="Currency" xfId="32" builtinId="4"/>
    <cellStyle name="20% - Accent3" xfId="33" builtinId="38"/>
    <cellStyle name="Note" xfId="34" builtinId="10"/>
    <cellStyle name="Input" xfId="35" builtinId="20"/>
    <cellStyle name="Heading 4" xfId="36" builtinId="19"/>
    <cellStyle name="Calculation" xfId="37" builtinId="22"/>
    <cellStyle name="Good" xfId="38" builtinId="26"/>
    <cellStyle name="Percent_simple" xfId="39"/>
    <cellStyle name="Heading 3" xfId="40" builtinId="18"/>
    <cellStyle name="CExplanatory Text" xfId="41" builtinId="53"/>
    <cellStyle name="Heading 1" xfId="42" builtinId="16"/>
    <cellStyle name="Comma [0]" xfId="43" builtinId="6"/>
    <cellStyle name="20% - Accent6" xfId="44" builtinId="50"/>
    <cellStyle name="Title" xfId="45" builtinId="15"/>
    <cellStyle name="Currency [0]" xfId="46" builtinId="7"/>
    <cellStyle name="Warning Text" xfId="47" builtinId="11"/>
    <cellStyle name="Followed Hyperlink" xfId="48" builtinId="9"/>
    <cellStyle name="Heading 2" xfId="49" builtinId="17"/>
    <cellStyle name="Comma" xfId="50" builtinId="3"/>
    <cellStyle name="Check Cell" xfId="51" builtinId="23"/>
    <cellStyle name="60% - Accent3" xfId="52" builtinId="40"/>
    <cellStyle name="Percent" xfId="53" builtinId="5"/>
    <cellStyle name="Hyperlink" xfId="54"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GB" b="1"/>
              <a:t>Value Added</a:t>
            </a:r>
            <a:endParaRPr lang="en-GB" b="1"/>
          </a:p>
        </c:rich>
      </c:tx>
      <c:layout/>
      <c:overlay val="0"/>
      <c:spPr>
        <a:noFill/>
        <a:ln>
          <a:noFill/>
        </a:ln>
        <a:effectLst/>
      </c:spPr>
    </c:title>
    <c:autoTitleDeleted val="0"/>
    <c:plotArea>
      <c:layout/>
      <c:barChart>
        <c:barDir val="col"/>
        <c:grouping val="clustered"/>
        <c:varyColors val="0"/>
        <c:ser>
          <c:idx val="0"/>
          <c:order val="0"/>
          <c:tx>
            <c:strRef>
              <c:f>"Subtraction Method"</c:f>
              <c:strCache>
                <c:ptCount val="1"/>
                <c:pt idx="0">
                  <c:v>Subtraction Method</c:v>
                </c:pt>
              </c:strCache>
            </c:strRef>
          </c:tx>
          <c:spPr>
            <a:solidFill>
              <a:schemeClr val="accent1"/>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ser>
          <c:idx val="1"/>
          <c:order val="1"/>
          <c:tx>
            <c:strRef>
              <c:f>"Addition Method"</c:f>
              <c:strCache>
                <c:ptCount val="1"/>
                <c:pt idx="0">
                  <c:v>Addition Method</c:v>
                </c:pt>
              </c:strCache>
            </c:strRef>
          </c:tx>
          <c:spPr>
            <a:solidFill>
              <a:schemeClr val="accent2"/>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dLbls>
          <c:showLegendKey val="0"/>
          <c:showVal val="0"/>
          <c:showCatName val="0"/>
          <c:showSerName val="0"/>
          <c:showPercent val="0"/>
          <c:showBubbleSize val="0"/>
        </c:dLbls>
        <c:gapWidth val="219"/>
        <c:overlap val="-27"/>
        <c:axId val="-1113138736"/>
        <c:axId val="-1113148528"/>
      </c:barChart>
      <c:catAx>
        <c:axId val="-11131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48528"/>
        <c:crosses val="autoZero"/>
        <c:auto val="1"/>
        <c:lblAlgn val="ctr"/>
        <c:lblOffset val="100"/>
        <c:noMultiLvlLbl val="0"/>
      </c:catAx>
      <c:valAx>
        <c:axId val="-11131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3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97936"/>
        <c:axId val="-1113095760"/>
      </c:barChart>
      <c:catAx>
        <c:axId val="-11130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760"/>
        <c:crosses val="autoZero"/>
        <c:auto val="1"/>
        <c:lblAlgn val="ctr"/>
        <c:lblOffset val="100"/>
        <c:noMultiLvlLbl val="0"/>
      </c:catAx>
      <c:valAx>
        <c:axId val="-11130957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793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371086928"/>
        <c:axId val="-1371086384"/>
      </c:barChart>
      <c:catAx>
        <c:axId val="-13710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384"/>
        <c:crosses val="autoZero"/>
        <c:auto val="1"/>
        <c:lblAlgn val="ctr"/>
        <c:lblOffset val="100"/>
        <c:noMultiLvlLbl val="0"/>
      </c:catAx>
      <c:valAx>
        <c:axId val="-13710863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92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371085296"/>
        <c:axId val="-1371084752"/>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3710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4752"/>
        <c:crosses val="autoZero"/>
        <c:auto val="1"/>
        <c:lblAlgn val="ctr"/>
        <c:lblOffset val="100"/>
        <c:noMultiLvlLbl val="0"/>
      </c:catAx>
      <c:valAx>
        <c:axId val="-13710847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529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[2]VAI!$BD$20</c:f>
              <c:strCache>
                <c:ptCount val="1"/>
                <c:pt idx="0">
                  <c:v>Labour Cost Competitiveness</c:v>
                </c:pt>
              </c:strCache>
            </c:strRef>
          </c:tx>
          <c:spPr>
            <a:solidFill>
              <a:schemeClr val="accent1"/>
            </a:solidFill>
            <a:ln>
              <a:noFill/>
            </a:ln>
            <a:effectLst/>
          </c:spPr>
          <c:invertIfNegative val="0"/>
          <c:dLbls>
            <c:delete val="1"/>
          </c:dLbls>
          <c:cat>
            <c:strRef>
              <c:f>[2]VAI!$BE$19:$BG$19</c:f>
              <c:strCache>
                <c:ptCount val="3"/>
                <c:pt idx="0">
                  <c:v>Year 1</c:v>
                </c:pt>
                <c:pt idx="1">
                  <c:v>Year 2</c:v>
                </c:pt>
                <c:pt idx="2">
                  <c:v>Year 3 
(most recent)</c:v>
                </c:pt>
              </c:strCache>
            </c:strRef>
          </c:cat>
          <c:val>
            <c:numRef>
              <c:f>[2]VAI!$BE$20:$BG$20</c:f>
              <c:numCache>
                <c:formatCode>General</c:formatCode>
                <c:ptCount val="3"/>
                <c:pt idx="0">
                  <c:v>0.0210610606747644</c:v>
                </c:pt>
                <c:pt idx="1">
                  <c:v>0.0403175950675635</c:v>
                </c:pt>
                <c:pt idx="2">
                  <c:v>0.0933321940578929</c:v>
                </c:pt>
              </c:numCache>
            </c:numRef>
          </c:val>
        </c:ser>
        <c:dLbls>
          <c:showLegendKey val="0"/>
          <c:showVal val="0"/>
          <c:showCatName val="0"/>
          <c:showSerName val="0"/>
          <c:showPercent val="0"/>
          <c:showBubbleSize val="0"/>
        </c:dLbls>
        <c:gapWidth val="219"/>
        <c:overlap val="-27"/>
        <c:axId val="-1113118064"/>
        <c:axId val="-1113087056"/>
      </c:barChart>
      <c:catAx>
        <c:axId val="-1113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087056"/>
        <c:crosses val="autoZero"/>
        <c:auto val="1"/>
        <c:lblAlgn val="ctr"/>
        <c:lblOffset val="100"/>
        <c:noMultiLvlLbl val="0"/>
      </c:catAx>
      <c:valAx>
        <c:axId val="-11130870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[1]FinA!$D$19:$G$19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[1]FinA!$H$19:$Y$19</c15:sqref>
                  </c15:fullRef>
                </c:ext>
              </c:extLst>
              <c:f>([1]FinA!$H$19,[1]FinA!$K$19,[1]FinA!$N$19,[1]FinA!$Q$19,[1]FinA!$T$19,[1]FinA!$W$19)</c:f>
              <c:numCache>
                <c:formatCode>General</c:formatCode>
                <c:ptCount val="6"/>
                <c:pt idx="0">
                  <c:v>0.630541871921182</c:v>
                </c:pt>
                <c:pt idx="1">
                  <c:v>-16.6974186560566</c:v>
                </c:pt>
                <c:pt idx="2">
                  <c:v>-18.5313496905394</c:v>
                </c:pt>
                <c:pt idx="3">
                  <c:v>-160.763418255534</c:v>
                </c:pt>
                <c:pt idx="4">
                  <c:v>-188.093199358974</c:v>
                </c:pt>
                <c:pt idx="5">
                  <c:v>9.68</c:v>
                </c:pt>
              </c:numCache>
            </c:numRef>
          </c:val>
        </c:ser>
        <c:ser>
          <c:idx val="1"/>
          <c:order val="1"/>
          <c:tx>
            <c:strRef>
              <c:f>[1]FinA!$D$20:$G$20</c:f>
              <c:strCache>
                <c:ptCount val="1"/>
                <c:pt idx="0">
                  <c:v>Year 2</c:v>
                </c:pt>
              </c:strCache>
            </c:strRef>
          </c:tx>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[1]FinA!$H$20:$Y$20</c15:sqref>
                  </c15:fullRef>
                </c:ext>
              </c:extLst>
              <c:f>([1]FinA!$H$20,[1]FinA!$K$20,[1]FinA!$N$20,[1]FinA!$Q$20,[1]FinA!$T$20,[1]FinA!$W$20)</c:f>
              <c:numCache>
                <c:formatCode>General</c:formatCode>
                <c:ptCount val="6"/>
                <c:pt idx="0">
                  <c:v>0.622950819672131</c:v>
                </c:pt>
                <c:pt idx="1">
                  <c:v>-13.992012925599</c:v>
                </c:pt>
                <c:pt idx="2">
                  <c:v>-15.5177834174023</c:v>
                </c:pt>
                <c:pt idx="3">
                  <c:v>-161.809365548981</c:v>
                </c:pt>
                <c:pt idx="4">
                  <c:v>-189.316957692308</c:v>
                </c:pt>
                <c:pt idx="5">
                  <c:v>8.07</c:v>
                </c:pt>
              </c:numCache>
            </c:numRef>
          </c:val>
        </c:ser>
        <c:ser>
          <c:idx val="2"/>
          <c:order val="2"/>
          <c:tx>
            <c:strRef>
              <c:f>[1]FinA!$D$21:$G$21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[1]FinA!$H$21:$Y$21</c15:sqref>
                  </c15:fullRef>
                </c:ext>
              </c:extLst>
              <c:f>([1]FinA!$H$21,[1]FinA!$K$21,[1]FinA!$N$21,[1]FinA!$Q$21,[1]FinA!$T$21,[1]FinA!$W$21)</c:f>
              <c:numCache>
                <c:formatCode>General</c:formatCode>
                <c:ptCount val="6"/>
                <c:pt idx="0">
                  <c:v>0.715302491103203</c:v>
                </c:pt>
                <c:pt idx="1">
                  <c:v>-8.30946658323882</c:v>
                </c:pt>
                <c:pt idx="2">
                  <c:v>-9.25580110281178</c:v>
                </c:pt>
                <c:pt idx="3">
                  <c:v>-156.949661803714</c:v>
                </c:pt>
                <c:pt idx="4">
                  <c:v>-182.061607692308</c:v>
                </c:pt>
                <c:pt idx="5">
                  <c:v>5.01</c:v>
                </c:pt>
              </c:numCache>
            </c:numRef>
          </c:val>
        </c:ser>
        <c:dLbls>
          <c:showLegendKey val="0"/>
          <c:showVal val="0"/>
          <c:showCatName val="0"/>
          <c:showSerName val="0"/>
          <c:showPercent val="0"/>
          <c:showBubbleSize val="0"/>
        </c:dLbls>
        <c:gapWidth val="219"/>
        <c:axId val="-1113101200"/>
        <c:axId val="-1113115888"/>
      </c:barChart>
      <c:catAx>
        <c:axId val="-11131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888"/>
        <c:crosses val="autoZero"/>
        <c:auto val="0"/>
        <c:lblAlgn val="ctr"/>
        <c:lblOffset val="100"/>
        <c:noMultiLvlLbl val="0"/>
      </c:catAx>
      <c:valAx>
        <c:axId val="-11131158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2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088688"/>
        <c:axId val="-1113106096"/>
      </c:barChart>
      <c:catAx>
        <c:axId val="-111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6096"/>
        <c:crosses val="autoZero"/>
        <c:auto val="1"/>
        <c:lblAlgn val="ctr"/>
        <c:lblOffset val="100"/>
        <c:noMultiLvlLbl val="0"/>
      </c:catAx>
      <c:valAx>
        <c:axId val="-1113106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868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87600"/>
        <c:axId val="-1113105552"/>
      </c:barChart>
      <c:catAx>
        <c:axId val="-1113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5552"/>
        <c:crosses val="autoZero"/>
        <c:auto val="1"/>
        <c:lblAlgn val="ctr"/>
        <c:lblOffset val="100"/>
        <c:noMultiLvlLbl val="0"/>
      </c:catAx>
      <c:valAx>
        <c:axId val="-11131055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76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113095216"/>
        <c:axId val="-1113115344"/>
      </c:barChart>
      <c:catAx>
        <c:axId val="-11130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344"/>
        <c:crosses val="autoZero"/>
        <c:auto val="1"/>
        <c:lblAlgn val="ctr"/>
        <c:lblOffset val="100"/>
        <c:noMultiLvlLbl val="0"/>
      </c:catAx>
      <c:valAx>
        <c:axId val="-11131153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21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113114800"/>
        <c:axId val="-1113118608"/>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1131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8608"/>
        <c:crosses val="autoZero"/>
        <c:auto val="1"/>
        <c:lblAlgn val="ctr"/>
        <c:lblOffset val="100"/>
        <c:noMultiLvlLbl val="0"/>
      </c:catAx>
      <c:valAx>
        <c:axId val="-11131186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48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FinancialAnalysisReport!$D$19:$G$19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FinancialAnalysisReport!$H$19:$Y$19</c15:sqref>
                  </c15:fullRef>
                </c:ext>
              </c:extLst>
              <c:f>(FinancialAnalysisReport!$H$19,FinancialAnalysisReport!$K$19,FinancialAnalysisReport!$M$19:$N$19,FinancialAnalysisReport!$Q$19,FinancialAnalysisReport!$T$19,FinancialAnalysisReport!$W$19)</c:f>
              <c:numCache>
                <c:formatCode>0%</c:formatCode>
                <c:ptCount val="7"/>
                <c:pt idx="0">
                  <c:v>0.630541871921182</c:v>
                </c:pt>
                <c:pt idx="1">
                  <c:v>-0.0598894967299196</c:v>
                </c:pt>
                <c:pt idx="3">
                  <c:v>-18.5313496905394</c:v>
                </c:pt>
                <c:pt idx="4">
                  <c:v>-160.763418255534</c:v>
                </c:pt>
                <c:pt idx="5">
                  <c:v>-188.093199358974</c:v>
                </c:pt>
                <c:pt idx="6">
                  <c:v>9.68</c:v>
                </c:pt>
              </c:numCache>
            </c:numRef>
          </c:val>
        </c:ser>
        <c:ser>
          <c:idx val="1"/>
          <c:order val="1"/>
          <c:tx>
            <c:strRef>
              <c:f>FinancialAnalysisReport!$D$20:$G$20</c:f>
              <c:strCache>
                <c:ptCount val="1"/>
                <c:pt idx="0">
                  <c:v>Year 2</c:v>
                </c:pt>
              </c:strCache>
            </c:strRef>
          </c:tx>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FinancialAnalysisReport!$H$20:$Y$20</c15:sqref>
                  </c15:fullRef>
                </c:ext>
              </c:extLst>
              <c:f>(FinancialAnalysisReport!$H$20,FinancialAnalysisReport!$K$20,FinancialAnalysisReport!$M$20:$N$20,FinancialAnalysisReport!$Q$20,FinancialAnalysisReport!$T$20,FinancialAnalysisReport!$W$20)</c:f>
              <c:numCache>
                <c:formatCode>0%</c:formatCode>
                <c:ptCount val="7"/>
                <c:pt idx="0">
                  <c:v>0.622950819672131</c:v>
                </c:pt>
                <c:pt idx="1">
                  <c:v>-0.0714693450697474</c:v>
                </c:pt>
                <c:pt idx="3">
                  <c:v>-15.5177834174023</c:v>
                </c:pt>
                <c:pt idx="4">
                  <c:v>-161.809365548981</c:v>
                </c:pt>
                <c:pt idx="5">
                  <c:v>-189.316957692308</c:v>
                </c:pt>
                <c:pt idx="6">
                  <c:v>8.07</c:v>
                </c:pt>
              </c:numCache>
            </c:numRef>
          </c:val>
        </c:ser>
        <c:ser>
          <c:idx val="2"/>
          <c:order val="2"/>
          <c:tx>
            <c:strRef>
              <c:f>FinancialAnalysisReport!$D$21:$G$21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FinancialAnalysisReport!$H$21:$Y$21</c15:sqref>
                  </c15:fullRef>
                </c:ext>
              </c:extLst>
              <c:f>(FinancialAnalysisReport!$H$21,FinancialAnalysisReport!$K$21,FinancialAnalysisReport!$M$21:$N$21,FinancialAnalysisReport!$Q$21,FinancialAnalysisReport!$T$21,FinancialAnalysisReport!$W$21)</c:f>
              <c:numCache>
                <c:formatCode>0%</c:formatCode>
                <c:ptCount val="7"/>
                <c:pt idx="0">
                  <c:v>0.715302491103203</c:v>
                </c:pt>
                <c:pt idx="1">
                  <c:v>-0.120344668334923</c:v>
                </c:pt>
                <c:pt idx="3">
                  <c:v>-9.25580110281178</c:v>
                </c:pt>
                <c:pt idx="4">
                  <c:v>-156.949661803714</c:v>
                </c:pt>
                <c:pt idx="5">
                  <c:v>-182.061607692308</c:v>
                </c:pt>
                <c:pt idx="6">
                  <c:v>5.01</c:v>
                </c:pt>
              </c:numCache>
            </c:numRef>
          </c:val>
        </c:ser>
        <c:dLbls>
          <c:showLegendKey val="0"/>
          <c:showVal val="0"/>
          <c:showCatName val="0"/>
          <c:showSerName val="0"/>
          <c:showPercent val="0"/>
          <c:showBubbleSize val="0"/>
        </c:dLbls>
        <c:gapWidth val="219"/>
        <c:axId val="-1113103376"/>
        <c:axId val="-1113101744"/>
      </c:barChart>
      <c:catAx>
        <c:axId val="-1113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744"/>
        <c:crosses val="autoZero"/>
        <c:auto val="0"/>
        <c:lblAlgn val="ctr"/>
        <c:lblOffset val="100"/>
        <c:noMultiLvlLbl val="0"/>
      </c:catAx>
      <c:valAx>
        <c:axId val="-11131017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337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100656"/>
        <c:axId val="-1113099568"/>
      </c:barChart>
      <c:catAx>
        <c:axId val="-11131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9568"/>
        <c:crosses val="autoZero"/>
        <c:auto val="1"/>
        <c:lblAlgn val="ctr"/>
        <c:lblOffset val="100"/>
        <c:noMultiLvlLbl val="0"/>
      </c:catAx>
      <c:valAx>
        <c:axId val="-11130995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065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1.xml"/><Relationship Id="rId8" Type="http://schemas.openxmlformats.org/officeDocument/2006/relationships/chart" Target="../charts/chart10.xml"/><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0" Type="http://schemas.openxmlformats.org/officeDocument/2006/relationships/chart" Target="../charts/chart12.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48</xdr:col>
      <xdr:colOff>142875</xdr:colOff>
      <xdr:row>11</xdr:row>
      <xdr:rowOff>152400</xdr:rowOff>
    </xdr:from>
    <xdr:to>
      <xdr:col>74</xdr:col>
      <xdr:colOff>9525</xdr:colOff>
      <xdr:row>26</xdr:row>
      <xdr:rowOff>9525</xdr:rowOff>
    </xdr:to>
    <xdr:graphicFrame>
      <xdr:nvGraphicFramePr>
        <xdr:cNvPr id="2" name="Chart 1"/>
        <xdr:cNvGraphicFramePr/>
      </xdr:nvGraphicFramePr>
      <xdr:xfrm>
        <a:off x="8829675" y="2276475"/>
        <a:ext cx="4572000" cy="2600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53</xdr:col>
      <xdr:colOff>0</xdr:colOff>
      <xdr:row>20</xdr:row>
      <xdr:rowOff>487680</xdr:rowOff>
    </xdr:from>
    <xdr:to>
      <xdr:col>74</xdr:col>
      <xdr:colOff>0</xdr:colOff>
      <xdr:row>24</xdr:row>
      <xdr:rowOff>381000</xdr:rowOff>
    </xdr:to>
    <xdr:graphicFrame>
      <xdr:nvGraphicFramePr>
        <xdr:cNvPr id="2" name="Chart 1"/>
        <xdr:cNvGraphicFramePr/>
      </xdr:nvGraphicFramePr>
      <xdr:xfrm>
        <a:off x="9763125" y="3981450"/>
        <a:ext cx="4514850" cy="723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161925</xdr:colOff>
      <xdr:row>2</xdr:row>
      <xdr:rowOff>9525</xdr:rowOff>
    </xdr:from>
    <xdr:to>
      <xdr:col>25</xdr:col>
      <xdr:colOff>0</xdr:colOff>
      <xdr:row>14</xdr:row>
      <xdr:rowOff>76200</xdr:rowOff>
    </xdr:to>
    <xdr:graphicFrame>
      <xdr:nvGraphicFramePr>
        <xdr:cNvPr id="2"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3"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4"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5"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6"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2</xdr:row>
      <xdr:rowOff>9525</xdr:rowOff>
    </xdr:from>
    <xdr:to>
      <xdr:col>25</xdr:col>
      <xdr:colOff>0</xdr:colOff>
      <xdr:row>14</xdr:row>
      <xdr:rowOff>76200</xdr:rowOff>
    </xdr:to>
    <xdr:graphicFrame>
      <xdr:nvGraphicFramePr>
        <xdr:cNvPr id="7"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8"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9"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10"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11"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EST Dashboard 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Roaming/Microsoft/Excel/BEST Dashboard 3 (version 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row r="72">
          <cell r="D72">
            <v>1.25</v>
          </cell>
        </row>
      </sheetData>
      <sheetData sheetId="10"/>
      <sheetData sheetId="11"/>
      <sheetData sheetId="12"/>
      <sheetData sheetId="13"/>
      <sheetData sheetId="14"/>
      <sheetData sheetId="15"/>
      <sheetData sheetId="16"/>
      <sheetData sheetId="17"/>
      <sheetData sheetId="18"/>
      <sheetData sheetId="19">
        <row r="8">
          <cell r="AC8" t="str">
            <v>Year 1</v>
          </cell>
        </row>
        <row r="8">
          <cell r="AI8" t="str">
            <v>Year 2</v>
          </cell>
        </row>
        <row r="8">
          <cell r="AO8" t="str">
            <v>Year 3 
(most recent)</v>
          </cell>
        </row>
      </sheetData>
      <sheetData sheetId="20"/>
      <sheetData sheetId="21"/>
      <sheetData sheetId="22">
        <row r="18">
          <cell r="H18" t="str">
            <v>Gross Margin</v>
          </cell>
        </row>
        <row r="18">
          <cell r="K18" t="str">
            <v>Operating Margin</v>
          </cell>
        </row>
        <row r="18">
          <cell r="N18" t="str">
            <v>Net Margin after Tax </v>
          </cell>
        </row>
        <row r="18">
          <cell r="Q18" t="str">
            <v>ROA</v>
          </cell>
        </row>
        <row r="18">
          <cell r="T18" t="str">
            <v>ROE</v>
          </cell>
        </row>
        <row r="18">
          <cell r="W18" t="str">
            <v>Op. Ratio</v>
          </cell>
        </row>
        <row r="18">
          <cell r="AI18" t="str">
            <v>Current Ratio</v>
          </cell>
        </row>
        <row r="18">
          <cell r="AM18" t="str">
            <v>Cash Ratio</v>
          </cell>
        </row>
        <row r="18">
          <cell r="AQ18" t="str">
            <v>Working K to Total Assets</v>
          </cell>
        </row>
        <row r="19">
          <cell r="D19" t="str">
            <v>Year 1</v>
          </cell>
        </row>
        <row r="19">
          <cell r="H19">
            <v>0.630541871921182</v>
          </cell>
        </row>
        <row r="19">
          <cell r="K19">
            <v>-16.6974186560566</v>
          </cell>
        </row>
        <row r="19">
          <cell r="N19">
            <v>-18.5313496905394</v>
          </cell>
        </row>
        <row r="19">
          <cell r="Q19">
            <v>-160.763418255534</v>
          </cell>
        </row>
        <row r="19">
          <cell r="T19">
            <v>-188.093199358974</v>
          </cell>
        </row>
        <row r="19">
          <cell r="W19">
            <v>9.68</v>
          </cell>
        </row>
        <row r="19">
          <cell r="AE19" t="str">
            <v>Year 1</v>
          </cell>
        </row>
        <row r="19">
          <cell r="AI19">
            <v>6.29411764705882</v>
          </cell>
        </row>
        <row r="19">
          <cell r="AM19">
            <v>5.11764705882353</v>
          </cell>
        </row>
        <row r="19">
          <cell r="AQ19">
            <v>11.2777777777778</v>
          </cell>
        </row>
        <row r="20">
          <cell r="D20" t="str">
            <v>Year 2</v>
          </cell>
        </row>
        <row r="20">
          <cell r="H20">
            <v>0.622950819672131</v>
          </cell>
        </row>
        <row r="20">
          <cell r="K20">
            <v>-13.992012925599</v>
          </cell>
        </row>
        <row r="20">
          <cell r="N20">
            <v>-15.5177834174023</v>
          </cell>
        </row>
        <row r="20">
          <cell r="Q20">
            <v>-161.809365548981</v>
          </cell>
        </row>
        <row r="20">
          <cell r="T20">
            <v>-189.316957692308</v>
          </cell>
        </row>
        <row r="20">
          <cell r="W20">
            <v>8.07</v>
          </cell>
        </row>
        <row r="20">
          <cell r="AE20" t="str">
            <v>Year 2</v>
          </cell>
        </row>
        <row r="20">
          <cell r="AI20">
            <v>6.29411764705882</v>
          </cell>
        </row>
        <row r="20">
          <cell r="AM20">
            <v>5.02941176470588</v>
          </cell>
        </row>
        <row r="20">
          <cell r="AQ20">
            <v>13.5555555555556</v>
          </cell>
        </row>
        <row r="21">
          <cell r="D21" t="str">
            <v>Year 3 
(most recent)</v>
          </cell>
        </row>
        <row r="21">
          <cell r="H21">
            <v>0.715302491103203</v>
          </cell>
        </row>
        <row r="21">
          <cell r="K21">
            <v>-8.30946658323882</v>
          </cell>
        </row>
        <row r="21">
          <cell r="N21">
            <v>-9.25580110281178</v>
          </cell>
        </row>
        <row r="21">
          <cell r="Q21">
            <v>-156.949661803714</v>
          </cell>
        </row>
        <row r="21">
          <cell r="T21">
            <v>-182.061607692308</v>
          </cell>
        </row>
        <row r="21">
          <cell r="W21">
            <v>5.01</v>
          </cell>
        </row>
        <row r="21">
          <cell r="AE21" t="str">
            <v>Year 3 
(most recent)</v>
          </cell>
        </row>
        <row r="21">
          <cell r="AI21">
            <v>6.625</v>
          </cell>
        </row>
        <row r="21">
          <cell r="AM21">
            <v>5.5625</v>
          </cell>
        </row>
        <row r="21">
          <cell r="AQ21">
            <v>21.8555555555556</v>
          </cell>
        </row>
        <row r="42">
          <cell r="H42" t="str">
            <v>Trade Receivables (days)</v>
          </cell>
        </row>
        <row r="42">
          <cell r="L42" t="str">
            <v>Trade Payable (days)</v>
          </cell>
        </row>
        <row r="42">
          <cell r="P42" t="str">
            <v>Asset Turnover</v>
          </cell>
        </row>
        <row r="42">
          <cell r="T42" t="str">
            <v>Inventory Turnover</v>
          </cell>
        </row>
        <row r="42">
          <cell r="AI42" t="str">
            <v>Debt to Equity Ratio</v>
          </cell>
        </row>
        <row r="42">
          <cell r="AN42" t="str">
            <v>Debt Ratio</v>
          </cell>
        </row>
        <row r="43">
          <cell r="D43" t="str">
            <v>Year 1</v>
          </cell>
        </row>
        <row r="43">
          <cell r="H43" t="str">
            <v/>
          </cell>
        </row>
        <row r="43">
          <cell r="L43" t="str">
            <v/>
          </cell>
        </row>
        <row r="43">
          <cell r="P43">
            <v>8.67521367521367</v>
          </cell>
        </row>
        <row r="43">
          <cell r="T43">
            <v>126.875</v>
          </cell>
        </row>
        <row r="43">
          <cell r="AE43" t="str">
            <v>Year 1</v>
          </cell>
        </row>
        <row r="43">
          <cell r="AI43">
            <v>1.17</v>
          </cell>
        </row>
        <row r="43">
          <cell r="AN43">
            <v>1</v>
          </cell>
        </row>
        <row r="44">
          <cell r="D44" t="str">
            <v>Year 2</v>
          </cell>
        </row>
        <row r="44">
          <cell r="H44">
            <v>4.03893442622951</v>
          </cell>
        </row>
        <row r="44">
          <cell r="L44">
            <v>9.125</v>
          </cell>
        </row>
        <row r="44">
          <cell r="P44">
            <v>10.4273504273504</v>
          </cell>
        </row>
        <row r="44">
          <cell r="T44">
            <v>187.692307692308</v>
          </cell>
        </row>
        <row r="44">
          <cell r="AE44" t="str">
            <v>Year 2</v>
          </cell>
        </row>
        <row r="44">
          <cell r="AI44">
            <v>1.17</v>
          </cell>
        </row>
        <row r="44">
          <cell r="AN44">
            <v>1</v>
          </cell>
        </row>
        <row r="45">
          <cell r="D45" t="str">
            <v>Year 3 
(most recent)</v>
          </cell>
        </row>
        <row r="45">
          <cell r="H45">
            <v>2.31952211489578</v>
          </cell>
        </row>
        <row r="45">
          <cell r="L45">
            <v>7.33258928571429</v>
          </cell>
        </row>
        <row r="45">
          <cell r="P45">
            <v>16.9568965517241</v>
          </cell>
        </row>
        <row r="45">
          <cell r="T45">
            <v>281</v>
          </cell>
        </row>
        <row r="45">
          <cell r="AE45" t="str">
            <v>Year 3 
(most recent)</v>
          </cell>
        </row>
        <row r="45">
          <cell r="AI45">
            <v>1.16</v>
          </cell>
        </row>
        <row r="45">
          <cell r="AN45">
            <v>1</v>
          </cell>
        </row>
        <row r="68">
          <cell r="AI68" t="str">
            <v>Labour Cost Competitiveness</v>
          </cell>
        </row>
        <row r="69">
          <cell r="AE69" t="str">
            <v>Year 1</v>
          </cell>
        </row>
        <row r="69">
          <cell r="AI69">
            <v>0.0210610606747644</v>
          </cell>
        </row>
        <row r="70">
          <cell r="AE70" t="str">
            <v>Year 2</v>
          </cell>
        </row>
        <row r="70">
          <cell r="AI70">
            <v>0.0403175950675635</v>
          </cell>
        </row>
        <row r="71">
          <cell r="AE71" t="str">
            <v>Year 3 
(most recent)</v>
          </cell>
        </row>
        <row r="71">
          <cell r="AI71">
            <v>0.0933321940578929</v>
          </cell>
        </row>
        <row r="72">
          <cell r="AE72" t="str">
            <v>Benchmark</v>
          </cell>
        </row>
        <row r="72">
          <cell r="AI72">
            <v>0</v>
          </cell>
        </row>
      </sheetData>
      <sheetData sheetId="23">
        <row r="6">
          <cell r="D6" t="str">
            <v>Year 1</v>
          </cell>
        </row>
        <row r="6">
          <cell r="F6" t="str">
            <v>Year 2</v>
          </cell>
        </row>
        <row r="6">
          <cell r="H6" t="str">
            <v>Year 3 
(most recent)</v>
          </cell>
        </row>
        <row r="102">
          <cell r="D102">
            <v>1.17</v>
          </cell>
        </row>
        <row r="102">
          <cell r="F102">
            <v>1.17</v>
          </cell>
        </row>
        <row r="102">
          <cell r="H102">
            <v>1.16</v>
          </cell>
        </row>
        <row r="107">
          <cell r="D107">
            <v>1</v>
          </cell>
        </row>
        <row r="107">
          <cell r="F107">
            <v>1</v>
          </cell>
        </row>
        <row r="107">
          <cell r="H107">
            <v>1</v>
          </cell>
        </row>
        <row r="109">
          <cell r="C109" t="str">
            <v>Labour Cost Competitiveness</v>
          </cell>
        </row>
        <row r="112">
          <cell r="D112">
            <v>0.0210610606747644</v>
          </cell>
        </row>
        <row r="112">
          <cell r="F112">
            <v>0.0403175950675635</v>
          </cell>
        </row>
        <row r="112">
          <cell r="H112">
            <v>0.0933321940578929</v>
          </cell>
        </row>
      </sheetData>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9">
          <cell r="BE19" t="str">
            <v>Year 1</v>
          </cell>
          <cell r="BF19" t="str">
            <v>Year 2</v>
          </cell>
          <cell r="BG19" t="str">
            <v>Year 3 
(most recent)</v>
          </cell>
        </row>
        <row r="20">
          <cell r="BD20" t="str">
            <v>Labour Cost Competitiveness</v>
          </cell>
          <cell r="BE20">
            <v>0.0210610606747644</v>
          </cell>
          <cell r="BF20">
            <v>0.0403175950675635</v>
          </cell>
          <cell r="BG20">
            <v>0.0933321940578929</v>
          </cell>
        </row>
      </sheetData>
      <sheetData sheetId="22"/>
      <sheetData sheetId="23">
        <row r="6">
          <cell r="D6" t="str">
            <v>Year 1</v>
          </cell>
        </row>
        <row r="6">
          <cell r="F6" t="str">
            <v>Year 2</v>
          </cell>
        </row>
        <row r="6">
          <cell r="H6" t="str">
            <v>Year 3 
(most recent)</v>
          </cell>
        </row>
      </sheetData>
      <sheetData sheetId="24"/>
      <sheetData sheetId="2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Z114"/>
  <sheetViews>
    <sheetView showGridLines="0" topLeftCell="A39" workbookViewId="0">
      <selection activeCell="BU17" sqref="BU17:BZ17"/>
    </sheetView>
  </sheetViews>
  <sheetFormatPr defaultColWidth="2.71428571428571" defaultRowHeight="14.25"/>
  <cols>
    <col min="1" max="6" width="2.71428571428571" style="302"/>
    <col min="7" max="7" width="2.71428571428571" style="302" customWidth="1"/>
    <col min="8" max="9" width="2.71428571428571" style="302"/>
    <col min="10" max="10" width="2.71428571428571" style="302" customWidth="1"/>
    <col min="11" max="11" width="2.71428571428571" style="302"/>
    <col min="12" max="12" width="2.71428571428571" style="302" customWidth="1"/>
    <col min="13" max="16384" width="2.71428571428571" style="302"/>
  </cols>
  <sheetData>
    <row r="1" ht="20.25" spans="3:48">
      <c r="C1" s="303" t="s">
        <v>0</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463"/>
    </row>
    <row r="2" ht="18" spans="3:48">
      <c r="C2" s="305" t="s">
        <v>1</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464"/>
    </row>
    <row r="4" spans="5:78">
      <c r="E4" s="507" t="s">
        <v>2</v>
      </c>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V4" s="604" t="s">
        <v>3</v>
      </c>
      <c r="AW4" s="347"/>
      <c r="AX4" s="347"/>
      <c r="AY4" s="347"/>
      <c r="AZ4" s="347"/>
      <c r="BA4" s="347"/>
      <c r="BB4" s="347"/>
      <c r="BC4" s="347"/>
      <c r="BD4" s="347"/>
      <c r="BE4" s="347"/>
      <c r="BF4" s="347"/>
      <c r="BG4" s="347"/>
      <c r="BH4" s="347"/>
      <c r="BI4" s="347"/>
      <c r="BJ4" s="347"/>
      <c r="BK4" s="347"/>
      <c r="BL4" s="347"/>
      <c r="BM4" s="347"/>
      <c r="BN4" s="347"/>
      <c r="BO4" s="347"/>
      <c r="BP4" s="347"/>
      <c r="BQ4" s="347"/>
      <c r="BR4" s="347"/>
      <c r="BS4" s="347"/>
      <c r="BT4" s="347"/>
      <c r="BU4" s="347"/>
      <c r="BV4" s="347"/>
      <c r="BW4" s="347"/>
      <c r="BX4" s="347"/>
      <c r="BY4" s="347"/>
      <c r="BZ4" s="347"/>
    </row>
    <row r="5" s="505" customFormat="1" spans="29:46">
      <c r="AC5" s="530"/>
      <c r="AP5" s="509"/>
      <c r="AQ5" s="509"/>
      <c r="AR5" s="509"/>
      <c r="AS5" s="509"/>
      <c r="AT5" s="509"/>
    </row>
    <row r="6" s="506" customFormat="1" spans="5:46">
      <c r="E6" s="509" t="s">
        <v>4</v>
      </c>
      <c r="F6" s="509"/>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row>
    <row r="7" spans="29:78">
      <c r="AC7" s="580"/>
      <c r="AD7" s="580"/>
      <c r="AE7" s="580"/>
      <c r="AF7" s="580"/>
      <c r="AG7" s="580"/>
      <c r="AH7" s="580"/>
      <c r="AO7" s="602" t="s">
        <v>5</v>
      </c>
      <c r="AP7" s="602"/>
      <c r="AQ7" s="602"/>
      <c r="AR7" s="602"/>
      <c r="AS7" s="602"/>
      <c r="AT7" s="602"/>
      <c r="BI7" s="580"/>
      <c r="BJ7" s="580"/>
      <c r="BK7" s="580"/>
      <c r="BL7" s="580"/>
      <c r="BM7" s="580"/>
      <c r="BN7" s="580"/>
      <c r="BU7" s="602" t="s">
        <v>5</v>
      </c>
      <c r="BV7" s="602"/>
      <c r="BW7" s="602"/>
      <c r="BX7" s="602"/>
      <c r="BY7" s="602"/>
      <c r="BZ7" s="602"/>
    </row>
    <row r="8" ht="30" customHeight="1" spans="5:78">
      <c r="E8" s="551"/>
      <c r="F8" s="552"/>
      <c r="G8" s="552"/>
      <c r="H8" s="552"/>
      <c r="I8" s="552"/>
      <c r="J8" s="552"/>
      <c r="K8" s="552"/>
      <c r="L8" s="552"/>
      <c r="M8" s="552"/>
      <c r="N8" s="552"/>
      <c r="O8" s="552"/>
      <c r="P8" s="552"/>
      <c r="Q8" s="552"/>
      <c r="R8" s="552"/>
      <c r="S8" s="552"/>
      <c r="T8" s="552"/>
      <c r="U8" s="552"/>
      <c r="V8" s="552"/>
      <c r="W8" s="552"/>
      <c r="X8" s="552"/>
      <c r="Y8" s="552"/>
      <c r="Z8" s="552"/>
      <c r="AA8" s="552"/>
      <c r="AB8" s="572"/>
      <c r="AC8" s="581" t="s">
        <v>6</v>
      </c>
      <c r="AD8" s="582"/>
      <c r="AE8" s="582"/>
      <c r="AF8" s="582"/>
      <c r="AG8" s="582"/>
      <c r="AH8" s="589"/>
      <c r="AI8" s="590" t="s">
        <v>7</v>
      </c>
      <c r="AJ8" s="582"/>
      <c r="AK8" s="582"/>
      <c r="AL8" s="582"/>
      <c r="AM8" s="582"/>
      <c r="AN8" s="589"/>
      <c r="AO8" s="603" t="s">
        <v>8</v>
      </c>
      <c r="AP8" s="603"/>
      <c r="AQ8" s="603"/>
      <c r="AR8" s="603"/>
      <c r="AS8" s="603"/>
      <c r="AT8" s="605"/>
      <c r="BI8" s="581" t="str">
        <f>AC8</f>
        <v>Year 1</v>
      </c>
      <c r="BJ8" s="582"/>
      <c r="BK8" s="582"/>
      <c r="BL8" s="582"/>
      <c r="BM8" s="582"/>
      <c r="BN8" s="589"/>
      <c r="BO8" s="590" t="str">
        <f>AI8</f>
        <v>Year 2</v>
      </c>
      <c r="BP8" s="582"/>
      <c r="BQ8" s="582"/>
      <c r="BR8" s="582"/>
      <c r="BS8" s="582"/>
      <c r="BT8" s="589"/>
      <c r="BU8" s="603" t="str">
        <f>AO8</f>
        <v>Year 3 
(most recent)</v>
      </c>
      <c r="BV8" s="603"/>
      <c r="BW8" s="603"/>
      <c r="BX8" s="603"/>
      <c r="BY8" s="603"/>
      <c r="BZ8" s="605"/>
    </row>
    <row r="9" spans="29:46">
      <c r="AC9" s="531"/>
      <c r="AD9" s="531"/>
      <c r="AE9" s="531"/>
      <c r="AF9" s="531"/>
      <c r="AG9" s="531"/>
      <c r="AH9" s="531"/>
      <c r="AI9" s="531"/>
      <c r="AJ9" s="531"/>
      <c r="AK9" s="531"/>
      <c r="AL9" s="531"/>
      <c r="AM9" s="531"/>
      <c r="AN9" s="531"/>
      <c r="AO9" s="531"/>
      <c r="AP9" s="531"/>
      <c r="AQ9" s="531"/>
      <c r="AR9" s="531"/>
      <c r="AS9" s="531"/>
      <c r="AT9" s="531"/>
    </row>
    <row r="10" spans="5:78">
      <c r="E10" s="553"/>
      <c r="F10" s="554"/>
      <c r="G10" s="554"/>
      <c r="H10" s="554"/>
      <c r="I10" s="554" t="s">
        <v>9</v>
      </c>
      <c r="J10" s="554"/>
      <c r="K10" s="554"/>
      <c r="L10" s="554"/>
      <c r="M10" s="554"/>
      <c r="N10" s="554"/>
      <c r="O10" s="554"/>
      <c r="P10" s="554"/>
      <c r="Q10" s="554"/>
      <c r="R10" s="554"/>
      <c r="S10" s="554"/>
      <c r="T10" s="554"/>
      <c r="U10" s="554"/>
      <c r="V10" s="554"/>
      <c r="W10" s="554"/>
      <c r="X10" s="554"/>
      <c r="Y10" s="554"/>
      <c r="Z10" s="554"/>
      <c r="AA10" s="554"/>
      <c r="AB10" s="573"/>
      <c r="AC10" s="583">
        <v>100000</v>
      </c>
      <c r="AD10" s="583"/>
      <c r="AE10" s="583"/>
      <c r="AF10" s="583"/>
      <c r="AG10" s="583"/>
      <c r="AH10" s="591"/>
      <c r="AI10" s="592">
        <v>125000</v>
      </c>
      <c r="AJ10" s="583"/>
      <c r="AK10" s="583"/>
      <c r="AL10" s="583"/>
      <c r="AM10" s="583"/>
      <c r="AN10" s="591"/>
      <c r="AO10" s="583">
        <v>200000</v>
      </c>
      <c r="AP10" s="583"/>
      <c r="AQ10" s="583"/>
      <c r="AR10" s="583"/>
      <c r="AS10" s="583"/>
      <c r="AT10" s="606"/>
      <c r="AV10" s="607" t="s">
        <v>10</v>
      </c>
      <c r="AW10" s="621"/>
      <c r="AX10" s="621"/>
      <c r="AY10" s="621"/>
      <c r="AZ10" s="621"/>
      <c r="BA10" s="621"/>
      <c r="BB10" s="621"/>
      <c r="BC10" s="621"/>
      <c r="BD10" s="621"/>
      <c r="BE10" s="621"/>
      <c r="BF10" s="621"/>
      <c r="BG10" s="621"/>
      <c r="BH10" s="621"/>
      <c r="BI10" s="621"/>
      <c r="BJ10" s="621"/>
      <c r="BK10" s="621"/>
      <c r="BL10" s="621"/>
      <c r="BM10" s="621"/>
      <c r="BN10" s="621"/>
      <c r="BO10" s="621"/>
      <c r="BP10" s="621"/>
      <c r="BQ10" s="621"/>
      <c r="BR10" s="621"/>
      <c r="BS10" s="621"/>
      <c r="BT10" s="621"/>
      <c r="BU10" s="621"/>
      <c r="BV10" s="621"/>
      <c r="BW10" s="621"/>
      <c r="BX10" s="621"/>
      <c r="BY10" s="621"/>
      <c r="BZ10" s="621"/>
    </row>
    <row r="11" spans="5:78">
      <c r="E11" s="555"/>
      <c r="F11" s="416"/>
      <c r="G11" s="556" t="s">
        <v>11</v>
      </c>
      <c r="H11" s="416"/>
      <c r="I11" s="416"/>
      <c r="J11" s="416"/>
      <c r="K11" s="416"/>
      <c r="L11" s="416"/>
      <c r="M11" s="416"/>
      <c r="N11" s="416"/>
      <c r="O11" s="416"/>
      <c r="P11" s="416"/>
      <c r="Q11" s="416"/>
      <c r="R11" s="416"/>
      <c r="S11" s="416"/>
      <c r="T11" s="416"/>
      <c r="U11" s="416"/>
      <c r="V11" s="416"/>
      <c r="W11" s="416"/>
      <c r="X11" s="416"/>
      <c r="Y11" s="416"/>
      <c r="Z11" s="416"/>
      <c r="AA11" s="416"/>
      <c r="AB11" s="416"/>
      <c r="AC11" s="506"/>
      <c r="AD11" s="506"/>
      <c r="AE11" s="506"/>
      <c r="AF11" s="506"/>
      <c r="AG11" s="506"/>
      <c r="AH11" s="506"/>
      <c r="AI11" s="506"/>
      <c r="AJ11" s="506"/>
      <c r="AK11" s="506"/>
      <c r="AL11" s="506"/>
      <c r="AM11" s="506"/>
      <c r="AN11" s="506"/>
      <c r="AO11" s="506"/>
      <c r="AP11" s="506"/>
      <c r="AQ11" s="506"/>
      <c r="AR11" s="506"/>
      <c r="AS11" s="506"/>
      <c r="AT11" s="608"/>
      <c r="AV11" s="609" t="s">
        <v>12</v>
      </c>
      <c r="AW11" s="85"/>
      <c r="AX11" s="85"/>
      <c r="AY11" s="85"/>
      <c r="AZ11" s="85"/>
      <c r="BA11" s="85"/>
      <c r="BB11" s="85"/>
      <c r="BC11" s="85"/>
      <c r="BD11" s="85"/>
      <c r="BE11" s="85"/>
      <c r="BF11" s="85"/>
      <c r="BG11" s="85"/>
      <c r="BH11" s="85"/>
      <c r="BI11" s="629">
        <f>BI12+BI17</f>
        <v>11700</v>
      </c>
      <c r="BJ11" s="630"/>
      <c r="BK11" s="630"/>
      <c r="BL11" s="630"/>
      <c r="BM11" s="630"/>
      <c r="BN11" s="630"/>
      <c r="BO11" s="629">
        <f>BO12+BO17</f>
        <v>11700</v>
      </c>
      <c r="BP11" s="630"/>
      <c r="BQ11" s="630"/>
      <c r="BR11" s="630"/>
      <c r="BS11" s="630"/>
      <c r="BT11" s="630"/>
      <c r="BU11" s="629">
        <f>BU12+BU17</f>
        <v>11600</v>
      </c>
      <c r="BV11" s="630"/>
      <c r="BW11" s="630"/>
      <c r="BX11" s="630"/>
      <c r="BY11" s="630"/>
      <c r="BZ11" s="630"/>
    </row>
    <row r="12" spans="3:78">
      <c r="C12" s="506"/>
      <c r="D12" s="506"/>
      <c r="E12" s="311"/>
      <c r="F12" s="312"/>
      <c r="G12" s="312"/>
      <c r="H12" s="312"/>
      <c r="I12" s="312" t="s">
        <v>13</v>
      </c>
      <c r="J12" s="312"/>
      <c r="K12" s="312"/>
      <c r="L12" s="312"/>
      <c r="M12" s="312"/>
      <c r="N12" s="312"/>
      <c r="O12" s="312"/>
      <c r="P12" s="312"/>
      <c r="Q12" s="312"/>
      <c r="R12" s="312"/>
      <c r="S12" s="312"/>
      <c r="T12" s="312"/>
      <c r="U12" s="312"/>
      <c r="V12" s="312"/>
      <c r="W12" s="312"/>
      <c r="X12" s="312"/>
      <c r="Y12" s="312"/>
      <c r="Z12" s="312"/>
      <c r="AA12" s="312"/>
      <c r="AB12" s="525"/>
      <c r="AC12" s="426">
        <v>8000</v>
      </c>
      <c r="AD12" s="426"/>
      <c r="AE12" s="426"/>
      <c r="AF12" s="426"/>
      <c r="AG12" s="426"/>
      <c r="AH12" s="448"/>
      <c r="AI12" s="593">
        <v>9500</v>
      </c>
      <c r="AJ12" s="426"/>
      <c r="AK12" s="426"/>
      <c r="AL12" s="426"/>
      <c r="AM12" s="426"/>
      <c r="AN12" s="448"/>
      <c r="AO12" s="426">
        <v>6500</v>
      </c>
      <c r="AP12" s="426"/>
      <c r="AQ12" s="426"/>
      <c r="AR12" s="426"/>
      <c r="AS12" s="426"/>
      <c r="AT12" s="610"/>
      <c r="AV12" s="611" t="s">
        <v>14</v>
      </c>
      <c r="AW12" s="622"/>
      <c r="AX12" s="622"/>
      <c r="AY12" s="622"/>
      <c r="AZ12" s="622"/>
      <c r="BA12" s="622"/>
      <c r="BB12" s="622"/>
      <c r="BC12" s="622"/>
      <c r="BD12" s="622"/>
      <c r="BE12" s="622"/>
      <c r="BF12" s="622"/>
      <c r="BG12" s="622"/>
      <c r="BH12" s="622"/>
      <c r="BI12" s="631">
        <f>SUM(BI13:BN16)</f>
        <v>10700</v>
      </c>
      <c r="BJ12" s="632"/>
      <c r="BK12" s="632"/>
      <c r="BL12" s="632"/>
      <c r="BM12" s="632"/>
      <c r="BN12" s="632"/>
      <c r="BO12" s="631">
        <f>SUM(BO13:BT16)</f>
        <v>10700</v>
      </c>
      <c r="BP12" s="632"/>
      <c r="BQ12" s="632"/>
      <c r="BR12" s="632"/>
      <c r="BS12" s="632"/>
      <c r="BT12" s="632"/>
      <c r="BU12" s="631">
        <f>SUM(BU13:BZ16)</f>
        <v>10600</v>
      </c>
      <c r="BV12" s="632"/>
      <c r="BW12" s="632"/>
      <c r="BX12" s="632"/>
      <c r="BY12" s="632"/>
      <c r="BZ12" s="632"/>
    </row>
    <row r="13" ht="15" spans="5:78">
      <c r="E13" s="515"/>
      <c r="F13" s="516"/>
      <c r="G13" s="516"/>
      <c r="H13" s="516"/>
      <c r="I13" s="516" t="s">
        <v>15</v>
      </c>
      <c r="J13" s="516"/>
      <c r="K13" s="516"/>
      <c r="L13" s="516"/>
      <c r="M13" s="516"/>
      <c r="N13" s="516"/>
      <c r="O13" s="516"/>
      <c r="P13" s="516"/>
      <c r="Q13" s="516"/>
      <c r="R13" s="516"/>
      <c r="S13" s="516"/>
      <c r="T13" s="516"/>
      <c r="U13" s="516"/>
      <c r="V13" s="516"/>
      <c r="W13" s="516"/>
      <c r="X13" s="516"/>
      <c r="Y13" s="516"/>
      <c r="Z13" s="516"/>
      <c r="AA13" s="516"/>
      <c r="AB13" s="574"/>
      <c r="AC13" s="584">
        <v>9500</v>
      </c>
      <c r="AD13" s="584"/>
      <c r="AE13" s="584"/>
      <c r="AF13" s="584"/>
      <c r="AG13" s="584"/>
      <c r="AH13" s="594"/>
      <c r="AI13" s="595">
        <v>6500</v>
      </c>
      <c r="AJ13" s="584"/>
      <c r="AK13" s="584"/>
      <c r="AL13" s="584"/>
      <c r="AM13" s="584"/>
      <c r="AN13" s="594"/>
      <c r="AO13" s="584">
        <v>3200</v>
      </c>
      <c r="AP13" s="584"/>
      <c r="AQ13" s="584"/>
      <c r="AR13" s="584"/>
      <c r="AS13" s="584"/>
      <c r="AT13" s="612"/>
      <c r="AV13" s="613" t="s">
        <v>16</v>
      </c>
      <c r="AW13" s="623"/>
      <c r="AX13" s="623"/>
      <c r="AY13" s="623"/>
      <c r="AZ13" s="623"/>
      <c r="BA13" s="623"/>
      <c r="BB13" s="623"/>
      <c r="BC13" s="623"/>
      <c r="BD13" s="623"/>
      <c r="BE13" s="623"/>
      <c r="BF13" s="623"/>
      <c r="BG13" s="623"/>
      <c r="BH13" s="623"/>
      <c r="BI13" s="633">
        <v>8700</v>
      </c>
      <c r="BJ13" s="634"/>
      <c r="BK13" s="634"/>
      <c r="BL13" s="634"/>
      <c r="BM13" s="634"/>
      <c r="BN13" s="634"/>
      <c r="BO13" s="633">
        <f>11700-3150</f>
        <v>8550</v>
      </c>
      <c r="BP13" s="634"/>
      <c r="BQ13" s="634"/>
      <c r="BR13" s="634"/>
      <c r="BS13" s="634"/>
      <c r="BT13" s="634"/>
      <c r="BU13" s="633">
        <f>8900</f>
        <v>8900</v>
      </c>
      <c r="BV13" s="634"/>
      <c r="BW13" s="634"/>
      <c r="BX13" s="634"/>
      <c r="BY13" s="634"/>
      <c r="BZ13" s="634"/>
    </row>
    <row r="14" ht="15" spans="5:78">
      <c r="E14" s="517" t="s">
        <v>17</v>
      </c>
      <c r="F14" s="518"/>
      <c r="G14" s="518"/>
      <c r="H14" s="518"/>
      <c r="I14" s="518"/>
      <c r="J14" s="518"/>
      <c r="K14" s="518"/>
      <c r="L14" s="518"/>
      <c r="M14" s="518"/>
      <c r="N14" s="518"/>
      <c r="O14" s="518"/>
      <c r="P14" s="518"/>
      <c r="Q14" s="518"/>
      <c r="R14" s="518"/>
      <c r="S14" s="518"/>
      <c r="T14" s="518"/>
      <c r="U14" s="518"/>
      <c r="V14" s="518"/>
      <c r="W14" s="518"/>
      <c r="X14" s="518"/>
      <c r="Y14" s="518"/>
      <c r="Z14" s="518"/>
      <c r="AA14" s="518"/>
      <c r="AB14" s="575"/>
      <c r="AC14" s="536">
        <f>AC10-(AC12-AC13)</f>
        <v>101500</v>
      </c>
      <c r="AD14" s="536"/>
      <c r="AE14" s="536"/>
      <c r="AF14" s="536"/>
      <c r="AG14" s="536"/>
      <c r="AH14" s="543"/>
      <c r="AI14" s="544">
        <f>AI10-(AI12-AI13)</f>
        <v>122000</v>
      </c>
      <c r="AJ14" s="536"/>
      <c r="AK14" s="536"/>
      <c r="AL14" s="536"/>
      <c r="AM14" s="536"/>
      <c r="AN14" s="543"/>
      <c r="AO14" s="544">
        <f>AO10-(AO12-AO13)</f>
        <v>196700</v>
      </c>
      <c r="AP14" s="536"/>
      <c r="AQ14" s="536"/>
      <c r="AR14" s="536"/>
      <c r="AS14" s="536"/>
      <c r="AT14" s="550"/>
      <c r="AV14" s="613" t="s">
        <v>18</v>
      </c>
      <c r="AW14" s="623"/>
      <c r="AX14" s="623"/>
      <c r="AY14" s="623"/>
      <c r="AZ14" s="623"/>
      <c r="BA14" s="623"/>
      <c r="BB14" s="623"/>
      <c r="BC14" s="623"/>
      <c r="BD14" s="623"/>
      <c r="BE14" s="623"/>
      <c r="BF14" s="623"/>
      <c r="BG14" s="623"/>
      <c r="BH14" s="623"/>
      <c r="BI14" s="633">
        <v>1200</v>
      </c>
      <c r="BJ14" s="634"/>
      <c r="BK14" s="634"/>
      <c r="BL14" s="634"/>
      <c r="BM14" s="634"/>
      <c r="BN14" s="634"/>
      <c r="BO14" s="633">
        <v>1500</v>
      </c>
      <c r="BP14" s="634"/>
      <c r="BQ14" s="634"/>
      <c r="BR14" s="634"/>
      <c r="BS14" s="634"/>
      <c r="BT14" s="634"/>
      <c r="BU14" s="633">
        <v>1000</v>
      </c>
      <c r="BV14" s="634"/>
      <c r="BW14" s="634"/>
      <c r="BX14" s="634"/>
      <c r="BY14" s="634"/>
      <c r="BZ14" s="634"/>
    </row>
    <row r="15" s="300" customFormat="1" ht="15" spans="5:78">
      <c r="E15" s="321"/>
      <c r="F15" s="321"/>
      <c r="G15" s="513"/>
      <c r="H15" s="321"/>
      <c r="I15" s="321"/>
      <c r="J15" s="321"/>
      <c r="K15" s="321"/>
      <c r="L15" s="321"/>
      <c r="M15" s="321"/>
      <c r="N15" s="321"/>
      <c r="O15" s="321"/>
      <c r="P15" s="321"/>
      <c r="Q15" s="321"/>
      <c r="R15" s="321"/>
      <c r="S15" s="321"/>
      <c r="T15" s="321"/>
      <c r="U15" s="321"/>
      <c r="V15" s="321"/>
      <c r="W15" s="321"/>
      <c r="X15" s="321"/>
      <c r="Y15" s="321"/>
      <c r="Z15" s="321"/>
      <c r="AA15" s="321"/>
      <c r="AB15" s="321"/>
      <c r="AC15" s="537"/>
      <c r="AD15" s="537"/>
      <c r="AE15" s="537"/>
      <c r="AF15" s="537"/>
      <c r="AG15" s="537"/>
      <c r="AH15" s="537"/>
      <c r="AI15" s="537"/>
      <c r="AJ15" s="537"/>
      <c r="AK15" s="537"/>
      <c r="AL15" s="537"/>
      <c r="AM15" s="537"/>
      <c r="AN15" s="537"/>
      <c r="AO15" s="537"/>
      <c r="AP15" s="537"/>
      <c r="AQ15" s="537"/>
      <c r="AR15" s="537"/>
      <c r="AS15" s="537"/>
      <c r="AT15" s="537"/>
      <c r="AV15" s="613" t="s">
        <v>19</v>
      </c>
      <c r="AW15" s="623"/>
      <c r="AX15" s="623"/>
      <c r="AY15" s="623"/>
      <c r="AZ15" s="623"/>
      <c r="BA15" s="623"/>
      <c r="BB15" s="623"/>
      <c r="BC15" s="623"/>
      <c r="BD15" s="623"/>
      <c r="BE15" s="623"/>
      <c r="BF15" s="623"/>
      <c r="BG15" s="623"/>
      <c r="BH15" s="623"/>
      <c r="BI15" s="633">
        <v>800</v>
      </c>
      <c r="BJ15" s="634"/>
      <c r="BK15" s="634"/>
      <c r="BL15" s="634"/>
      <c r="BM15" s="634"/>
      <c r="BN15" s="634"/>
      <c r="BO15" s="633">
        <v>650</v>
      </c>
      <c r="BP15" s="634"/>
      <c r="BQ15" s="634"/>
      <c r="BR15" s="634"/>
      <c r="BS15" s="634"/>
      <c r="BT15" s="634"/>
      <c r="BU15" s="633">
        <v>700</v>
      </c>
      <c r="BV15" s="634"/>
      <c r="BW15" s="634"/>
      <c r="BX15" s="634"/>
      <c r="BY15" s="634"/>
      <c r="BZ15" s="634"/>
    </row>
    <row r="16" ht="30" customHeight="1" spans="5:78">
      <c r="E16" s="557" t="s">
        <v>20</v>
      </c>
      <c r="F16" s="558"/>
      <c r="G16" s="558"/>
      <c r="H16" s="558"/>
      <c r="I16" s="558"/>
      <c r="J16" s="558"/>
      <c r="K16" s="558"/>
      <c r="L16" s="558"/>
      <c r="M16" s="558"/>
      <c r="N16" s="558"/>
      <c r="O16" s="558"/>
      <c r="P16" s="558"/>
      <c r="Q16" s="558"/>
      <c r="R16" s="558"/>
      <c r="S16" s="558"/>
      <c r="T16" s="558"/>
      <c r="U16" s="558"/>
      <c r="V16" s="558"/>
      <c r="W16" s="558"/>
      <c r="X16" s="558"/>
      <c r="Y16" s="558"/>
      <c r="Z16" s="558"/>
      <c r="AA16" s="558"/>
      <c r="AB16" s="558"/>
      <c r="AC16" s="564"/>
      <c r="AD16" s="564"/>
      <c r="AE16" s="564"/>
      <c r="AF16" s="564"/>
      <c r="AG16" s="564"/>
      <c r="AH16" s="564"/>
      <c r="AI16" s="564"/>
      <c r="AJ16" s="564"/>
      <c r="AK16" s="564"/>
      <c r="AL16" s="564"/>
      <c r="AM16" s="564"/>
      <c r="AN16" s="564"/>
      <c r="AO16" s="564"/>
      <c r="AP16" s="564"/>
      <c r="AQ16" s="564"/>
      <c r="AR16" s="564"/>
      <c r="AS16" s="564"/>
      <c r="AT16" s="614"/>
      <c r="AV16" s="613" t="s">
        <v>21</v>
      </c>
      <c r="AW16" s="623"/>
      <c r="AX16" s="623"/>
      <c r="AY16" s="623"/>
      <c r="AZ16" s="623"/>
      <c r="BA16" s="623"/>
      <c r="BB16" s="623"/>
      <c r="BC16" s="623"/>
      <c r="BD16" s="623"/>
      <c r="BE16" s="623"/>
      <c r="BF16" s="623"/>
      <c r="BG16" s="623"/>
      <c r="BH16" s="623"/>
      <c r="BI16" s="633"/>
      <c r="BJ16" s="634"/>
      <c r="BK16" s="634"/>
      <c r="BL16" s="634"/>
      <c r="BM16" s="634"/>
      <c r="BN16" s="634"/>
      <c r="BO16" s="633"/>
      <c r="BP16" s="634"/>
      <c r="BQ16" s="634"/>
      <c r="BR16" s="634"/>
      <c r="BS16" s="634"/>
      <c r="BT16" s="634"/>
      <c r="BU16" s="633"/>
      <c r="BV16" s="634"/>
      <c r="BW16" s="634"/>
      <c r="BX16" s="634"/>
      <c r="BY16" s="634"/>
      <c r="BZ16" s="634"/>
    </row>
    <row r="17" spans="5:78">
      <c r="E17" s="559"/>
      <c r="F17" s="560"/>
      <c r="G17" s="560"/>
      <c r="H17" s="560"/>
      <c r="I17" s="560" t="s">
        <v>22</v>
      </c>
      <c r="J17" s="560"/>
      <c r="K17" s="560"/>
      <c r="L17" s="560"/>
      <c r="M17" s="560"/>
      <c r="N17" s="560"/>
      <c r="O17" s="560"/>
      <c r="P17" s="560"/>
      <c r="Q17" s="560"/>
      <c r="R17" s="560"/>
      <c r="S17" s="560"/>
      <c r="T17" s="560"/>
      <c r="U17" s="560"/>
      <c r="V17" s="560"/>
      <c r="W17" s="560"/>
      <c r="X17" s="560"/>
      <c r="Y17" s="560"/>
      <c r="Z17" s="560"/>
      <c r="AA17" s="560"/>
      <c r="AB17" s="576"/>
      <c r="AC17" s="585">
        <v>36000</v>
      </c>
      <c r="AD17" s="585"/>
      <c r="AE17" s="585"/>
      <c r="AF17" s="585"/>
      <c r="AG17" s="585"/>
      <c r="AH17" s="596"/>
      <c r="AI17" s="597">
        <v>45000</v>
      </c>
      <c r="AJ17" s="585"/>
      <c r="AK17" s="585"/>
      <c r="AL17" s="585"/>
      <c r="AM17" s="585"/>
      <c r="AN17" s="596"/>
      <c r="AO17" s="585">
        <v>55000</v>
      </c>
      <c r="AP17" s="585"/>
      <c r="AQ17" s="585"/>
      <c r="AR17" s="585"/>
      <c r="AS17" s="585"/>
      <c r="AT17" s="615"/>
      <c r="AV17" s="100" t="s">
        <v>23</v>
      </c>
      <c r="AW17" s="624"/>
      <c r="AX17" s="625"/>
      <c r="AY17" s="626"/>
      <c r="AZ17" s="625"/>
      <c r="BI17" s="635">
        <v>1000</v>
      </c>
      <c r="BJ17" s="636"/>
      <c r="BK17" s="636"/>
      <c r="BL17" s="636"/>
      <c r="BM17" s="636"/>
      <c r="BN17" s="636"/>
      <c r="BO17" s="635">
        <v>1000</v>
      </c>
      <c r="BP17" s="636"/>
      <c r="BQ17" s="636"/>
      <c r="BR17" s="636"/>
      <c r="BS17" s="636"/>
      <c r="BT17" s="636"/>
      <c r="BU17" s="635">
        <v>1000</v>
      </c>
      <c r="BV17" s="636"/>
      <c r="BW17" s="636"/>
      <c r="BX17" s="636"/>
      <c r="BY17" s="636"/>
      <c r="BZ17" s="636"/>
    </row>
    <row r="18" spans="5:78">
      <c r="E18" s="311"/>
      <c r="F18" s="312"/>
      <c r="G18" s="312"/>
      <c r="H18" s="312"/>
      <c r="I18" s="312" t="s">
        <v>24</v>
      </c>
      <c r="J18" s="312"/>
      <c r="K18" s="312"/>
      <c r="L18" s="312"/>
      <c r="M18" s="312"/>
      <c r="N18" s="312"/>
      <c r="O18" s="312"/>
      <c r="P18" s="312"/>
      <c r="Q18" s="312"/>
      <c r="R18" s="312"/>
      <c r="S18" s="312"/>
      <c r="T18" s="312"/>
      <c r="U18" s="312"/>
      <c r="V18" s="312"/>
      <c r="W18" s="312"/>
      <c r="X18" s="312"/>
      <c r="Y18" s="312"/>
      <c r="Z18" s="312"/>
      <c r="AA18" s="312"/>
      <c r="AB18" s="525"/>
      <c r="AC18" s="426"/>
      <c r="AD18" s="426"/>
      <c r="AE18" s="426"/>
      <c r="AF18" s="426"/>
      <c r="AG18" s="426"/>
      <c r="AH18" s="448"/>
      <c r="AI18" s="593"/>
      <c r="AJ18" s="426"/>
      <c r="AK18" s="426"/>
      <c r="AL18" s="426"/>
      <c r="AM18" s="426"/>
      <c r="AN18" s="448"/>
      <c r="AO18" s="426"/>
      <c r="AP18" s="426"/>
      <c r="AQ18" s="426"/>
      <c r="AR18" s="426"/>
      <c r="AS18" s="426"/>
      <c r="AT18" s="610"/>
      <c r="AV18" s="609" t="s">
        <v>25</v>
      </c>
      <c r="AW18" s="85"/>
      <c r="AX18" s="85"/>
      <c r="AY18" s="85"/>
      <c r="AZ18" s="85"/>
      <c r="BA18" s="85"/>
      <c r="BB18" s="85"/>
      <c r="BC18" s="85"/>
      <c r="BD18" s="85"/>
      <c r="BE18" s="85"/>
      <c r="BF18" s="85"/>
      <c r="BG18" s="85"/>
      <c r="BH18" s="85"/>
      <c r="BI18" s="637">
        <f>BI19+BI22</f>
        <v>11700</v>
      </c>
      <c r="BJ18" s="638"/>
      <c r="BK18" s="638"/>
      <c r="BL18" s="638"/>
      <c r="BM18" s="638"/>
      <c r="BN18" s="638"/>
      <c r="BO18" s="637">
        <f>BO19+BO22</f>
        <v>11700</v>
      </c>
      <c r="BP18" s="638"/>
      <c r="BQ18" s="638"/>
      <c r="BR18" s="638"/>
      <c r="BS18" s="638"/>
      <c r="BT18" s="638"/>
      <c r="BU18" s="637">
        <f>BU19+BU22</f>
        <v>11600</v>
      </c>
      <c r="BV18" s="638"/>
      <c r="BW18" s="638"/>
      <c r="BX18" s="638"/>
      <c r="BY18" s="638"/>
      <c r="BZ18" s="638"/>
    </row>
    <row r="19" spans="5:78">
      <c r="E19" s="311"/>
      <c r="F19" s="312"/>
      <c r="G19" s="312"/>
      <c r="H19" s="312"/>
      <c r="I19" s="312" t="s">
        <v>26</v>
      </c>
      <c r="J19" s="312"/>
      <c r="K19" s="312"/>
      <c r="L19" s="312"/>
      <c r="M19" s="312"/>
      <c r="N19" s="312"/>
      <c r="O19" s="312"/>
      <c r="P19" s="312"/>
      <c r="Q19" s="312"/>
      <c r="R19" s="312"/>
      <c r="S19" s="312"/>
      <c r="T19" s="312"/>
      <c r="U19" s="312"/>
      <c r="V19" s="312"/>
      <c r="W19" s="312"/>
      <c r="X19" s="312"/>
      <c r="Y19" s="312"/>
      <c r="Z19" s="312"/>
      <c r="AA19" s="312"/>
      <c r="AB19" s="525"/>
      <c r="AC19" s="426">
        <v>1500</v>
      </c>
      <c r="AD19" s="426"/>
      <c r="AE19" s="426"/>
      <c r="AF19" s="426"/>
      <c r="AG19" s="426"/>
      <c r="AH19" s="448"/>
      <c r="AI19" s="593">
        <v>1000</v>
      </c>
      <c r="AJ19" s="426"/>
      <c r="AK19" s="426"/>
      <c r="AL19" s="426"/>
      <c r="AM19" s="426"/>
      <c r="AN19" s="448"/>
      <c r="AO19" s="426">
        <v>1000</v>
      </c>
      <c r="AP19" s="426"/>
      <c r="AQ19" s="426"/>
      <c r="AR19" s="426"/>
      <c r="AS19" s="426"/>
      <c r="AT19" s="610"/>
      <c r="AV19" s="100" t="s">
        <v>27</v>
      </c>
      <c r="AW19" s="624"/>
      <c r="AX19" s="625"/>
      <c r="AY19" s="626"/>
      <c r="AZ19" s="625"/>
      <c r="BI19" s="631">
        <f>SUM(BI20:BI21)</f>
        <v>1700</v>
      </c>
      <c r="BJ19" s="632"/>
      <c r="BK19" s="632"/>
      <c r="BL19" s="632"/>
      <c r="BM19" s="632"/>
      <c r="BN19" s="632"/>
      <c r="BO19" s="631">
        <f>SUM(BO20:BO21)</f>
        <v>1700</v>
      </c>
      <c r="BP19" s="632"/>
      <c r="BQ19" s="632"/>
      <c r="BR19" s="632"/>
      <c r="BS19" s="632"/>
      <c r="BT19" s="632"/>
      <c r="BU19" s="631">
        <f>SUM(BU20:BU21)</f>
        <v>1600</v>
      </c>
      <c r="BV19" s="632"/>
      <c r="BW19" s="632"/>
      <c r="BX19" s="632"/>
      <c r="BY19" s="632"/>
      <c r="BZ19" s="632"/>
    </row>
    <row r="20" spans="5:78">
      <c r="E20" s="561"/>
      <c r="F20" s="312"/>
      <c r="G20" s="312"/>
      <c r="H20" s="312"/>
      <c r="I20" s="570" t="s">
        <v>28</v>
      </c>
      <c r="J20" s="570"/>
      <c r="K20" s="570"/>
      <c r="L20" s="570"/>
      <c r="M20" s="570"/>
      <c r="N20" s="570"/>
      <c r="O20" s="570"/>
      <c r="P20" s="570"/>
      <c r="Q20" s="570"/>
      <c r="R20" s="570"/>
      <c r="S20" s="570"/>
      <c r="T20" s="570"/>
      <c r="U20" s="570"/>
      <c r="V20" s="570"/>
      <c r="W20" s="570"/>
      <c r="X20" s="570"/>
      <c r="Y20" s="570"/>
      <c r="Z20" s="570"/>
      <c r="AA20" s="570"/>
      <c r="AB20" s="577"/>
      <c r="AC20" s="586">
        <f>SUM(AC17:AH19)</f>
        <v>37500</v>
      </c>
      <c r="AD20" s="586"/>
      <c r="AE20" s="586"/>
      <c r="AF20" s="586"/>
      <c r="AG20" s="586"/>
      <c r="AH20" s="598"/>
      <c r="AI20" s="586">
        <f>SUM(AI17:AN19)</f>
        <v>46000</v>
      </c>
      <c r="AJ20" s="586"/>
      <c r="AK20" s="586"/>
      <c r="AL20" s="586"/>
      <c r="AM20" s="586"/>
      <c r="AN20" s="598"/>
      <c r="AO20" s="586">
        <f>SUM(AO17:AT19)</f>
        <v>56000</v>
      </c>
      <c r="AP20" s="586"/>
      <c r="AQ20" s="586"/>
      <c r="AR20" s="586"/>
      <c r="AS20" s="586"/>
      <c r="AT20" s="616"/>
      <c r="AV20" s="613" t="s">
        <v>29</v>
      </c>
      <c r="AW20" s="623"/>
      <c r="AX20" s="623"/>
      <c r="AY20" s="623"/>
      <c r="AZ20" s="623"/>
      <c r="BA20" s="623"/>
      <c r="BB20" s="623"/>
      <c r="BC20" s="623"/>
      <c r="BD20" s="623"/>
      <c r="BE20" s="623"/>
      <c r="BF20" s="623"/>
      <c r="BG20" s="623"/>
      <c r="BH20" s="623"/>
      <c r="BI20" s="633">
        <v>1200</v>
      </c>
      <c r="BJ20" s="634"/>
      <c r="BK20" s="634"/>
      <c r="BL20" s="634"/>
      <c r="BM20" s="634"/>
      <c r="BN20" s="634"/>
      <c r="BO20" s="633">
        <v>1100</v>
      </c>
      <c r="BP20" s="634"/>
      <c r="BQ20" s="634"/>
      <c r="BR20" s="634"/>
      <c r="BS20" s="634"/>
      <c r="BT20" s="634"/>
      <c r="BU20" s="633">
        <v>1150</v>
      </c>
      <c r="BV20" s="634"/>
      <c r="BW20" s="634"/>
      <c r="BX20" s="634"/>
      <c r="BY20" s="634"/>
      <c r="BZ20" s="634"/>
    </row>
    <row r="21" ht="15" spans="5:78">
      <c r="E21" s="562"/>
      <c r="F21" s="506"/>
      <c r="G21" s="506"/>
      <c r="H21" s="506"/>
      <c r="I21" s="506"/>
      <c r="J21" s="506"/>
      <c r="K21" s="506"/>
      <c r="L21" s="506"/>
      <c r="M21" s="506"/>
      <c r="N21" s="506"/>
      <c r="O21" s="506"/>
      <c r="P21" s="506"/>
      <c r="Q21" s="506"/>
      <c r="R21" s="506"/>
      <c r="S21" s="506"/>
      <c r="T21" s="506"/>
      <c r="U21" s="506"/>
      <c r="V21" s="506"/>
      <c r="W21" s="506"/>
      <c r="X21" s="506"/>
      <c r="Y21" s="506"/>
      <c r="Z21" s="506"/>
      <c r="AA21" s="506"/>
      <c r="AB21" s="506"/>
      <c r="AC21" s="506"/>
      <c r="AD21" s="506"/>
      <c r="AE21" s="506"/>
      <c r="AF21" s="506"/>
      <c r="AG21" s="506"/>
      <c r="AH21" s="506"/>
      <c r="AI21" s="506"/>
      <c r="AJ21" s="506"/>
      <c r="AK21" s="506"/>
      <c r="AL21" s="506"/>
      <c r="AM21" s="506"/>
      <c r="AN21" s="506"/>
      <c r="AO21" s="506"/>
      <c r="AP21" s="506"/>
      <c r="AQ21" s="506"/>
      <c r="AR21" s="506"/>
      <c r="AS21" s="506"/>
      <c r="AT21" s="608"/>
      <c r="AV21" s="613" t="s">
        <v>30</v>
      </c>
      <c r="AW21" s="623"/>
      <c r="AX21" s="623"/>
      <c r="AY21" s="623"/>
      <c r="AZ21" s="623"/>
      <c r="BA21" s="623"/>
      <c r="BB21" s="623"/>
      <c r="BC21" s="623"/>
      <c r="BD21" s="623"/>
      <c r="BE21" s="623"/>
      <c r="BF21" s="623"/>
      <c r="BG21" s="623"/>
      <c r="BH21" s="623"/>
      <c r="BI21" s="633">
        <v>500</v>
      </c>
      <c r="BJ21" s="634"/>
      <c r="BK21" s="634"/>
      <c r="BL21" s="634"/>
      <c r="BM21" s="634"/>
      <c r="BN21" s="634"/>
      <c r="BO21" s="633">
        <v>600</v>
      </c>
      <c r="BP21" s="634"/>
      <c r="BQ21" s="634"/>
      <c r="BR21" s="634"/>
      <c r="BS21" s="634"/>
      <c r="BT21" s="634"/>
      <c r="BU21" s="633">
        <v>450</v>
      </c>
      <c r="BV21" s="634"/>
      <c r="BW21" s="634"/>
      <c r="BX21" s="634"/>
      <c r="BY21" s="634"/>
      <c r="BZ21" s="634"/>
    </row>
    <row r="22" ht="15" spans="5:78">
      <c r="E22" s="563"/>
      <c r="F22" s="564"/>
      <c r="G22" s="565" t="s">
        <v>31</v>
      </c>
      <c r="H22" s="564"/>
      <c r="I22" s="564"/>
      <c r="J22" s="564"/>
      <c r="K22" s="564"/>
      <c r="L22" s="564"/>
      <c r="M22" s="564"/>
      <c r="N22" s="564"/>
      <c r="O22" s="564"/>
      <c r="P22" s="564"/>
      <c r="Q22" s="564"/>
      <c r="R22" s="564"/>
      <c r="S22" s="564"/>
      <c r="T22" s="564"/>
      <c r="U22" s="564"/>
      <c r="V22" s="564"/>
      <c r="W22" s="564"/>
      <c r="X22" s="564"/>
      <c r="Y22" s="564"/>
      <c r="Z22" s="564"/>
      <c r="AA22" s="564"/>
      <c r="AB22" s="564"/>
      <c r="AC22" s="564"/>
      <c r="AD22" s="564"/>
      <c r="AE22" s="564"/>
      <c r="AF22" s="564"/>
      <c r="AG22" s="564"/>
      <c r="AH22" s="564"/>
      <c r="AI22" s="564"/>
      <c r="AJ22" s="564"/>
      <c r="AK22" s="564"/>
      <c r="AL22" s="564"/>
      <c r="AM22" s="564"/>
      <c r="AN22" s="564"/>
      <c r="AO22" s="564"/>
      <c r="AP22" s="564"/>
      <c r="AQ22" s="564"/>
      <c r="AR22" s="564"/>
      <c r="AS22" s="564"/>
      <c r="AT22" s="614"/>
      <c r="AV22" s="100" t="s">
        <v>32</v>
      </c>
      <c r="AW22" s="624"/>
      <c r="AX22" s="625"/>
      <c r="AY22" s="626"/>
      <c r="AZ22" s="625"/>
      <c r="BI22" s="631">
        <f>SUM(BI23:BI25)</f>
        <v>10000</v>
      </c>
      <c r="BJ22" s="632"/>
      <c r="BK22" s="632"/>
      <c r="BL22" s="632"/>
      <c r="BM22" s="632"/>
      <c r="BN22" s="632"/>
      <c r="BO22" s="631">
        <f>SUM(BO23:BO25)</f>
        <v>10000</v>
      </c>
      <c r="BP22" s="632"/>
      <c r="BQ22" s="632"/>
      <c r="BR22" s="632"/>
      <c r="BS22" s="632"/>
      <c r="BT22" s="632"/>
      <c r="BU22" s="631">
        <f>SUM(BU23:BU25)</f>
        <v>10000</v>
      </c>
      <c r="BV22" s="632"/>
      <c r="BW22" s="632"/>
      <c r="BX22" s="632"/>
      <c r="BY22" s="632"/>
      <c r="BZ22" s="632"/>
    </row>
    <row r="23" spans="5:78">
      <c r="E23" s="559"/>
      <c r="F23" s="560"/>
      <c r="G23" s="560"/>
      <c r="H23" s="560"/>
      <c r="I23" s="560" t="s">
        <v>33</v>
      </c>
      <c r="J23" s="560"/>
      <c r="K23" s="560"/>
      <c r="L23" s="560"/>
      <c r="M23" s="560"/>
      <c r="N23" s="560"/>
      <c r="O23" s="560"/>
      <c r="P23" s="560"/>
      <c r="Q23" s="560"/>
      <c r="R23" s="560"/>
      <c r="S23" s="560"/>
      <c r="T23" s="560"/>
      <c r="U23" s="560"/>
      <c r="V23" s="560"/>
      <c r="W23" s="560"/>
      <c r="X23" s="560"/>
      <c r="Y23" s="560"/>
      <c r="Z23" s="560"/>
      <c r="AA23" s="560"/>
      <c r="AB23" s="576"/>
      <c r="AC23" s="585"/>
      <c r="AD23" s="585"/>
      <c r="AE23" s="585"/>
      <c r="AF23" s="585"/>
      <c r="AG23" s="585"/>
      <c r="AH23" s="596"/>
      <c r="AI23" s="597"/>
      <c r="AJ23" s="585"/>
      <c r="AK23" s="585"/>
      <c r="AL23" s="585"/>
      <c r="AM23" s="585"/>
      <c r="AN23" s="596"/>
      <c r="AO23" s="585"/>
      <c r="AP23" s="585"/>
      <c r="AQ23" s="585"/>
      <c r="AR23" s="585"/>
      <c r="AS23" s="585"/>
      <c r="AT23" s="615"/>
      <c r="AV23" s="617" t="s">
        <v>34</v>
      </c>
      <c r="AW23" s="627"/>
      <c r="AX23" s="627"/>
      <c r="AY23" s="627"/>
      <c r="AZ23" s="627"/>
      <c r="BA23" s="627"/>
      <c r="BB23" s="627"/>
      <c r="BC23" s="627"/>
      <c r="BD23" s="627"/>
      <c r="BE23" s="627"/>
      <c r="BF23" s="627"/>
      <c r="BG23" s="627"/>
      <c r="BH23" s="627"/>
      <c r="BI23" s="629">
        <v>10000</v>
      </c>
      <c r="BJ23" s="630"/>
      <c r="BK23" s="630"/>
      <c r="BL23" s="630"/>
      <c r="BM23" s="630"/>
      <c r="BN23" s="630"/>
      <c r="BO23" s="629">
        <v>10000</v>
      </c>
      <c r="BP23" s="630"/>
      <c r="BQ23" s="630"/>
      <c r="BR23" s="630"/>
      <c r="BS23" s="630"/>
      <c r="BT23" s="630"/>
      <c r="BU23" s="629">
        <v>10000</v>
      </c>
      <c r="BV23" s="630"/>
      <c r="BW23" s="630"/>
      <c r="BX23" s="630"/>
      <c r="BY23" s="630"/>
      <c r="BZ23" s="630"/>
    </row>
    <row r="24" spans="5:78">
      <c r="E24" s="311"/>
      <c r="F24" s="312"/>
      <c r="G24" s="312"/>
      <c r="H24" s="312"/>
      <c r="I24" s="312" t="s">
        <v>35</v>
      </c>
      <c r="J24" s="312"/>
      <c r="K24" s="312"/>
      <c r="L24" s="312"/>
      <c r="M24" s="312"/>
      <c r="N24" s="312"/>
      <c r="O24" s="312"/>
      <c r="P24" s="312"/>
      <c r="Q24" s="312"/>
      <c r="R24" s="312"/>
      <c r="S24" s="312"/>
      <c r="T24" s="312"/>
      <c r="U24" s="312"/>
      <c r="V24" s="312"/>
      <c r="W24" s="312"/>
      <c r="X24" s="312"/>
      <c r="Y24" s="312"/>
      <c r="Z24" s="312"/>
      <c r="AA24" s="312"/>
      <c r="AB24" s="525"/>
      <c r="AC24" s="426"/>
      <c r="AD24" s="426"/>
      <c r="AE24" s="426"/>
      <c r="AF24" s="426"/>
      <c r="AG24" s="426"/>
      <c r="AH24" s="448"/>
      <c r="AI24" s="593"/>
      <c r="AJ24" s="426"/>
      <c r="AK24" s="426"/>
      <c r="AL24" s="426"/>
      <c r="AM24" s="426"/>
      <c r="AN24" s="448"/>
      <c r="AO24" s="426"/>
      <c r="AP24" s="426"/>
      <c r="AQ24" s="426"/>
      <c r="AR24" s="426"/>
      <c r="AS24" s="426"/>
      <c r="AT24" s="610"/>
      <c r="AV24" s="618" t="s">
        <v>36</v>
      </c>
      <c r="AW24" s="628"/>
      <c r="AX24" s="628"/>
      <c r="AY24" s="628"/>
      <c r="AZ24" s="628"/>
      <c r="BA24" s="628"/>
      <c r="BB24" s="628"/>
      <c r="BC24" s="628"/>
      <c r="BD24" s="628"/>
      <c r="BE24" s="628"/>
      <c r="BF24" s="628"/>
      <c r="BG24" s="628"/>
      <c r="BH24" s="628"/>
      <c r="BI24" s="629"/>
      <c r="BJ24" s="630"/>
      <c r="BK24" s="630"/>
      <c r="BL24" s="630"/>
      <c r="BM24" s="630"/>
      <c r="BN24" s="630"/>
      <c r="BO24" s="629"/>
      <c r="BP24" s="630"/>
      <c r="BQ24" s="630"/>
      <c r="BR24" s="630"/>
      <c r="BS24" s="630"/>
      <c r="BT24" s="630"/>
      <c r="BU24" s="629"/>
      <c r="BV24" s="630"/>
      <c r="BW24" s="630"/>
      <c r="BX24" s="630"/>
      <c r="BY24" s="630"/>
      <c r="BZ24" s="630"/>
    </row>
    <row r="25" spans="5:78">
      <c r="E25" s="311"/>
      <c r="F25" s="312"/>
      <c r="G25" s="312"/>
      <c r="H25" s="312"/>
      <c r="I25" s="312" t="s">
        <v>37</v>
      </c>
      <c r="J25" s="312"/>
      <c r="K25" s="312"/>
      <c r="L25" s="312"/>
      <c r="M25" s="312"/>
      <c r="N25" s="312"/>
      <c r="O25" s="312"/>
      <c r="P25" s="312"/>
      <c r="Q25" s="312"/>
      <c r="R25" s="312"/>
      <c r="S25" s="312"/>
      <c r="T25" s="312"/>
      <c r="U25" s="312"/>
      <c r="V25" s="312"/>
      <c r="W25" s="312"/>
      <c r="X25" s="312"/>
      <c r="Y25" s="312"/>
      <c r="Z25" s="312"/>
      <c r="AA25" s="312"/>
      <c r="AB25" s="525"/>
      <c r="AC25" s="426">
        <v>1000</v>
      </c>
      <c r="AD25" s="426"/>
      <c r="AE25" s="426"/>
      <c r="AF25" s="426"/>
      <c r="AG25" s="426"/>
      <c r="AH25" s="448"/>
      <c r="AI25" s="593">
        <v>1000</v>
      </c>
      <c r="AJ25" s="426"/>
      <c r="AK25" s="426"/>
      <c r="AL25" s="426"/>
      <c r="AM25" s="426"/>
      <c r="AN25" s="448"/>
      <c r="AO25" s="426">
        <v>1000</v>
      </c>
      <c r="AP25" s="426"/>
      <c r="AQ25" s="426"/>
      <c r="AR25" s="426"/>
      <c r="AS25" s="426"/>
      <c r="AT25" s="610"/>
      <c r="AV25" s="618" t="s">
        <v>38</v>
      </c>
      <c r="AW25" s="628"/>
      <c r="AX25" s="628"/>
      <c r="AY25" s="628"/>
      <c r="AZ25" s="628"/>
      <c r="BA25" s="628"/>
      <c r="BB25" s="628"/>
      <c r="BC25" s="628"/>
      <c r="BD25" s="628"/>
      <c r="BE25" s="628"/>
      <c r="BF25" s="628"/>
      <c r="BG25" s="628"/>
      <c r="BH25" s="628"/>
      <c r="BI25" s="629">
        <v>0</v>
      </c>
      <c r="BJ25" s="630"/>
      <c r="BK25" s="630"/>
      <c r="BL25" s="630"/>
      <c r="BM25" s="630"/>
      <c r="BN25" s="630"/>
      <c r="BO25" s="629">
        <v>0</v>
      </c>
      <c r="BP25" s="630"/>
      <c r="BQ25" s="630"/>
      <c r="BR25" s="630"/>
      <c r="BS25" s="630"/>
      <c r="BT25" s="630"/>
      <c r="BU25" s="629">
        <v>0</v>
      </c>
      <c r="BV25" s="630"/>
      <c r="BW25" s="630"/>
      <c r="BX25" s="630"/>
      <c r="BY25" s="630"/>
      <c r="BZ25" s="630"/>
    </row>
    <row r="26" spans="5:46">
      <c r="E26" s="311"/>
      <c r="F26" s="312"/>
      <c r="G26" s="312"/>
      <c r="H26" s="312"/>
      <c r="I26" s="312" t="s">
        <v>39</v>
      </c>
      <c r="J26" s="312"/>
      <c r="K26" s="312"/>
      <c r="L26" s="312"/>
      <c r="M26" s="312"/>
      <c r="N26" s="312"/>
      <c r="O26" s="312"/>
      <c r="P26" s="312"/>
      <c r="Q26" s="312"/>
      <c r="R26" s="312"/>
      <c r="S26" s="312"/>
      <c r="T26" s="312"/>
      <c r="U26" s="312"/>
      <c r="V26" s="312"/>
      <c r="W26" s="312"/>
      <c r="X26" s="312"/>
      <c r="Y26" s="312"/>
      <c r="Z26" s="312"/>
      <c r="AA26" s="312"/>
      <c r="AB26" s="525"/>
      <c r="AC26" s="426">
        <v>10000</v>
      </c>
      <c r="AD26" s="426"/>
      <c r="AE26" s="426"/>
      <c r="AF26" s="426"/>
      <c r="AG26" s="426"/>
      <c r="AH26" s="448"/>
      <c r="AI26" s="593">
        <v>11000</v>
      </c>
      <c r="AJ26" s="426"/>
      <c r="AK26" s="426"/>
      <c r="AL26" s="426"/>
      <c r="AM26" s="426"/>
      <c r="AN26" s="448"/>
      <c r="AO26" s="426">
        <v>11000</v>
      </c>
      <c r="AP26" s="426"/>
      <c r="AQ26" s="426"/>
      <c r="AR26" s="426"/>
      <c r="AS26" s="426"/>
      <c r="AT26" s="610"/>
    </row>
    <row r="27" spans="5:46">
      <c r="E27" s="311"/>
      <c r="F27" s="312"/>
      <c r="G27" s="312"/>
      <c r="H27" s="312"/>
      <c r="I27" s="312" t="s">
        <v>40</v>
      </c>
      <c r="J27" s="312"/>
      <c r="K27" s="312"/>
      <c r="L27" s="312"/>
      <c r="M27" s="312"/>
      <c r="N27" s="312"/>
      <c r="O27" s="312"/>
      <c r="P27" s="312"/>
      <c r="Q27" s="312"/>
      <c r="R27" s="312"/>
      <c r="S27" s="312"/>
      <c r="T27" s="312"/>
      <c r="U27" s="312"/>
      <c r="V27" s="312"/>
      <c r="W27" s="312"/>
      <c r="X27" s="312"/>
      <c r="Y27" s="312"/>
      <c r="Z27" s="312"/>
      <c r="AA27" s="312"/>
      <c r="AB27" s="525"/>
      <c r="AC27" s="426"/>
      <c r="AD27" s="426"/>
      <c r="AE27" s="426"/>
      <c r="AF27" s="426"/>
      <c r="AG27" s="426"/>
      <c r="AH27" s="448"/>
      <c r="AI27" s="593"/>
      <c r="AJ27" s="426"/>
      <c r="AK27" s="426"/>
      <c r="AL27" s="426"/>
      <c r="AM27" s="426"/>
      <c r="AN27" s="448"/>
      <c r="AO27" s="426"/>
      <c r="AP27" s="426"/>
      <c r="AQ27" s="426"/>
      <c r="AR27" s="426"/>
      <c r="AS27" s="426"/>
      <c r="AT27" s="610"/>
    </row>
    <row r="28" spans="5:46">
      <c r="E28" s="311"/>
      <c r="F28" s="312"/>
      <c r="G28" s="312"/>
      <c r="H28" s="312"/>
      <c r="I28" s="312" t="s">
        <v>41</v>
      </c>
      <c r="J28" s="312"/>
      <c r="K28" s="312"/>
      <c r="L28" s="312"/>
      <c r="M28" s="312"/>
      <c r="N28" s="312"/>
      <c r="O28" s="312"/>
      <c r="P28" s="312"/>
      <c r="Q28" s="312"/>
      <c r="R28" s="312"/>
      <c r="S28" s="312"/>
      <c r="T28" s="312"/>
      <c r="U28" s="312"/>
      <c r="V28" s="312"/>
      <c r="W28" s="312"/>
      <c r="X28" s="312"/>
      <c r="Y28" s="312"/>
      <c r="Z28" s="312"/>
      <c r="AA28" s="312"/>
      <c r="AB28" s="525"/>
      <c r="AC28" s="426">
        <v>2400</v>
      </c>
      <c r="AD28" s="426"/>
      <c r="AE28" s="426"/>
      <c r="AF28" s="426"/>
      <c r="AG28" s="426"/>
      <c r="AH28" s="448"/>
      <c r="AI28" s="593">
        <v>2500</v>
      </c>
      <c r="AJ28" s="426"/>
      <c r="AK28" s="426"/>
      <c r="AL28" s="426"/>
      <c r="AM28" s="426"/>
      <c r="AN28" s="448"/>
      <c r="AO28" s="426">
        <v>2300</v>
      </c>
      <c r="AP28" s="426"/>
      <c r="AQ28" s="426"/>
      <c r="AR28" s="426"/>
      <c r="AS28" s="426"/>
      <c r="AT28" s="610"/>
    </row>
    <row r="29" spans="5:46">
      <c r="E29" s="311"/>
      <c r="F29" s="312"/>
      <c r="G29" s="312"/>
      <c r="H29" s="312"/>
      <c r="I29" s="312" t="s">
        <v>42</v>
      </c>
      <c r="J29" s="312"/>
      <c r="K29" s="312"/>
      <c r="L29" s="312"/>
      <c r="M29" s="312"/>
      <c r="N29" s="312"/>
      <c r="O29" s="312"/>
      <c r="P29" s="312"/>
      <c r="Q29" s="312"/>
      <c r="R29" s="312"/>
      <c r="S29" s="312"/>
      <c r="T29" s="312"/>
      <c r="U29" s="312"/>
      <c r="V29" s="312"/>
      <c r="W29" s="312"/>
      <c r="X29" s="312"/>
      <c r="Y29" s="312"/>
      <c r="Z29" s="312"/>
      <c r="AA29" s="312"/>
      <c r="AB29" s="525"/>
      <c r="AC29" s="426"/>
      <c r="AD29" s="426"/>
      <c r="AE29" s="426"/>
      <c r="AF29" s="426"/>
      <c r="AG29" s="426"/>
      <c r="AH29" s="448"/>
      <c r="AI29" s="593"/>
      <c r="AJ29" s="426"/>
      <c r="AK29" s="426"/>
      <c r="AL29" s="426"/>
      <c r="AM29" s="426"/>
      <c r="AN29" s="448"/>
      <c r="AO29" s="426"/>
      <c r="AP29" s="426"/>
      <c r="AQ29" s="426"/>
      <c r="AR29" s="426"/>
      <c r="AS29" s="426"/>
      <c r="AT29" s="610"/>
    </row>
    <row r="30" spans="5:46">
      <c r="E30" s="311"/>
      <c r="F30" s="312"/>
      <c r="G30" s="312"/>
      <c r="H30" s="312"/>
      <c r="I30" s="312" t="s">
        <v>43</v>
      </c>
      <c r="J30" s="312"/>
      <c r="K30" s="312"/>
      <c r="L30" s="312"/>
      <c r="M30" s="312"/>
      <c r="N30" s="312"/>
      <c r="O30" s="312"/>
      <c r="P30" s="312"/>
      <c r="Q30" s="312"/>
      <c r="R30" s="312"/>
      <c r="S30" s="312"/>
      <c r="T30" s="312"/>
      <c r="U30" s="312"/>
      <c r="V30" s="312"/>
      <c r="W30" s="312"/>
      <c r="X30" s="312"/>
      <c r="Y30" s="312"/>
      <c r="Z30" s="312"/>
      <c r="AA30" s="312"/>
      <c r="AB30" s="525"/>
      <c r="AC30" s="426"/>
      <c r="AD30" s="426"/>
      <c r="AE30" s="426"/>
      <c r="AF30" s="426"/>
      <c r="AG30" s="426"/>
      <c r="AH30" s="448"/>
      <c r="AI30" s="593"/>
      <c r="AJ30" s="426"/>
      <c r="AK30" s="426"/>
      <c r="AL30" s="426"/>
      <c r="AM30" s="426"/>
      <c r="AN30" s="448"/>
      <c r="AO30" s="426"/>
      <c r="AP30" s="426"/>
      <c r="AQ30" s="426"/>
      <c r="AR30" s="426"/>
      <c r="AS30" s="426"/>
      <c r="AT30" s="610"/>
    </row>
    <row r="31" spans="5:46">
      <c r="E31" s="561"/>
      <c r="F31" s="312"/>
      <c r="G31" s="312"/>
      <c r="H31" s="312"/>
      <c r="I31" s="570" t="s">
        <v>28</v>
      </c>
      <c r="J31" s="570"/>
      <c r="K31" s="570"/>
      <c r="L31" s="570"/>
      <c r="M31" s="570"/>
      <c r="N31" s="570"/>
      <c r="O31" s="570"/>
      <c r="P31" s="570"/>
      <c r="Q31" s="570"/>
      <c r="R31" s="570"/>
      <c r="S31" s="570"/>
      <c r="T31" s="570"/>
      <c r="U31" s="570"/>
      <c r="V31" s="570"/>
      <c r="W31" s="570"/>
      <c r="X31" s="570"/>
      <c r="Y31" s="570"/>
      <c r="Z31" s="570"/>
      <c r="AA31" s="570"/>
      <c r="AB31" s="577"/>
      <c r="AC31" s="586">
        <f>SUM(AC23:AH30)</f>
        <v>13400</v>
      </c>
      <c r="AD31" s="586"/>
      <c r="AE31" s="586"/>
      <c r="AF31" s="586"/>
      <c r="AG31" s="586"/>
      <c r="AH31" s="598"/>
      <c r="AI31" s="599">
        <f>SUM(AI23:AN30)</f>
        <v>14500</v>
      </c>
      <c r="AJ31" s="586"/>
      <c r="AK31" s="586"/>
      <c r="AL31" s="586"/>
      <c r="AM31" s="586"/>
      <c r="AN31" s="598"/>
      <c r="AO31" s="599">
        <f>SUM(AO23:AT30)</f>
        <v>14300</v>
      </c>
      <c r="AP31" s="586"/>
      <c r="AQ31" s="586"/>
      <c r="AR31" s="586"/>
      <c r="AS31" s="586"/>
      <c r="AT31" s="616"/>
    </row>
    <row r="32" ht="15" spans="5:46">
      <c r="E32" s="562"/>
      <c r="F32" s="506"/>
      <c r="G32" s="506"/>
      <c r="H32" s="506"/>
      <c r="I32" s="506"/>
      <c r="J32" s="506"/>
      <c r="K32" s="506"/>
      <c r="L32" s="506"/>
      <c r="M32" s="506"/>
      <c r="N32" s="506"/>
      <c r="O32" s="506"/>
      <c r="P32" s="506"/>
      <c r="Q32" s="506"/>
      <c r="R32" s="506"/>
      <c r="S32" s="506"/>
      <c r="T32" s="506"/>
      <c r="U32" s="506"/>
      <c r="V32" s="506"/>
      <c r="W32" s="506"/>
      <c r="X32" s="506"/>
      <c r="Y32" s="506"/>
      <c r="Z32" s="506"/>
      <c r="AA32" s="506"/>
      <c r="AB32" s="506"/>
      <c r="AC32" s="506"/>
      <c r="AD32" s="506"/>
      <c r="AE32" s="506"/>
      <c r="AF32" s="506"/>
      <c r="AG32" s="506"/>
      <c r="AH32" s="506"/>
      <c r="AI32" s="506"/>
      <c r="AJ32" s="506"/>
      <c r="AK32" s="506"/>
      <c r="AL32" s="506"/>
      <c r="AM32" s="506"/>
      <c r="AN32" s="506"/>
      <c r="AO32" s="506"/>
      <c r="AP32" s="506"/>
      <c r="AQ32" s="506"/>
      <c r="AR32" s="506"/>
      <c r="AS32" s="506"/>
      <c r="AT32" s="608"/>
    </row>
    <row r="33" ht="15" spans="5:46">
      <c r="E33" s="563"/>
      <c r="F33" s="564"/>
      <c r="G33" s="565" t="s">
        <v>44</v>
      </c>
      <c r="H33" s="564"/>
      <c r="I33" s="564"/>
      <c r="J33" s="564"/>
      <c r="K33" s="564"/>
      <c r="L33" s="564"/>
      <c r="M33" s="564"/>
      <c r="N33" s="564"/>
      <c r="O33" s="564"/>
      <c r="P33" s="564"/>
      <c r="Q33" s="564"/>
      <c r="R33" s="564"/>
      <c r="S33" s="564"/>
      <c r="T33" s="564"/>
      <c r="U33" s="564"/>
      <c r="V33" s="564"/>
      <c r="W33" s="564"/>
      <c r="X33" s="564"/>
      <c r="Y33" s="564"/>
      <c r="Z33" s="564"/>
      <c r="AA33" s="564"/>
      <c r="AB33" s="564"/>
      <c r="AC33" s="564"/>
      <c r="AD33" s="564"/>
      <c r="AE33" s="564"/>
      <c r="AF33" s="564"/>
      <c r="AG33" s="564"/>
      <c r="AH33" s="564"/>
      <c r="AI33" s="564"/>
      <c r="AJ33" s="564"/>
      <c r="AK33" s="564"/>
      <c r="AL33" s="564"/>
      <c r="AM33" s="564"/>
      <c r="AN33" s="564"/>
      <c r="AO33" s="564"/>
      <c r="AP33" s="564"/>
      <c r="AQ33" s="564"/>
      <c r="AR33" s="564"/>
      <c r="AS33" s="564"/>
      <c r="AT33" s="614"/>
    </row>
    <row r="34" spans="5:46">
      <c r="E34" s="559"/>
      <c r="F34" s="560"/>
      <c r="G34" s="560"/>
      <c r="H34" s="560"/>
      <c r="I34" s="560" t="s">
        <v>45</v>
      </c>
      <c r="J34" s="560"/>
      <c r="K34" s="560"/>
      <c r="L34" s="560"/>
      <c r="M34" s="560"/>
      <c r="N34" s="560"/>
      <c r="O34" s="560"/>
      <c r="P34" s="560"/>
      <c r="Q34" s="560"/>
      <c r="R34" s="560"/>
      <c r="S34" s="560"/>
      <c r="T34" s="560"/>
      <c r="U34" s="560"/>
      <c r="V34" s="560"/>
      <c r="W34" s="560"/>
      <c r="X34" s="560"/>
      <c r="Y34" s="560"/>
      <c r="Z34" s="560"/>
      <c r="AA34" s="560"/>
      <c r="AB34" s="576"/>
      <c r="AC34" s="585">
        <v>450</v>
      </c>
      <c r="AD34" s="585"/>
      <c r="AE34" s="585"/>
      <c r="AF34" s="585"/>
      <c r="AG34" s="585"/>
      <c r="AH34" s="596"/>
      <c r="AI34" s="597">
        <v>450</v>
      </c>
      <c r="AJ34" s="585"/>
      <c r="AK34" s="585"/>
      <c r="AL34" s="585"/>
      <c r="AM34" s="585"/>
      <c r="AN34" s="596"/>
      <c r="AO34" s="585">
        <v>450</v>
      </c>
      <c r="AP34" s="585"/>
      <c r="AQ34" s="585"/>
      <c r="AR34" s="585"/>
      <c r="AS34" s="585"/>
      <c r="AT34" s="615"/>
    </row>
    <row r="35" spans="5:46">
      <c r="E35" s="311"/>
      <c r="F35" s="312"/>
      <c r="G35" s="312"/>
      <c r="H35" s="312"/>
      <c r="I35" s="312" t="s">
        <v>46</v>
      </c>
      <c r="J35" s="312"/>
      <c r="K35" s="312"/>
      <c r="L35" s="312"/>
      <c r="M35" s="312"/>
      <c r="N35" s="312"/>
      <c r="O35" s="312"/>
      <c r="P35" s="312"/>
      <c r="Q35" s="312"/>
      <c r="R35" s="312"/>
      <c r="S35" s="312"/>
      <c r="T35" s="312"/>
      <c r="U35" s="312"/>
      <c r="V35" s="312"/>
      <c r="W35" s="312"/>
      <c r="X35" s="312"/>
      <c r="Y35" s="312"/>
      <c r="Z35" s="312"/>
      <c r="AA35" s="312"/>
      <c r="AB35" s="525"/>
      <c r="AC35" s="426">
        <v>10000</v>
      </c>
      <c r="AD35" s="426"/>
      <c r="AE35" s="426"/>
      <c r="AF35" s="426"/>
      <c r="AG35" s="426"/>
      <c r="AH35" s="448"/>
      <c r="AI35" s="593">
        <v>10000</v>
      </c>
      <c r="AJ35" s="426"/>
      <c r="AK35" s="426"/>
      <c r="AL35" s="426"/>
      <c r="AM35" s="426"/>
      <c r="AN35" s="448"/>
      <c r="AO35" s="426">
        <v>11000</v>
      </c>
      <c r="AP35" s="426"/>
      <c r="AQ35" s="426"/>
      <c r="AR35" s="426"/>
      <c r="AS35" s="426"/>
      <c r="AT35" s="610"/>
    </row>
    <row r="36" spans="5:46">
      <c r="E36" s="311"/>
      <c r="F36" s="312"/>
      <c r="G36" s="312"/>
      <c r="H36" s="312"/>
      <c r="I36" s="312" t="s">
        <v>37</v>
      </c>
      <c r="J36" s="312"/>
      <c r="K36" s="312"/>
      <c r="L36" s="312"/>
      <c r="M36" s="312"/>
      <c r="N36" s="312"/>
      <c r="O36" s="312"/>
      <c r="P36" s="312"/>
      <c r="Q36" s="312"/>
      <c r="R36" s="312"/>
      <c r="S36" s="312"/>
      <c r="T36" s="312"/>
      <c r="U36" s="312"/>
      <c r="V36" s="312"/>
      <c r="W36" s="312"/>
      <c r="X36" s="312"/>
      <c r="Y36" s="312"/>
      <c r="Z36" s="312"/>
      <c r="AA36" s="312"/>
      <c r="AB36" s="525"/>
      <c r="AC36" s="426"/>
      <c r="AD36" s="426"/>
      <c r="AE36" s="426"/>
      <c r="AF36" s="426"/>
      <c r="AG36" s="426"/>
      <c r="AH36" s="448"/>
      <c r="AI36" s="593"/>
      <c r="AJ36" s="426"/>
      <c r="AK36" s="426"/>
      <c r="AL36" s="426"/>
      <c r="AM36" s="426"/>
      <c r="AN36" s="448"/>
      <c r="AO36" s="426"/>
      <c r="AP36" s="426"/>
      <c r="AQ36" s="426"/>
      <c r="AR36" s="426"/>
      <c r="AS36" s="426"/>
      <c r="AT36" s="610"/>
    </row>
    <row r="37" spans="5:46">
      <c r="E37" s="311"/>
      <c r="F37" s="312"/>
      <c r="G37" s="312"/>
      <c r="H37" s="312"/>
      <c r="I37" s="312" t="s">
        <v>39</v>
      </c>
      <c r="J37" s="312"/>
      <c r="K37" s="312"/>
      <c r="L37" s="312"/>
      <c r="M37" s="312"/>
      <c r="N37" s="312"/>
      <c r="O37" s="312"/>
      <c r="P37" s="312"/>
      <c r="Q37" s="312"/>
      <c r="R37" s="312"/>
      <c r="S37" s="312"/>
      <c r="T37" s="312"/>
      <c r="U37" s="312"/>
      <c r="V37" s="312"/>
      <c r="W37" s="312"/>
      <c r="X37" s="312"/>
      <c r="Y37" s="312"/>
      <c r="Z37" s="312"/>
      <c r="AA37" s="312"/>
      <c r="AB37" s="525"/>
      <c r="AC37" s="426">
        <v>1200</v>
      </c>
      <c r="AD37" s="426"/>
      <c r="AE37" s="426"/>
      <c r="AF37" s="426"/>
      <c r="AG37" s="426"/>
      <c r="AH37" s="448"/>
      <c r="AI37" s="593">
        <v>1200</v>
      </c>
      <c r="AJ37" s="426"/>
      <c r="AK37" s="426"/>
      <c r="AL37" s="426"/>
      <c r="AM37" s="426"/>
      <c r="AN37" s="448"/>
      <c r="AO37" s="426">
        <v>1300</v>
      </c>
      <c r="AP37" s="426"/>
      <c r="AQ37" s="426"/>
      <c r="AR37" s="426"/>
      <c r="AS37" s="426"/>
      <c r="AT37" s="610"/>
    </row>
    <row r="38" spans="5:46">
      <c r="E38" s="311"/>
      <c r="F38" s="312"/>
      <c r="G38" s="312"/>
      <c r="H38" s="312"/>
      <c r="I38" s="312" t="s">
        <v>47</v>
      </c>
      <c r="J38" s="312"/>
      <c r="K38" s="312"/>
      <c r="L38" s="312"/>
      <c r="M38" s="312"/>
      <c r="N38" s="312"/>
      <c r="O38" s="312"/>
      <c r="P38" s="312"/>
      <c r="Q38" s="312"/>
      <c r="R38" s="312"/>
      <c r="S38" s="312"/>
      <c r="T38" s="312"/>
      <c r="U38" s="312"/>
      <c r="V38" s="312"/>
      <c r="W38" s="312"/>
      <c r="X38" s="312"/>
      <c r="Y38" s="312"/>
      <c r="Z38" s="312"/>
      <c r="AA38" s="312"/>
      <c r="AB38" s="525"/>
      <c r="AC38" s="426"/>
      <c r="AD38" s="426"/>
      <c r="AE38" s="426"/>
      <c r="AF38" s="426"/>
      <c r="AG38" s="426"/>
      <c r="AH38" s="448"/>
      <c r="AI38" s="593"/>
      <c r="AJ38" s="426"/>
      <c r="AK38" s="426"/>
      <c r="AL38" s="426"/>
      <c r="AM38" s="426"/>
      <c r="AN38" s="448"/>
      <c r="AO38" s="426"/>
      <c r="AP38" s="426"/>
      <c r="AQ38" s="426"/>
      <c r="AR38" s="426"/>
      <c r="AS38" s="426"/>
      <c r="AT38" s="610"/>
    </row>
    <row r="39" spans="5:46">
      <c r="E39" s="311"/>
      <c r="F39" s="312"/>
      <c r="G39" s="312"/>
      <c r="H39" s="312"/>
      <c r="I39" s="312" t="s">
        <v>48</v>
      </c>
      <c r="J39" s="312"/>
      <c r="K39" s="312"/>
      <c r="L39" s="312"/>
      <c r="M39" s="312"/>
      <c r="N39" s="312"/>
      <c r="O39" s="312"/>
      <c r="P39" s="312"/>
      <c r="Q39" s="312"/>
      <c r="R39" s="312"/>
      <c r="S39" s="312"/>
      <c r="T39" s="312"/>
      <c r="U39" s="312"/>
      <c r="V39" s="312"/>
      <c r="W39" s="312"/>
      <c r="X39" s="312"/>
      <c r="Y39" s="312"/>
      <c r="Z39" s="312"/>
      <c r="AA39" s="312"/>
      <c r="AB39" s="525"/>
      <c r="AC39" s="426">
        <v>12000</v>
      </c>
      <c r="AD39" s="426"/>
      <c r="AE39" s="426"/>
      <c r="AF39" s="426"/>
      <c r="AG39" s="426"/>
      <c r="AH39" s="448"/>
      <c r="AI39" s="593">
        <v>13000</v>
      </c>
      <c r="AJ39" s="426"/>
      <c r="AK39" s="426"/>
      <c r="AL39" s="426"/>
      <c r="AM39" s="426"/>
      <c r="AN39" s="448"/>
      <c r="AO39" s="426">
        <v>13000</v>
      </c>
      <c r="AP39" s="426"/>
      <c r="AQ39" s="426"/>
      <c r="AR39" s="426"/>
      <c r="AS39" s="426"/>
      <c r="AT39" s="610"/>
    </row>
    <row r="40" spans="5:46">
      <c r="E40" s="311"/>
      <c r="F40" s="312"/>
      <c r="G40" s="312"/>
      <c r="H40" s="312"/>
      <c r="I40" s="312" t="s">
        <v>49</v>
      </c>
      <c r="J40" s="312"/>
      <c r="K40" s="312"/>
      <c r="L40" s="312"/>
      <c r="M40" s="312"/>
      <c r="N40" s="312"/>
      <c r="O40" s="312"/>
      <c r="P40" s="312"/>
      <c r="Q40" s="312"/>
      <c r="R40" s="312"/>
      <c r="S40" s="312"/>
      <c r="T40" s="312"/>
      <c r="U40" s="312"/>
      <c r="V40" s="312"/>
      <c r="W40" s="312"/>
      <c r="X40" s="312"/>
      <c r="Y40" s="312"/>
      <c r="Z40" s="312"/>
      <c r="AA40" s="312"/>
      <c r="AB40" s="525"/>
      <c r="AC40" s="426"/>
      <c r="AD40" s="426"/>
      <c r="AE40" s="426"/>
      <c r="AF40" s="426"/>
      <c r="AG40" s="426"/>
      <c r="AH40" s="448"/>
      <c r="AI40" s="593"/>
      <c r="AJ40" s="426"/>
      <c r="AK40" s="426"/>
      <c r="AL40" s="426"/>
      <c r="AM40" s="426"/>
      <c r="AN40" s="448"/>
      <c r="AO40" s="426"/>
      <c r="AP40" s="426"/>
      <c r="AQ40" s="426"/>
      <c r="AR40" s="426"/>
      <c r="AS40" s="426"/>
      <c r="AT40" s="610"/>
    </row>
    <row r="41" spans="5:46">
      <c r="E41" s="311"/>
      <c r="F41" s="312"/>
      <c r="G41" s="312"/>
      <c r="H41" s="312"/>
      <c r="I41" s="312" t="s">
        <v>50</v>
      </c>
      <c r="J41" s="312"/>
      <c r="K41" s="312"/>
      <c r="L41" s="312"/>
      <c r="M41" s="312"/>
      <c r="N41" s="312"/>
      <c r="O41" s="312"/>
      <c r="P41" s="312"/>
      <c r="Q41" s="312"/>
      <c r="R41" s="312"/>
      <c r="S41" s="312"/>
      <c r="T41" s="312"/>
      <c r="U41" s="312"/>
      <c r="V41" s="312"/>
      <c r="W41" s="312"/>
      <c r="X41" s="312"/>
      <c r="Y41" s="312"/>
      <c r="Z41" s="312"/>
      <c r="AA41" s="312"/>
      <c r="AB41" s="525"/>
      <c r="AC41" s="426">
        <v>2000</v>
      </c>
      <c r="AD41" s="426"/>
      <c r="AE41" s="426"/>
      <c r="AF41" s="426"/>
      <c r="AG41" s="426"/>
      <c r="AH41" s="448"/>
      <c r="AI41" s="593">
        <v>1800</v>
      </c>
      <c r="AJ41" s="426"/>
      <c r="AK41" s="426"/>
      <c r="AL41" s="426"/>
      <c r="AM41" s="426"/>
      <c r="AN41" s="448"/>
      <c r="AO41" s="426">
        <v>2100</v>
      </c>
      <c r="AP41" s="426"/>
      <c r="AQ41" s="426"/>
      <c r="AR41" s="426"/>
      <c r="AS41" s="426"/>
      <c r="AT41" s="610"/>
    </row>
    <row r="42" spans="5:46">
      <c r="E42" s="311"/>
      <c r="F42" s="312"/>
      <c r="G42" s="312"/>
      <c r="H42" s="312"/>
      <c r="I42" s="312" t="s">
        <v>51</v>
      </c>
      <c r="J42" s="312"/>
      <c r="K42" s="312"/>
      <c r="L42" s="312"/>
      <c r="M42" s="312"/>
      <c r="N42" s="312"/>
      <c r="O42" s="312"/>
      <c r="P42" s="312"/>
      <c r="Q42" s="312"/>
      <c r="R42" s="312"/>
      <c r="S42" s="312"/>
      <c r="T42" s="312"/>
      <c r="U42" s="312"/>
      <c r="V42" s="312"/>
      <c r="W42" s="312"/>
      <c r="X42" s="312"/>
      <c r="Y42" s="312"/>
      <c r="Z42" s="312"/>
      <c r="AA42" s="312"/>
      <c r="AB42" s="525"/>
      <c r="AC42" s="426">
        <v>600</v>
      </c>
      <c r="AD42" s="426"/>
      <c r="AE42" s="426"/>
      <c r="AF42" s="426"/>
      <c r="AG42" s="426"/>
      <c r="AH42" s="448"/>
      <c r="AI42" s="593">
        <v>700</v>
      </c>
      <c r="AJ42" s="426"/>
      <c r="AK42" s="426"/>
      <c r="AL42" s="426"/>
      <c r="AM42" s="426"/>
      <c r="AN42" s="448"/>
      <c r="AO42" s="426">
        <v>800</v>
      </c>
      <c r="AP42" s="426"/>
      <c r="AQ42" s="426"/>
      <c r="AR42" s="426"/>
      <c r="AS42" s="426"/>
      <c r="AT42" s="610"/>
    </row>
    <row r="43" spans="5:46">
      <c r="E43" s="311"/>
      <c r="F43" s="312"/>
      <c r="G43" s="312"/>
      <c r="H43" s="312"/>
      <c r="I43" s="312" t="s">
        <v>52</v>
      </c>
      <c r="J43" s="312"/>
      <c r="K43" s="312"/>
      <c r="L43" s="312"/>
      <c r="M43" s="312"/>
      <c r="N43" s="312"/>
      <c r="O43" s="312"/>
      <c r="P43" s="312"/>
      <c r="Q43" s="312"/>
      <c r="R43" s="312"/>
      <c r="S43" s="312"/>
      <c r="T43" s="312"/>
      <c r="U43" s="312"/>
      <c r="V43" s="312"/>
      <c r="W43" s="312"/>
      <c r="X43" s="312"/>
      <c r="Y43" s="312"/>
      <c r="Z43" s="312"/>
      <c r="AA43" s="312"/>
      <c r="AB43" s="525"/>
      <c r="AC43" s="426"/>
      <c r="AD43" s="426"/>
      <c r="AE43" s="426"/>
      <c r="AF43" s="426"/>
      <c r="AG43" s="426"/>
      <c r="AH43" s="448"/>
      <c r="AI43" s="593"/>
      <c r="AJ43" s="426"/>
      <c r="AK43" s="426"/>
      <c r="AL43" s="426"/>
      <c r="AM43" s="426"/>
      <c r="AN43" s="448"/>
      <c r="AO43" s="426"/>
      <c r="AP43" s="426"/>
      <c r="AQ43" s="426"/>
      <c r="AR43" s="426"/>
      <c r="AS43" s="426"/>
      <c r="AT43" s="610"/>
    </row>
    <row r="44" spans="5:46">
      <c r="E44" s="311"/>
      <c r="F44" s="312"/>
      <c r="G44" s="312"/>
      <c r="H44" s="312"/>
      <c r="I44" s="312" t="s">
        <v>53</v>
      </c>
      <c r="J44" s="312"/>
      <c r="K44" s="312"/>
      <c r="L44" s="312"/>
      <c r="M44" s="312"/>
      <c r="N44" s="312"/>
      <c r="O44" s="312"/>
      <c r="P44" s="312"/>
      <c r="Q44" s="312"/>
      <c r="R44" s="312"/>
      <c r="S44" s="312"/>
      <c r="T44" s="312"/>
      <c r="U44" s="312"/>
      <c r="V44" s="312"/>
      <c r="W44" s="312"/>
      <c r="X44" s="312"/>
      <c r="Y44" s="312"/>
      <c r="Z44" s="312"/>
      <c r="AA44" s="312"/>
      <c r="AB44" s="525"/>
      <c r="AC44" s="426"/>
      <c r="AD44" s="426"/>
      <c r="AE44" s="426"/>
      <c r="AF44" s="426"/>
      <c r="AG44" s="426"/>
      <c r="AH44" s="448"/>
      <c r="AI44" s="593"/>
      <c r="AJ44" s="426"/>
      <c r="AK44" s="426"/>
      <c r="AL44" s="426"/>
      <c r="AM44" s="426"/>
      <c r="AN44" s="448"/>
      <c r="AO44" s="426"/>
      <c r="AP44" s="426"/>
      <c r="AQ44" s="426"/>
      <c r="AR44" s="426"/>
      <c r="AS44" s="426"/>
      <c r="AT44" s="610"/>
    </row>
    <row r="45" spans="5:46">
      <c r="E45" s="311"/>
      <c r="F45" s="312"/>
      <c r="G45" s="312"/>
      <c r="H45" s="312"/>
      <c r="I45" s="312" t="s">
        <v>54</v>
      </c>
      <c r="J45" s="312"/>
      <c r="K45" s="312"/>
      <c r="L45" s="312"/>
      <c r="M45" s="312"/>
      <c r="N45" s="312"/>
      <c r="O45" s="312"/>
      <c r="P45" s="312"/>
      <c r="Q45" s="312"/>
      <c r="R45" s="312"/>
      <c r="S45" s="312"/>
      <c r="T45" s="312"/>
      <c r="U45" s="312"/>
      <c r="V45" s="312"/>
      <c r="W45" s="312"/>
      <c r="X45" s="312"/>
      <c r="Y45" s="312"/>
      <c r="Z45" s="312"/>
      <c r="AA45" s="312"/>
      <c r="AB45" s="525"/>
      <c r="AC45" s="426"/>
      <c r="AD45" s="426"/>
      <c r="AE45" s="426"/>
      <c r="AF45" s="426"/>
      <c r="AG45" s="426"/>
      <c r="AH45" s="448"/>
      <c r="AI45" s="593"/>
      <c r="AJ45" s="426"/>
      <c r="AK45" s="426"/>
      <c r="AL45" s="426"/>
      <c r="AM45" s="426"/>
      <c r="AN45" s="448"/>
      <c r="AO45" s="426"/>
      <c r="AP45" s="426"/>
      <c r="AQ45" s="426"/>
      <c r="AR45" s="426"/>
      <c r="AS45" s="426"/>
      <c r="AT45" s="610"/>
    </row>
    <row r="46" spans="5:46">
      <c r="E46" s="311"/>
      <c r="F46" s="312"/>
      <c r="G46" s="312"/>
      <c r="H46" s="312"/>
      <c r="I46" s="312" t="s">
        <v>55</v>
      </c>
      <c r="J46" s="312"/>
      <c r="K46" s="312"/>
      <c r="L46" s="312"/>
      <c r="M46" s="312"/>
      <c r="N46" s="312"/>
      <c r="O46" s="312"/>
      <c r="P46" s="312"/>
      <c r="Q46" s="312"/>
      <c r="R46" s="312"/>
      <c r="S46" s="312"/>
      <c r="T46" s="312"/>
      <c r="U46" s="312"/>
      <c r="V46" s="312"/>
      <c r="W46" s="312"/>
      <c r="X46" s="312"/>
      <c r="Y46" s="312"/>
      <c r="Z46" s="312"/>
      <c r="AA46" s="312"/>
      <c r="AB46" s="525"/>
      <c r="AC46" s="426">
        <v>1800</v>
      </c>
      <c r="AD46" s="426"/>
      <c r="AE46" s="426"/>
      <c r="AF46" s="426"/>
      <c r="AG46" s="426"/>
      <c r="AH46" s="448"/>
      <c r="AI46" s="593">
        <v>2000</v>
      </c>
      <c r="AJ46" s="426"/>
      <c r="AK46" s="426"/>
      <c r="AL46" s="426"/>
      <c r="AM46" s="426"/>
      <c r="AN46" s="448"/>
      <c r="AO46" s="426">
        <v>2000</v>
      </c>
      <c r="AP46" s="426"/>
      <c r="AQ46" s="426"/>
      <c r="AR46" s="426"/>
      <c r="AS46" s="426"/>
      <c r="AT46" s="610"/>
    </row>
    <row r="47" spans="5:46">
      <c r="E47" s="311"/>
      <c r="F47" s="312"/>
      <c r="G47" s="312"/>
      <c r="H47" s="312"/>
      <c r="I47" s="312" t="s">
        <v>56</v>
      </c>
      <c r="J47" s="312"/>
      <c r="K47" s="312"/>
      <c r="L47" s="312"/>
      <c r="M47" s="312"/>
      <c r="N47" s="312"/>
      <c r="O47" s="312"/>
      <c r="P47" s="312"/>
      <c r="Q47" s="312"/>
      <c r="R47" s="312"/>
      <c r="S47" s="312"/>
      <c r="T47" s="312"/>
      <c r="U47" s="312"/>
      <c r="V47" s="312"/>
      <c r="W47" s="312"/>
      <c r="X47" s="312"/>
      <c r="Y47" s="312"/>
      <c r="Z47" s="312"/>
      <c r="AA47" s="312"/>
      <c r="AB47" s="525"/>
      <c r="AC47" s="426"/>
      <c r="AD47" s="426"/>
      <c r="AE47" s="426"/>
      <c r="AF47" s="426"/>
      <c r="AG47" s="426"/>
      <c r="AH47" s="448"/>
      <c r="AI47" s="593"/>
      <c r="AJ47" s="426"/>
      <c r="AK47" s="426"/>
      <c r="AL47" s="426"/>
      <c r="AM47" s="426"/>
      <c r="AN47" s="448"/>
      <c r="AO47" s="426"/>
      <c r="AP47" s="426"/>
      <c r="AQ47" s="426"/>
      <c r="AR47" s="426"/>
      <c r="AS47" s="426"/>
      <c r="AT47" s="610"/>
    </row>
    <row r="48" spans="5:46">
      <c r="E48" s="311"/>
      <c r="F48" s="312"/>
      <c r="G48" s="312"/>
      <c r="H48" s="312"/>
      <c r="I48" s="312" t="s">
        <v>57</v>
      </c>
      <c r="J48" s="312"/>
      <c r="K48" s="312"/>
      <c r="L48" s="312"/>
      <c r="M48" s="312"/>
      <c r="N48" s="312"/>
      <c r="O48" s="312"/>
      <c r="P48" s="312"/>
      <c r="Q48" s="312"/>
      <c r="R48" s="312"/>
      <c r="S48" s="312"/>
      <c r="T48" s="312"/>
      <c r="U48" s="312"/>
      <c r="V48" s="312"/>
      <c r="W48" s="312"/>
      <c r="X48" s="312"/>
      <c r="Y48" s="312"/>
      <c r="Z48" s="312"/>
      <c r="AA48" s="312"/>
      <c r="AB48" s="525"/>
      <c r="AC48" s="426"/>
      <c r="AD48" s="426"/>
      <c r="AE48" s="426"/>
      <c r="AF48" s="426"/>
      <c r="AG48" s="426"/>
      <c r="AH48" s="448"/>
      <c r="AI48" s="593"/>
      <c r="AJ48" s="426"/>
      <c r="AK48" s="426"/>
      <c r="AL48" s="426"/>
      <c r="AM48" s="426"/>
      <c r="AN48" s="448"/>
      <c r="AO48" s="426"/>
      <c r="AP48" s="426"/>
      <c r="AQ48" s="426"/>
      <c r="AR48" s="426"/>
      <c r="AS48" s="426"/>
      <c r="AT48" s="610"/>
    </row>
    <row r="49" spans="5:46">
      <c r="E49" s="311"/>
      <c r="F49" s="312"/>
      <c r="G49" s="312"/>
      <c r="H49" s="312"/>
      <c r="I49" s="312" t="s">
        <v>58</v>
      </c>
      <c r="J49" s="312"/>
      <c r="K49" s="312"/>
      <c r="L49" s="312"/>
      <c r="M49" s="312"/>
      <c r="N49" s="312"/>
      <c r="O49" s="312"/>
      <c r="P49" s="312"/>
      <c r="Q49" s="312"/>
      <c r="R49" s="312"/>
      <c r="S49" s="312"/>
      <c r="T49" s="312"/>
      <c r="U49" s="312"/>
      <c r="V49" s="312"/>
      <c r="W49" s="312"/>
      <c r="X49" s="312"/>
      <c r="Y49" s="312"/>
      <c r="Z49" s="312"/>
      <c r="AA49" s="312"/>
      <c r="AB49" s="525"/>
      <c r="AC49" s="426">
        <v>720</v>
      </c>
      <c r="AD49" s="426"/>
      <c r="AE49" s="426"/>
      <c r="AF49" s="426"/>
      <c r="AG49" s="426"/>
      <c r="AH49" s="448"/>
      <c r="AI49" s="593">
        <v>720</v>
      </c>
      <c r="AJ49" s="426"/>
      <c r="AK49" s="426"/>
      <c r="AL49" s="426"/>
      <c r="AM49" s="426"/>
      <c r="AN49" s="448"/>
      <c r="AO49" s="426">
        <v>720</v>
      </c>
      <c r="AP49" s="426"/>
      <c r="AQ49" s="426"/>
      <c r="AR49" s="426"/>
      <c r="AS49" s="426"/>
      <c r="AT49" s="610"/>
    </row>
    <row r="50" spans="5:46">
      <c r="E50" s="311"/>
      <c r="F50" s="312"/>
      <c r="G50" s="312"/>
      <c r="H50" s="312"/>
      <c r="I50" s="312" t="s">
        <v>59</v>
      </c>
      <c r="J50" s="312"/>
      <c r="K50" s="312"/>
      <c r="L50" s="312"/>
      <c r="M50" s="312"/>
      <c r="N50" s="312"/>
      <c r="O50" s="312"/>
      <c r="P50" s="312"/>
      <c r="Q50" s="312"/>
      <c r="R50" s="312"/>
      <c r="S50" s="312"/>
      <c r="T50" s="312"/>
      <c r="U50" s="312"/>
      <c r="V50" s="312"/>
      <c r="W50" s="312"/>
      <c r="X50" s="312"/>
      <c r="Y50" s="312"/>
      <c r="Z50" s="312"/>
      <c r="AA50" s="312"/>
      <c r="AB50" s="525"/>
      <c r="AC50" s="426"/>
      <c r="AD50" s="426"/>
      <c r="AE50" s="426"/>
      <c r="AF50" s="426"/>
      <c r="AG50" s="426"/>
      <c r="AH50" s="448"/>
      <c r="AI50" s="593"/>
      <c r="AJ50" s="426"/>
      <c r="AK50" s="426"/>
      <c r="AL50" s="426"/>
      <c r="AM50" s="426"/>
      <c r="AN50" s="448"/>
      <c r="AO50" s="426"/>
      <c r="AP50" s="426"/>
      <c r="AQ50" s="426"/>
      <c r="AR50" s="426"/>
      <c r="AS50" s="426"/>
      <c r="AT50" s="610"/>
    </row>
    <row r="51" spans="5:46">
      <c r="E51" s="311"/>
      <c r="F51" s="312"/>
      <c r="G51" s="312"/>
      <c r="H51" s="312"/>
      <c r="I51" s="570" t="s">
        <v>28</v>
      </c>
      <c r="J51" s="570"/>
      <c r="K51" s="570"/>
      <c r="L51" s="570"/>
      <c r="M51" s="570"/>
      <c r="N51" s="570"/>
      <c r="O51" s="570"/>
      <c r="P51" s="570"/>
      <c r="Q51" s="570"/>
      <c r="R51" s="570"/>
      <c r="S51" s="570"/>
      <c r="T51" s="570"/>
      <c r="U51" s="570"/>
      <c r="V51" s="570"/>
      <c r="W51" s="570"/>
      <c r="X51" s="570"/>
      <c r="Y51" s="570"/>
      <c r="Z51" s="570"/>
      <c r="AA51" s="570"/>
      <c r="AB51" s="577"/>
      <c r="AC51" s="586">
        <f>SUM(AC34:AH50)</f>
        <v>28770</v>
      </c>
      <c r="AD51" s="586"/>
      <c r="AE51" s="586"/>
      <c r="AF51" s="586"/>
      <c r="AG51" s="586"/>
      <c r="AH51" s="598"/>
      <c r="AI51" s="599">
        <f>SUM(AI34:AN50)</f>
        <v>29870</v>
      </c>
      <c r="AJ51" s="586"/>
      <c r="AK51" s="586"/>
      <c r="AL51" s="586"/>
      <c r="AM51" s="586"/>
      <c r="AN51" s="598"/>
      <c r="AO51" s="586">
        <f>SUM(AO34:AT50)</f>
        <v>31370</v>
      </c>
      <c r="AP51" s="586"/>
      <c r="AQ51" s="586"/>
      <c r="AR51" s="586"/>
      <c r="AS51" s="586"/>
      <c r="AT51" s="616"/>
    </row>
    <row r="52" ht="15" spans="5:46">
      <c r="E52" s="562"/>
      <c r="F52" s="506"/>
      <c r="G52" s="506"/>
      <c r="H52" s="506"/>
      <c r="I52" s="506"/>
      <c r="J52" s="506"/>
      <c r="K52" s="506"/>
      <c r="L52" s="506"/>
      <c r="M52" s="506"/>
      <c r="N52" s="506"/>
      <c r="O52" s="506"/>
      <c r="P52" s="506"/>
      <c r="Q52" s="506"/>
      <c r="R52" s="506"/>
      <c r="S52" s="506"/>
      <c r="T52" s="506"/>
      <c r="U52" s="506"/>
      <c r="V52" s="506"/>
      <c r="W52" s="506"/>
      <c r="X52" s="506"/>
      <c r="Y52" s="506"/>
      <c r="Z52" s="506"/>
      <c r="AA52" s="506"/>
      <c r="AB52" s="506"/>
      <c r="AC52" s="506"/>
      <c r="AD52" s="506"/>
      <c r="AE52" s="506"/>
      <c r="AF52" s="506"/>
      <c r="AG52" s="506"/>
      <c r="AH52" s="506"/>
      <c r="AI52" s="506"/>
      <c r="AJ52" s="506"/>
      <c r="AK52" s="506"/>
      <c r="AL52" s="506"/>
      <c r="AM52" s="506"/>
      <c r="AN52" s="506"/>
      <c r="AO52" s="506"/>
      <c r="AP52" s="506"/>
      <c r="AQ52" s="506"/>
      <c r="AR52" s="506"/>
      <c r="AS52" s="506"/>
      <c r="AT52" s="608"/>
    </row>
    <row r="53" ht="15" spans="5:46">
      <c r="E53" s="517" t="s">
        <v>60</v>
      </c>
      <c r="F53" s="518"/>
      <c r="G53" s="518"/>
      <c r="H53" s="518"/>
      <c r="I53" s="518"/>
      <c r="J53" s="518"/>
      <c r="K53" s="518"/>
      <c r="L53" s="518"/>
      <c r="M53" s="518"/>
      <c r="N53" s="518"/>
      <c r="O53" s="518"/>
      <c r="P53" s="518"/>
      <c r="Q53" s="518"/>
      <c r="R53" s="518"/>
      <c r="S53" s="518"/>
      <c r="T53" s="518"/>
      <c r="U53" s="518"/>
      <c r="V53" s="518"/>
      <c r="W53" s="518"/>
      <c r="X53" s="518"/>
      <c r="Y53" s="518"/>
      <c r="Z53" s="518"/>
      <c r="AA53" s="518"/>
      <c r="AB53" s="575"/>
      <c r="AC53" s="536">
        <f>SUM(AC20,AC31,AC51)</f>
        <v>79670</v>
      </c>
      <c r="AD53" s="536"/>
      <c r="AE53" s="536"/>
      <c r="AF53" s="536"/>
      <c r="AG53" s="536"/>
      <c r="AH53" s="543"/>
      <c r="AI53" s="544">
        <f>SUM(AI20,AI31,AI51)</f>
        <v>90370</v>
      </c>
      <c r="AJ53" s="536"/>
      <c r="AK53" s="536"/>
      <c r="AL53" s="536"/>
      <c r="AM53" s="536"/>
      <c r="AN53" s="543"/>
      <c r="AO53" s="544">
        <f>SUM(AO20,AO31,AO51)</f>
        <v>101670</v>
      </c>
      <c r="AP53" s="536"/>
      <c r="AQ53" s="536"/>
      <c r="AR53" s="536"/>
      <c r="AS53" s="536"/>
      <c r="AT53" s="550"/>
    </row>
    <row r="55" ht="15" spans="5:46">
      <c r="E55" s="522" t="s">
        <v>61</v>
      </c>
      <c r="F55" s="523"/>
      <c r="G55" s="523"/>
      <c r="H55" s="523"/>
      <c r="I55" s="523"/>
      <c r="J55" s="523"/>
      <c r="K55" s="523"/>
      <c r="L55" s="523"/>
      <c r="M55" s="523"/>
      <c r="N55" s="523"/>
      <c r="O55" s="523"/>
      <c r="P55" s="523"/>
      <c r="Q55" s="523"/>
      <c r="R55" s="523"/>
      <c r="S55" s="523"/>
      <c r="T55" s="523"/>
      <c r="U55" s="523"/>
      <c r="V55" s="523"/>
      <c r="W55" s="523"/>
      <c r="X55" s="523"/>
      <c r="Y55" s="523"/>
      <c r="Z55" s="523"/>
      <c r="AA55" s="523"/>
      <c r="AB55" s="523"/>
      <c r="AC55" s="538">
        <f>AC14-AC53</f>
        <v>21830</v>
      </c>
      <c r="AD55" s="539"/>
      <c r="AE55" s="539"/>
      <c r="AF55" s="539"/>
      <c r="AG55" s="539"/>
      <c r="AH55" s="545"/>
      <c r="AI55" s="538">
        <f>AI14-AI53</f>
        <v>31630</v>
      </c>
      <c r="AJ55" s="539"/>
      <c r="AK55" s="539"/>
      <c r="AL55" s="539"/>
      <c r="AM55" s="539"/>
      <c r="AN55" s="545"/>
      <c r="AO55" s="538">
        <f>AO14-AO53</f>
        <v>95030</v>
      </c>
      <c r="AP55" s="539"/>
      <c r="AQ55" s="539"/>
      <c r="AR55" s="539"/>
      <c r="AS55" s="539"/>
      <c r="AT55" s="545"/>
    </row>
    <row r="59" spans="5:46">
      <c r="E59" s="566" t="s">
        <v>62</v>
      </c>
      <c r="F59" s="567"/>
      <c r="G59" s="567"/>
      <c r="H59" s="567"/>
      <c r="I59" s="567"/>
      <c r="J59" s="567"/>
      <c r="K59" s="567"/>
      <c r="L59" s="567"/>
      <c r="M59" s="567"/>
      <c r="N59" s="567"/>
      <c r="O59" s="567"/>
      <c r="P59" s="567"/>
      <c r="Q59" s="567"/>
      <c r="R59" s="567"/>
      <c r="S59" s="567"/>
      <c r="T59" s="567"/>
      <c r="U59" s="567"/>
      <c r="V59" s="567"/>
      <c r="W59" s="567"/>
      <c r="X59" s="567"/>
      <c r="Y59" s="567"/>
      <c r="Z59" s="567"/>
      <c r="AA59" s="567"/>
      <c r="AB59" s="567"/>
      <c r="AC59" s="587"/>
      <c r="AD59" s="587"/>
      <c r="AE59" s="587"/>
      <c r="AF59" s="587"/>
      <c r="AG59" s="587"/>
      <c r="AH59" s="587"/>
      <c r="AI59" s="587"/>
      <c r="AJ59" s="587"/>
      <c r="AK59" s="587"/>
      <c r="AL59" s="587"/>
      <c r="AM59" s="587"/>
      <c r="AN59" s="587"/>
      <c r="AO59" s="587"/>
      <c r="AP59" s="587"/>
      <c r="AQ59" s="587"/>
      <c r="AR59" s="587"/>
      <c r="AS59" s="587"/>
      <c r="AT59" s="619"/>
    </row>
    <row r="60" spans="5:46">
      <c r="E60" s="568"/>
      <c r="F60" s="569"/>
      <c r="G60" s="569"/>
      <c r="H60" s="569"/>
      <c r="I60" s="569" t="s">
        <v>63</v>
      </c>
      <c r="J60" s="569"/>
      <c r="K60" s="569"/>
      <c r="L60" s="569"/>
      <c r="M60" s="569"/>
      <c r="N60" s="569"/>
      <c r="O60" s="569"/>
      <c r="P60" s="569"/>
      <c r="Q60" s="569"/>
      <c r="R60" s="569"/>
      <c r="S60" s="569"/>
      <c r="T60" s="569"/>
      <c r="U60" s="569"/>
      <c r="V60" s="569"/>
      <c r="W60" s="569"/>
      <c r="X60" s="569"/>
      <c r="Y60" s="569"/>
      <c r="Z60" s="569"/>
      <c r="AA60" s="569"/>
      <c r="AB60" s="578"/>
      <c r="AC60" s="588">
        <v>193257.230769231</v>
      </c>
      <c r="AD60" s="588"/>
      <c r="AE60" s="588"/>
      <c r="AF60" s="588"/>
      <c r="AG60" s="588"/>
      <c r="AH60" s="600"/>
      <c r="AI60" s="601">
        <v>193257.230769231</v>
      </c>
      <c r="AJ60" s="588"/>
      <c r="AK60" s="588"/>
      <c r="AL60" s="588"/>
      <c r="AM60" s="588"/>
      <c r="AN60" s="600"/>
      <c r="AO60" s="588">
        <v>193257.230769231</v>
      </c>
      <c r="AP60" s="588"/>
      <c r="AQ60" s="588"/>
      <c r="AR60" s="588"/>
      <c r="AS60" s="588"/>
      <c r="AT60" s="620"/>
    </row>
    <row r="61" spans="5:46">
      <c r="E61" s="568"/>
      <c r="F61" s="569"/>
      <c r="G61" s="569"/>
      <c r="H61" s="569"/>
      <c r="I61" s="569" t="s">
        <v>64</v>
      </c>
      <c r="J61" s="569"/>
      <c r="K61" s="569"/>
      <c r="L61" s="569"/>
      <c r="M61" s="569"/>
      <c r="N61" s="569"/>
      <c r="O61" s="569"/>
      <c r="P61" s="569"/>
      <c r="Q61" s="569"/>
      <c r="R61" s="569"/>
      <c r="S61" s="569"/>
      <c r="T61" s="569"/>
      <c r="U61" s="569"/>
      <c r="V61" s="569"/>
      <c r="W61" s="569"/>
      <c r="X61" s="569"/>
      <c r="Y61" s="569"/>
      <c r="Z61" s="569"/>
      <c r="AA61" s="569"/>
      <c r="AB61" s="578"/>
      <c r="AC61" s="588">
        <v>245164.615384615</v>
      </c>
      <c r="AD61" s="588"/>
      <c r="AE61" s="588"/>
      <c r="AF61" s="588"/>
      <c r="AG61" s="588"/>
      <c r="AH61" s="600"/>
      <c r="AI61" s="601">
        <v>245164.615384615</v>
      </c>
      <c r="AJ61" s="588"/>
      <c r="AK61" s="588"/>
      <c r="AL61" s="588"/>
      <c r="AM61" s="588"/>
      <c r="AN61" s="600"/>
      <c r="AO61" s="588">
        <v>245164.615384615</v>
      </c>
      <c r="AP61" s="588"/>
      <c r="AQ61" s="588"/>
      <c r="AR61" s="588"/>
      <c r="AS61" s="588"/>
      <c r="AT61" s="620"/>
    </row>
    <row r="62" spans="5:46">
      <c r="E62" s="568"/>
      <c r="F62" s="569"/>
      <c r="G62" s="569"/>
      <c r="H62" s="569"/>
      <c r="I62" s="569" t="s">
        <v>65</v>
      </c>
      <c r="J62" s="571"/>
      <c r="K62" s="571"/>
      <c r="L62" s="571"/>
      <c r="M62" s="571"/>
      <c r="N62" s="571"/>
      <c r="O62" s="571"/>
      <c r="P62" s="571"/>
      <c r="Q62" s="571"/>
      <c r="R62" s="571"/>
      <c r="S62" s="571"/>
      <c r="T62" s="571"/>
      <c r="U62" s="571"/>
      <c r="V62" s="571"/>
      <c r="W62" s="571"/>
      <c r="X62" s="571"/>
      <c r="Y62" s="571"/>
      <c r="Z62" s="571"/>
      <c r="AA62" s="571"/>
      <c r="AB62" s="579"/>
      <c r="AC62" s="588">
        <v>13113.2307692308</v>
      </c>
      <c r="AD62" s="588"/>
      <c r="AE62" s="588"/>
      <c r="AF62" s="588"/>
      <c r="AG62" s="588"/>
      <c r="AH62" s="600"/>
      <c r="AI62" s="601">
        <v>13113.2307692308</v>
      </c>
      <c r="AJ62" s="588"/>
      <c r="AK62" s="588"/>
      <c r="AL62" s="588"/>
      <c r="AM62" s="588"/>
      <c r="AN62" s="600"/>
      <c r="AO62" s="588">
        <v>13113.2307692308</v>
      </c>
      <c r="AP62" s="588"/>
      <c r="AQ62" s="588"/>
      <c r="AR62" s="588"/>
      <c r="AS62" s="588"/>
      <c r="AT62" s="620"/>
    </row>
    <row r="63" spans="5:46">
      <c r="E63" s="568"/>
      <c r="F63" s="569"/>
      <c r="G63" s="569"/>
      <c r="H63" s="569"/>
      <c r="I63" s="569" t="s">
        <v>66</v>
      </c>
      <c r="J63" s="569"/>
      <c r="K63" s="569"/>
      <c r="L63" s="569"/>
      <c r="M63" s="569"/>
      <c r="N63" s="569"/>
      <c r="O63" s="569"/>
      <c r="P63" s="569"/>
      <c r="Q63" s="569"/>
      <c r="R63" s="569"/>
      <c r="S63" s="569"/>
      <c r="T63" s="569"/>
      <c r="U63" s="569"/>
      <c r="V63" s="569"/>
      <c r="W63" s="569"/>
      <c r="X63" s="569"/>
      <c r="Y63" s="569"/>
      <c r="Z63" s="569"/>
      <c r="AA63" s="569"/>
      <c r="AB63" s="578"/>
      <c r="AC63" s="588">
        <v>75092.3076923077</v>
      </c>
      <c r="AD63" s="588"/>
      <c r="AE63" s="588"/>
      <c r="AF63" s="588"/>
      <c r="AG63" s="588"/>
      <c r="AH63" s="600"/>
      <c r="AI63" s="601">
        <v>75092.3076923077</v>
      </c>
      <c r="AJ63" s="588"/>
      <c r="AK63" s="588"/>
      <c r="AL63" s="588"/>
      <c r="AM63" s="588"/>
      <c r="AN63" s="600"/>
      <c r="AO63" s="588">
        <v>75092.3076923077</v>
      </c>
      <c r="AP63" s="588"/>
      <c r="AQ63" s="588"/>
      <c r="AR63" s="588"/>
      <c r="AS63" s="588"/>
      <c r="AT63" s="620"/>
    </row>
    <row r="64" spans="5:46">
      <c r="E64" s="568"/>
      <c r="F64" s="569"/>
      <c r="G64" s="569"/>
      <c r="H64" s="569"/>
      <c r="I64" s="569" t="s">
        <v>67</v>
      </c>
      <c r="J64" s="569"/>
      <c r="K64" s="569"/>
      <c r="L64" s="569"/>
      <c r="M64" s="569"/>
      <c r="N64" s="569"/>
      <c r="O64" s="569"/>
      <c r="P64" s="569"/>
      <c r="Q64" s="569"/>
      <c r="R64" s="569"/>
      <c r="S64" s="569"/>
      <c r="T64" s="569"/>
      <c r="U64" s="569"/>
      <c r="V64" s="569"/>
      <c r="W64" s="569"/>
      <c r="X64" s="569"/>
      <c r="Y64" s="569"/>
      <c r="Z64" s="569"/>
      <c r="AA64" s="569"/>
      <c r="AB64" s="578"/>
      <c r="AC64" s="588">
        <v>3395.07692307692</v>
      </c>
      <c r="AD64" s="588"/>
      <c r="AE64" s="588"/>
      <c r="AF64" s="588"/>
      <c r="AG64" s="588"/>
      <c r="AH64" s="600"/>
      <c r="AI64" s="601">
        <v>3395.07692307692</v>
      </c>
      <c r="AJ64" s="588"/>
      <c r="AK64" s="588"/>
      <c r="AL64" s="588"/>
      <c r="AM64" s="588"/>
      <c r="AN64" s="600"/>
      <c r="AO64" s="588">
        <v>3395.07692307692</v>
      </c>
      <c r="AP64" s="588"/>
      <c r="AQ64" s="588"/>
      <c r="AR64" s="588"/>
      <c r="AS64" s="588"/>
      <c r="AT64" s="620"/>
    </row>
    <row r="65" spans="5:46">
      <c r="E65" s="568"/>
      <c r="F65" s="569"/>
      <c r="G65" s="569"/>
      <c r="H65" s="569"/>
      <c r="I65" s="569" t="s">
        <v>68</v>
      </c>
      <c r="J65" s="569"/>
      <c r="K65" s="569"/>
      <c r="L65" s="569"/>
      <c r="M65" s="569"/>
      <c r="N65" s="569"/>
      <c r="O65" s="569"/>
      <c r="P65" s="569"/>
      <c r="Q65" s="569"/>
      <c r="R65" s="569"/>
      <c r="S65" s="569"/>
      <c r="T65" s="569"/>
      <c r="U65" s="569"/>
      <c r="V65" s="569"/>
      <c r="W65" s="569"/>
      <c r="X65" s="569"/>
      <c r="Y65" s="569"/>
      <c r="Z65" s="569"/>
      <c r="AA65" s="569"/>
      <c r="AB65" s="578"/>
      <c r="AC65" s="588">
        <v>0</v>
      </c>
      <c r="AD65" s="588"/>
      <c r="AE65" s="588"/>
      <c r="AF65" s="588"/>
      <c r="AG65" s="588"/>
      <c r="AH65" s="600"/>
      <c r="AI65" s="601">
        <v>0</v>
      </c>
      <c r="AJ65" s="588"/>
      <c r="AK65" s="588"/>
      <c r="AL65" s="588"/>
      <c r="AM65" s="588"/>
      <c r="AN65" s="600"/>
      <c r="AO65" s="588">
        <v>0</v>
      </c>
      <c r="AP65" s="588"/>
      <c r="AQ65" s="588"/>
      <c r="AR65" s="588"/>
      <c r="AS65" s="588"/>
      <c r="AT65" s="620"/>
    </row>
    <row r="66" spans="5:46">
      <c r="E66" s="568"/>
      <c r="F66" s="569"/>
      <c r="G66" s="569"/>
      <c r="H66" s="569"/>
      <c r="I66" s="569" t="s">
        <v>69</v>
      </c>
      <c r="J66" s="569"/>
      <c r="K66" s="569"/>
      <c r="L66" s="569"/>
      <c r="M66" s="569"/>
      <c r="N66" s="569"/>
      <c r="O66" s="569"/>
      <c r="P66" s="569"/>
      <c r="Q66" s="569"/>
      <c r="R66" s="569"/>
      <c r="S66" s="569"/>
      <c r="T66" s="569"/>
      <c r="U66" s="569"/>
      <c r="V66" s="569"/>
      <c r="W66" s="569"/>
      <c r="X66" s="569"/>
      <c r="Y66" s="569"/>
      <c r="Z66" s="569"/>
      <c r="AA66" s="569"/>
      <c r="AB66" s="578"/>
      <c r="AC66" s="588">
        <v>409846.153846154</v>
      </c>
      <c r="AD66" s="588"/>
      <c r="AE66" s="588"/>
      <c r="AF66" s="588"/>
      <c r="AG66" s="588"/>
      <c r="AH66" s="600"/>
      <c r="AI66" s="601">
        <v>409846.153846154</v>
      </c>
      <c r="AJ66" s="588"/>
      <c r="AK66" s="588"/>
      <c r="AL66" s="588"/>
      <c r="AM66" s="588"/>
      <c r="AN66" s="600"/>
      <c r="AO66" s="588">
        <v>409846.153846154</v>
      </c>
      <c r="AP66" s="588"/>
      <c r="AQ66" s="588"/>
      <c r="AR66" s="588"/>
      <c r="AS66" s="588"/>
      <c r="AT66" s="620"/>
    </row>
    <row r="67" spans="5:46">
      <c r="E67" s="568"/>
      <c r="F67" s="569"/>
      <c r="G67" s="569"/>
      <c r="H67" s="569"/>
      <c r="I67" s="569" t="s">
        <v>70</v>
      </c>
      <c r="J67" s="569"/>
      <c r="K67" s="569"/>
      <c r="L67" s="569"/>
      <c r="M67" s="569"/>
      <c r="N67" s="569"/>
      <c r="O67" s="569"/>
      <c r="P67" s="569"/>
      <c r="Q67" s="569"/>
      <c r="R67" s="569"/>
      <c r="S67" s="569"/>
      <c r="T67" s="569"/>
      <c r="U67" s="569"/>
      <c r="V67" s="569"/>
      <c r="W67" s="569"/>
      <c r="X67" s="569"/>
      <c r="Y67" s="569"/>
      <c r="Z67" s="569"/>
      <c r="AA67" s="569"/>
      <c r="AB67" s="578"/>
      <c r="AC67" s="588">
        <v>0</v>
      </c>
      <c r="AD67" s="588"/>
      <c r="AE67" s="588"/>
      <c r="AF67" s="588"/>
      <c r="AG67" s="588"/>
      <c r="AH67" s="600"/>
      <c r="AI67" s="601">
        <v>0</v>
      </c>
      <c r="AJ67" s="588"/>
      <c r="AK67" s="588"/>
      <c r="AL67" s="588"/>
      <c r="AM67" s="588"/>
      <c r="AN67" s="600"/>
      <c r="AO67" s="588">
        <v>0</v>
      </c>
      <c r="AP67" s="588"/>
      <c r="AQ67" s="588"/>
      <c r="AR67" s="588"/>
      <c r="AS67" s="588"/>
      <c r="AT67" s="620"/>
    </row>
    <row r="68" ht="15" spans="5:46">
      <c r="E68" s="639"/>
      <c r="F68" s="640"/>
      <c r="G68" s="640"/>
      <c r="H68" s="640"/>
      <c r="I68" s="640" t="s">
        <v>71</v>
      </c>
      <c r="J68" s="640"/>
      <c r="K68" s="640"/>
      <c r="L68" s="640"/>
      <c r="M68" s="640"/>
      <c r="N68" s="640"/>
      <c r="O68" s="640"/>
      <c r="P68" s="640"/>
      <c r="Q68" s="640"/>
      <c r="R68" s="640"/>
      <c r="S68" s="640"/>
      <c r="T68" s="640"/>
      <c r="U68" s="640"/>
      <c r="V68" s="640"/>
      <c r="W68" s="640"/>
      <c r="X68" s="640"/>
      <c r="Y68" s="640"/>
      <c r="Z68" s="640"/>
      <c r="AA68" s="640"/>
      <c r="AB68" s="640"/>
      <c r="AC68" s="651">
        <v>0</v>
      </c>
      <c r="AD68" s="652"/>
      <c r="AE68" s="652"/>
      <c r="AF68" s="652"/>
      <c r="AG68" s="652"/>
      <c r="AH68" s="656"/>
      <c r="AI68" s="657">
        <v>0</v>
      </c>
      <c r="AJ68" s="658"/>
      <c r="AK68" s="658"/>
      <c r="AL68" s="658"/>
      <c r="AM68" s="658"/>
      <c r="AN68" s="663"/>
      <c r="AO68" s="658">
        <v>0</v>
      </c>
      <c r="AP68" s="658"/>
      <c r="AQ68" s="658"/>
      <c r="AR68" s="658"/>
      <c r="AS68" s="658"/>
      <c r="AT68" s="664"/>
    </row>
    <row r="69" ht="15" spans="5:46">
      <c r="E69" s="641" t="s">
        <v>72</v>
      </c>
      <c r="F69" s="642"/>
      <c r="G69" s="642"/>
      <c r="H69" s="642"/>
      <c r="I69" s="642"/>
      <c r="J69" s="642"/>
      <c r="K69" s="642"/>
      <c r="L69" s="642"/>
      <c r="M69" s="642"/>
      <c r="N69" s="642"/>
      <c r="O69" s="642"/>
      <c r="P69" s="642"/>
      <c r="Q69" s="642"/>
      <c r="R69" s="642"/>
      <c r="S69" s="642"/>
      <c r="T69" s="642"/>
      <c r="U69" s="642"/>
      <c r="V69" s="642"/>
      <c r="W69" s="642"/>
      <c r="X69" s="642"/>
      <c r="Y69" s="642"/>
      <c r="Z69" s="642"/>
      <c r="AA69" s="642"/>
      <c r="AB69" s="649"/>
      <c r="AC69" s="653">
        <f>SUM(AC60:AH68)</f>
        <v>939868.615384615</v>
      </c>
      <c r="AD69" s="653"/>
      <c r="AE69" s="653"/>
      <c r="AF69" s="653"/>
      <c r="AG69" s="653"/>
      <c r="AH69" s="659"/>
      <c r="AI69" s="653">
        <f>SUM(AI60:AN68)</f>
        <v>939868.615384615</v>
      </c>
      <c r="AJ69" s="653"/>
      <c r="AK69" s="653"/>
      <c r="AL69" s="653"/>
      <c r="AM69" s="653"/>
      <c r="AN69" s="659"/>
      <c r="AO69" s="653">
        <f>SUM(AO60:AT68)</f>
        <v>939868.615384615</v>
      </c>
      <c r="AP69" s="653"/>
      <c r="AQ69" s="653"/>
      <c r="AR69" s="653"/>
      <c r="AS69" s="653"/>
      <c r="AT69" s="665"/>
    </row>
    <row r="70" ht="15" spans="5:46">
      <c r="E70" s="643"/>
      <c r="F70" s="643"/>
      <c r="G70" s="643"/>
      <c r="H70" s="643"/>
      <c r="I70" s="643"/>
      <c r="J70" s="643"/>
      <c r="K70" s="643"/>
      <c r="L70" s="643"/>
      <c r="M70" s="643"/>
      <c r="N70" s="643"/>
      <c r="O70" s="643"/>
      <c r="P70" s="643"/>
      <c r="Q70" s="643"/>
      <c r="R70" s="643"/>
      <c r="S70" s="643"/>
      <c r="T70" s="643"/>
      <c r="U70" s="643"/>
      <c r="V70" s="643"/>
      <c r="W70" s="643"/>
      <c r="X70" s="643"/>
      <c r="Y70" s="643"/>
      <c r="Z70" s="643"/>
      <c r="AA70" s="643"/>
      <c r="AB70" s="643"/>
      <c r="AC70" s="643"/>
      <c r="AD70" s="643"/>
      <c r="AE70" s="643"/>
      <c r="AF70" s="643"/>
      <c r="AG70" s="643"/>
      <c r="AH70" s="643"/>
      <c r="AI70" s="643"/>
      <c r="AJ70" s="643"/>
      <c r="AK70" s="643"/>
      <c r="AL70" s="643"/>
      <c r="AM70" s="643"/>
      <c r="AN70" s="643"/>
      <c r="AO70" s="643"/>
      <c r="AP70" s="643"/>
      <c r="AQ70" s="643"/>
      <c r="AR70" s="643"/>
      <c r="AS70" s="643"/>
      <c r="AT70" s="643"/>
    </row>
    <row r="71" spans="5:46">
      <c r="E71" s="566" t="s">
        <v>73</v>
      </c>
      <c r="F71" s="567"/>
      <c r="G71" s="567"/>
      <c r="H71" s="567"/>
      <c r="I71" s="567"/>
      <c r="J71" s="567"/>
      <c r="K71" s="567"/>
      <c r="L71" s="567"/>
      <c r="M71" s="567"/>
      <c r="N71" s="567"/>
      <c r="O71" s="567"/>
      <c r="P71" s="567"/>
      <c r="Q71" s="567"/>
      <c r="R71" s="567"/>
      <c r="S71" s="567"/>
      <c r="T71" s="567"/>
      <c r="U71" s="567"/>
      <c r="V71" s="567"/>
      <c r="W71" s="567"/>
      <c r="X71" s="567"/>
      <c r="Y71" s="567"/>
      <c r="Z71" s="567"/>
      <c r="AA71" s="567"/>
      <c r="AB71" s="567"/>
      <c r="AC71" s="587"/>
      <c r="AD71" s="587"/>
      <c r="AE71" s="587"/>
      <c r="AF71" s="587"/>
      <c r="AG71" s="587"/>
      <c r="AH71" s="587"/>
      <c r="AI71" s="587"/>
      <c r="AJ71" s="587"/>
      <c r="AK71" s="587"/>
      <c r="AL71" s="587"/>
      <c r="AM71" s="587"/>
      <c r="AN71" s="587"/>
      <c r="AO71" s="587"/>
      <c r="AP71" s="587"/>
      <c r="AQ71" s="587"/>
      <c r="AR71" s="587"/>
      <c r="AS71" s="587"/>
      <c r="AT71" s="619"/>
    </row>
    <row r="72" spans="5:46">
      <c r="E72" s="568"/>
      <c r="F72" s="569"/>
      <c r="G72" s="569"/>
      <c r="H72" s="569"/>
      <c r="I72" s="569" t="s">
        <v>74</v>
      </c>
      <c r="J72" s="569"/>
      <c r="K72" s="569"/>
      <c r="L72" s="569"/>
      <c r="M72" s="569"/>
      <c r="N72" s="569"/>
      <c r="O72" s="569"/>
      <c r="P72" s="569"/>
      <c r="Q72" s="569"/>
      <c r="R72" s="569"/>
      <c r="S72" s="569"/>
      <c r="T72" s="569"/>
      <c r="U72" s="569"/>
      <c r="V72" s="569"/>
      <c r="W72" s="569"/>
      <c r="X72" s="569"/>
      <c r="Y72" s="569"/>
      <c r="Z72" s="569"/>
      <c r="AA72" s="569"/>
      <c r="AB72" s="578"/>
      <c r="AC72" s="654">
        <v>179869</v>
      </c>
      <c r="AD72" s="588"/>
      <c r="AE72" s="588"/>
      <c r="AF72" s="588"/>
      <c r="AG72" s="588"/>
      <c r="AH72" s="600"/>
      <c r="AI72" s="601">
        <v>179869</v>
      </c>
      <c r="AJ72" s="588"/>
      <c r="AK72" s="588"/>
      <c r="AL72" s="588"/>
      <c r="AM72" s="588"/>
      <c r="AN72" s="600"/>
      <c r="AO72" s="601">
        <v>179869</v>
      </c>
      <c r="AP72" s="588"/>
      <c r="AQ72" s="588"/>
      <c r="AR72" s="588"/>
      <c r="AS72" s="588"/>
      <c r="AT72" s="620"/>
    </row>
    <row r="73" spans="5:46">
      <c r="E73" s="568"/>
      <c r="F73" s="569"/>
      <c r="G73" s="569"/>
      <c r="H73" s="569"/>
      <c r="I73" s="569" t="s">
        <v>75</v>
      </c>
      <c r="J73" s="569"/>
      <c r="K73" s="569"/>
      <c r="L73" s="569"/>
      <c r="M73" s="569"/>
      <c r="N73" s="569"/>
      <c r="O73" s="569"/>
      <c r="P73" s="569"/>
      <c r="Q73" s="569"/>
      <c r="R73" s="569"/>
      <c r="S73" s="569"/>
      <c r="T73" s="569"/>
      <c r="U73" s="569"/>
      <c r="V73" s="569"/>
      <c r="W73" s="569"/>
      <c r="X73" s="569"/>
      <c r="Y73" s="569"/>
      <c r="Z73" s="569"/>
      <c r="AA73" s="569"/>
      <c r="AB73" s="578"/>
      <c r="AC73" s="654">
        <v>0</v>
      </c>
      <c r="AD73" s="588"/>
      <c r="AE73" s="588"/>
      <c r="AF73" s="588"/>
      <c r="AG73" s="588"/>
      <c r="AH73" s="600"/>
      <c r="AI73" s="601">
        <v>0</v>
      </c>
      <c r="AJ73" s="588"/>
      <c r="AK73" s="588"/>
      <c r="AL73" s="588"/>
      <c r="AM73" s="588"/>
      <c r="AN73" s="600"/>
      <c r="AO73" s="601">
        <v>0</v>
      </c>
      <c r="AP73" s="588"/>
      <c r="AQ73" s="588"/>
      <c r="AR73" s="588"/>
      <c r="AS73" s="588"/>
      <c r="AT73" s="620"/>
    </row>
    <row r="74" ht="15" spans="5:46">
      <c r="E74" s="639"/>
      <c r="F74" s="640"/>
      <c r="G74" s="640"/>
      <c r="H74" s="640"/>
      <c r="I74" s="640" t="s">
        <v>71</v>
      </c>
      <c r="J74" s="640"/>
      <c r="K74" s="640"/>
      <c r="L74" s="640"/>
      <c r="M74" s="640"/>
      <c r="N74" s="640"/>
      <c r="O74" s="640"/>
      <c r="P74" s="640"/>
      <c r="Q74" s="640"/>
      <c r="R74" s="640"/>
      <c r="S74" s="640"/>
      <c r="T74" s="640"/>
      <c r="U74" s="640"/>
      <c r="V74" s="640"/>
      <c r="W74" s="640"/>
      <c r="X74" s="640"/>
      <c r="Y74" s="640"/>
      <c r="Z74" s="640"/>
      <c r="AA74" s="640"/>
      <c r="AB74" s="640"/>
      <c r="AC74" s="651">
        <v>0</v>
      </c>
      <c r="AD74" s="652"/>
      <c r="AE74" s="652"/>
      <c r="AF74" s="652"/>
      <c r="AG74" s="652"/>
      <c r="AH74" s="656"/>
      <c r="AI74" s="660">
        <v>0</v>
      </c>
      <c r="AJ74" s="652"/>
      <c r="AK74" s="652"/>
      <c r="AL74" s="652"/>
      <c r="AM74" s="652"/>
      <c r="AN74" s="656"/>
      <c r="AO74" s="660">
        <v>0</v>
      </c>
      <c r="AP74" s="652"/>
      <c r="AQ74" s="652"/>
      <c r="AR74" s="652"/>
      <c r="AS74" s="652"/>
      <c r="AT74" s="666"/>
    </row>
    <row r="75" ht="15" spans="5:46">
      <c r="E75" s="641" t="s">
        <v>76</v>
      </c>
      <c r="F75" s="644"/>
      <c r="G75" s="644"/>
      <c r="H75" s="644"/>
      <c r="I75" s="644"/>
      <c r="J75" s="644"/>
      <c r="K75" s="644"/>
      <c r="L75" s="644"/>
      <c r="M75" s="644"/>
      <c r="N75" s="644"/>
      <c r="O75" s="644"/>
      <c r="P75" s="644"/>
      <c r="Q75" s="644"/>
      <c r="R75" s="644"/>
      <c r="S75" s="644"/>
      <c r="T75" s="644"/>
      <c r="U75" s="644"/>
      <c r="V75" s="644"/>
      <c r="W75" s="644"/>
      <c r="X75" s="644"/>
      <c r="Y75" s="644"/>
      <c r="Z75" s="644"/>
      <c r="AA75" s="644"/>
      <c r="AB75" s="650"/>
      <c r="AC75" s="653">
        <f>SUM(AC72:AH74)</f>
        <v>179869</v>
      </c>
      <c r="AD75" s="653"/>
      <c r="AE75" s="653"/>
      <c r="AF75" s="653"/>
      <c r="AG75" s="653"/>
      <c r="AH75" s="659"/>
      <c r="AI75" s="661">
        <f>SUM(AI72:AN74)</f>
        <v>179869</v>
      </c>
      <c r="AJ75" s="653"/>
      <c r="AK75" s="653"/>
      <c r="AL75" s="653"/>
      <c r="AM75" s="653"/>
      <c r="AN75" s="659"/>
      <c r="AO75" s="661">
        <f>SUM(AO72:AT74)</f>
        <v>179869</v>
      </c>
      <c r="AP75" s="653"/>
      <c r="AQ75" s="653"/>
      <c r="AR75" s="653"/>
      <c r="AS75" s="653"/>
      <c r="AT75" s="665"/>
    </row>
    <row r="76" ht="15" spans="5:46">
      <c r="E76" s="643"/>
      <c r="F76" s="643"/>
      <c r="G76" s="643"/>
      <c r="H76" s="643"/>
      <c r="I76" s="643"/>
      <c r="J76" s="643"/>
      <c r="K76" s="643"/>
      <c r="L76" s="643"/>
      <c r="M76" s="643"/>
      <c r="N76" s="643"/>
      <c r="O76" s="643"/>
      <c r="P76" s="643"/>
      <c r="Q76" s="643"/>
      <c r="R76" s="643"/>
      <c r="S76" s="643"/>
      <c r="T76" s="643"/>
      <c r="U76" s="643"/>
      <c r="V76" s="643"/>
      <c r="W76" s="643"/>
      <c r="X76" s="643"/>
      <c r="Y76" s="643"/>
      <c r="Z76" s="643"/>
      <c r="AA76" s="643"/>
      <c r="AB76" s="643"/>
      <c r="AC76" s="643"/>
      <c r="AD76" s="643"/>
      <c r="AE76" s="643"/>
      <c r="AF76" s="643"/>
      <c r="AG76" s="643"/>
      <c r="AH76" s="643"/>
      <c r="AI76" s="643"/>
      <c r="AJ76" s="643"/>
      <c r="AK76" s="643"/>
      <c r="AL76" s="643"/>
      <c r="AM76" s="643"/>
      <c r="AN76" s="643"/>
      <c r="AO76" s="643"/>
      <c r="AP76" s="643"/>
      <c r="AQ76" s="643"/>
      <c r="AR76" s="643"/>
      <c r="AS76" s="643"/>
      <c r="AT76" s="643"/>
    </row>
    <row r="77" spans="5:46">
      <c r="E77" s="566" t="s">
        <v>77</v>
      </c>
      <c r="F77" s="645"/>
      <c r="G77" s="645"/>
      <c r="H77" s="645"/>
      <c r="I77" s="645"/>
      <c r="J77" s="645"/>
      <c r="K77" s="645"/>
      <c r="L77" s="645"/>
      <c r="M77" s="645"/>
      <c r="N77" s="645"/>
      <c r="O77" s="645"/>
      <c r="P77" s="645"/>
      <c r="Q77" s="645"/>
      <c r="R77" s="645"/>
      <c r="S77" s="645"/>
      <c r="T77" s="645"/>
      <c r="U77" s="645"/>
      <c r="V77" s="645"/>
      <c r="W77" s="645"/>
      <c r="X77" s="645"/>
      <c r="Y77" s="645"/>
      <c r="Z77" s="645"/>
      <c r="AA77" s="645"/>
      <c r="AB77" s="645"/>
      <c r="AC77" s="587"/>
      <c r="AD77" s="587"/>
      <c r="AE77" s="587"/>
      <c r="AF77" s="587"/>
      <c r="AG77" s="587"/>
      <c r="AH77" s="587"/>
      <c r="AI77" s="587"/>
      <c r="AJ77" s="587"/>
      <c r="AK77" s="587"/>
      <c r="AL77" s="587"/>
      <c r="AM77" s="587"/>
      <c r="AN77" s="587"/>
      <c r="AO77" s="587"/>
      <c r="AP77" s="587"/>
      <c r="AQ77" s="587"/>
      <c r="AR77" s="587"/>
      <c r="AS77" s="587"/>
      <c r="AT77" s="619"/>
    </row>
    <row r="78" spans="5:46">
      <c r="E78" s="646"/>
      <c r="F78" s="647"/>
      <c r="G78" s="648" t="s">
        <v>78</v>
      </c>
      <c r="H78" s="647"/>
      <c r="I78" s="647"/>
      <c r="J78" s="647"/>
      <c r="K78" s="647"/>
      <c r="L78" s="647"/>
      <c r="M78" s="647"/>
      <c r="N78" s="647"/>
      <c r="O78" s="647"/>
      <c r="P78" s="647"/>
      <c r="Q78" s="647"/>
      <c r="R78" s="647"/>
      <c r="S78" s="647"/>
      <c r="T78" s="647"/>
      <c r="U78" s="647"/>
      <c r="V78" s="647"/>
      <c r="W78" s="647"/>
      <c r="X78" s="647"/>
      <c r="Y78" s="647"/>
      <c r="Z78" s="647"/>
      <c r="AA78" s="647"/>
      <c r="AB78" s="647"/>
      <c r="AC78" s="533"/>
      <c r="AD78" s="533"/>
      <c r="AE78" s="533"/>
      <c r="AF78" s="533"/>
      <c r="AG78" s="533"/>
      <c r="AH78" s="533"/>
      <c r="AI78" s="533"/>
      <c r="AJ78" s="533"/>
      <c r="AK78" s="533"/>
      <c r="AL78" s="533"/>
      <c r="AM78" s="533"/>
      <c r="AN78" s="533"/>
      <c r="AO78" s="533"/>
      <c r="AP78" s="533"/>
      <c r="AQ78" s="533"/>
      <c r="AR78" s="533"/>
      <c r="AS78" s="533"/>
      <c r="AT78" s="667"/>
    </row>
    <row r="79" spans="5:46">
      <c r="E79" s="568"/>
      <c r="F79" s="569"/>
      <c r="G79" s="571"/>
      <c r="H79" s="569"/>
      <c r="I79" s="569" t="s">
        <v>79</v>
      </c>
      <c r="J79" s="569"/>
      <c r="K79" s="569"/>
      <c r="L79" s="569"/>
      <c r="M79" s="569"/>
      <c r="N79" s="569"/>
      <c r="O79" s="569"/>
      <c r="P79" s="569"/>
      <c r="Q79" s="569"/>
      <c r="R79" s="569"/>
      <c r="S79" s="569"/>
      <c r="T79" s="569"/>
      <c r="U79" s="569"/>
      <c r="V79" s="569"/>
      <c r="W79" s="569"/>
      <c r="X79" s="569"/>
      <c r="Y79" s="569"/>
      <c r="Z79" s="569"/>
      <c r="AA79" s="569"/>
      <c r="AB79" s="578"/>
      <c r="AC79" s="588">
        <v>29744.4166666661</v>
      </c>
      <c r="AD79" s="588"/>
      <c r="AE79" s="588"/>
      <c r="AF79" s="588"/>
      <c r="AG79" s="588"/>
      <c r="AH79" s="600"/>
      <c r="AI79" s="601">
        <v>10386</v>
      </c>
      <c r="AJ79" s="588"/>
      <c r="AK79" s="588"/>
      <c r="AL79" s="588"/>
      <c r="AM79" s="588"/>
      <c r="AN79" s="600"/>
      <c r="AO79" s="601">
        <v>27577</v>
      </c>
      <c r="AP79" s="588"/>
      <c r="AQ79" s="588"/>
      <c r="AR79" s="588"/>
      <c r="AS79" s="588"/>
      <c r="AT79" s="620"/>
    </row>
    <row r="80" spans="5:46">
      <c r="E80" s="568"/>
      <c r="F80" s="569"/>
      <c r="G80" s="569"/>
      <c r="H80" s="569"/>
      <c r="I80" s="569" t="s">
        <v>80</v>
      </c>
      <c r="J80" s="569"/>
      <c r="K80" s="569"/>
      <c r="L80" s="569"/>
      <c r="M80" s="569"/>
      <c r="N80" s="569"/>
      <c r="O80" s="569"/>
      <c r="P80" s="569"/>
      <c r="Q80" s="569"/>
      <c r="R80" s="569"/>
      <c r="S80" s="569"/>
      <c r="T80" s="569"/>
      <c r="U80" s="569"/>
      <c r="V80" s="569"/>
      <c r="W80" s="569"/>
      <c r="X80" s="569"/>
      <c r="Y80" s="569"/>
      <c r="Z80" s="569"/>
      <c r="AA80" s="569"/>
      <c r="AB80" s="578"/>
      <c r="AC80" s="588">
        <v>0</v>
      </c>
      <c r="AD80" s="588"/>
      <c r="AE80" s="588"/>
      <c r="AF80" s="588"/>
      <c r="AG80" s="588"/>
      <c r="AH80" s="600"/>
      <c r="AI80" s="601">
        <v>0</v>
      </c>
      <c r="AJ80" s="588"/>
      <c r="AK80" s="588"/>
      <c r="AL80" s="588"/>
      <c r="AM80" s="588"/>
      <c r="AN80" s="600"/>
      <c r="AO80" s="601">
        <v>0</v>
      </c>
      <c r="AP80" s="588"/>
      <c r="AQ80" s="588"/>
      <c r="AR80" s="588"/>
      <c r="AS80" s="588"/>
      <c r="AT80" s="620"/>
    </row>
    <row r="81" spans="5:46">
      <c r="E81" s="568"/>
      <c r="F81" s="569"/>
      <c r="G81" s="569"/>
      <c r="H81" s="569"/>
      <c r="I81" s="569" t="s">
        <v>81</v>
      </c>
      <c r="J81" s="569"/>
      <c r="K81" s="569"/>
      <c r="L81" s="569"/>
      <c r="M81" s="569"/>
      <c r="N81" s="569"/>
      <c r="O81" s="569"/>
      <c r="P81" s="569"/>
      <c r="Q81" s="569"/>
      <c r="R81" s="569"/>
      <c r="S81" s="569"/>
      <c r="T81" s="569"/>
      <c r="U81" s="569"/>
      <c r="V81" s="569"/>
      <c r="W81" s="569"/>
      <c r="X81" s="569"/>
      <c r="Y81" s="569"/>
      <c r="Z81" s="569"/>
      <c r="AA81" s="569"/>
      <c r="AB81" s="578"/>
      <c r="AC81" s="588">
        <v>26791.6666666667</v>
      </c>
      <c r="AD81" s="588"/>
      <c r="AE81" s="588"/>
      <c r="AF81" s="588"/>
      <c r="AG81" s="588"/>
      <c r="AH81" s="600"/>
      <c r="AI81" s="601">
        <v>24112.5</v>
      </c>
      <c r="AJ81" s="588"/>
      <c r="AK81" s="588"/>
      <c r="AL81" s="588"/>
      <c r="AM81" s="588"/>
      <c r="AN81" s="600"/>
      <c r="AO81" s="601">
        <v>16075</v>
      </c>
      <c r="AP81" s="588"/>
      <c r="AQ81" s="588"/>
      <c r="AR81" s="588"/>
      <c r="AS81" s="588"/>
      <c r="AT81" s="620"/>
    </row>
    <row r="82" spans="5:46">
      <c r="E82" s="646"/>
      <c r="F82" s="647"/>
      <c r="G82" s="648" t="s">
        <v>82</v>
      </c>
      <c r="H82" s="647"/>
      <c r="I82" s="647"/>
      <c r="J82" s="647"/>
      <c r="K82" s="647"/>
      <c r="L82" s="647"/>
      <c r="M82" s="647"/>
      <c r="N82" s="647"/>
      <c r="O82" s="647"/>
      <c r="P82" s="647"/>
      <c r="Q82" s="647"/>
      <c r="R82" s="647"/>
      <c r="S82" s="647"/>
      <c r="T82" s="647"/>
      <c r="U82" s="647"/>
      <c r="V82" s="647"/>
      <c r="W82" s="647"/>
      <c r="X82" s="647"/>
      <c r="Y82" s="647"/>
      <c r="Z82" s="647"/>
      <c r="AA82" s="647"/>
      <c r="AB82" s="647"/>
      <c r="AC82" s="533"/>
      <c r="AD82" s="533"/>
      <c r="AE82" s="533"/>
      <c r="AF82" s="533"/>
      <c r="AG82" s="533"/>
      <c r="AH82" s="533"/>
      <c r="AI82" s="533"/>
      <c r="AJ82" s="533"/>
      <c r="AK82" s="533"/>
      <c r="AL82" s="533"/>
      <c r="AM82" s="533"/>
      <c r="AN82" s="533"/>
      <c r="AO82" s="533"/>
      <c r="AP82" s="533"/>
      <c r="AQ82" s="533"/>
      <c r="AR82" s="533"/>
      <c r="AS82" s="533"/>
      <c r="AT82" s="667"/>
    </row>
    <row r="83" spans="5:46">
      <c r="E83" s="568"/>
      <c r="F83" s="569"/>
      <c r="G83" s="569"/>
      <c r="H83" s="569"/>
      <c r="I83" s="569" t="s">
        <v>83</v>
      </c>
      <c r="J83" s="571"/>
      <c r="K83" s="571"/>
      <c r="L83" s="571"/>
      <c r="M83" s="571"/>
      <c r="N83" s="571"/>
      <c r="O83" s="571"/>
      <c r="P83" s="571"/>
      <c r="Q83" s="571"/>
      <c r="R83" s="571"/>
      <c r="S83" s="571"/>
      <c r="T83" s="571"/>
      <c r="U83" s="571"/>
      <c r="V83" s="571"/>
      <c r="W83" s="571"/>
      <c r="X83" s="571"/>
      <c r="Y83" s="571"/>
      <c r="Z83" s="571"/>
      <c r="AA83" s="571"/>
      <c r="AB83" s="571"/>
      <c r="AC83" s="654">
        <v>0</v>
      </c>
      <c r="AD83" s="588"/>
      <c r="AE83" s="588"/>
      <c r="AF83" s="588"/>
      <c r="AG83" s="588"/>
      <c r="AH83" s="600"/>
      <c r="AI83" s="601">
        <v>0</v>
      </c>
      <c r="AJ83" s="588"/>
      <c r="AK83" s="588"/>
      <c r="AL83" s="588"/>
      <c r="AM83" s="588"/>
      <c r="AN83" s="600"/>
      <c r="AO83" s="588">
        <v>0</v>
      </c>
      <c r="AP83" s="588"/>
      <c r="AQ83" s="588"/>
      <c r="AR83" s="588"/>
      <c r="AS83" s="588"/>
      <c r="AT83" s="620"/>
    </row>
    <row r="84" spans="5:46">
      <c r="E84" s="568"/>
      <c r="F84" s="569"/>
      <c r="G84" s="569"/>
      <c r="H84" s="569"/>
      <c r="I84" s="569" t="s">
        <v>84</v>
      </c>
      <c r="J84" s="569"/>
      <c r="K84" s="569"/>
      <c r="L84" s="569"/>
      <c r="M84" s="569"/>
      <c r="N84" s="569"/>
      <c r="O84" s="569"/>
      <c r="P84" s="569"/>
      <c r="Q84" s="569"/>
      <c r="R84" s="569"/>
      <c r="S84" s="569"/>
      <c r="T84" s="569"/>
      <c r="U84" s="569"/>
      <c r="V84" s="569"/>
      <c r="W84" s="569"/>
      <c r="X84" s="569"/>
      <c r="Y84" s="569"/>
      <c r="Z84" s="569"/>
      <c r="AA84" s="569"/>
      <c r="AB84" s="569"/>
      <c r="AC84" s="654">
        <v>15135</v>
      </c>
      <c r="AD84" s="588"/>
      <c r="AE84" s="588"/>
      <c r="AF84" s="588"/>
      <c r="AG84" s="588"/>
      <c r="AH84" s="600"/>
      <c r="AI84" s="601">
        <v>15135</v>
      </c>
      <c r="AJ84" s="588"/>
      <c r="AK84" s="588"/>
      <c r="AL84" s="588"/>
      <c r="AM84" s="588"/>
      <c r="AN84" s="600"/>
      <c r="AO84" s="588">
        <v>15135</v>
      </c>
      <c r="AP84" s="588"/>
      <c r="AQ84" s="588"/>
      <c r="AR84" s="588"/>
      <c r="AS84" s="588"/>
      <c r="AT84" s="620"/>
    </row>
    <row r="85" spans="5:46">
      <c r="E85" s="568"/>
      <c r="F85" s="569"/>
      <c r="G85" s="569"/>
      <c r="H85" s="569"/>
      <c r="I85" s="569" t="s">
        <v>85</v>
      </c>
      <c r="J85" s="569"/>
      <c r="K85" s="569"/>
      <c r="L85" s="569"/>
      <c r="M85" s="569"/>
      <c r="N85" s="569"/>
      <c r="O85" s="569"/>
      <c r="P85" s="569"/>
      <c r="Q85" s="569"/>
      <c r="R85" s="569"/>
      <c r="S85" s="569"/>
      <c r="T85" s="569"/>
      <c r="U85" s="569"/>
      <c r="V85" s="569"/>
      <c r="W85" s="569"/>
      <c r="X85" s="569"/>
      <c r="Y85" s="569"/>
      <c r="Z85" s="569"/>
      <c r="AA85" s="569"/>
      <c r="AB85" s="569"/>
      <c r="AC85" s="654">
        <v>24302</v>
      </c>
      <c r="AD85" s="588"/>
      <c r="AE85" s="588"/>
      <c r="AF85" s="588"/>
      <c r="AG85" s="588"/>
      <c r="AH85" s="600"/>
      <c r="AI85" s="601">
        <v>24302</v>
      </c>
      <c r="AJ85" s="588"/>
      <c r="AK85" s="588"/>
      <c r="AL85" s="588"/>
      <c r="AM85" s="588"/>
      <c r="AN85" s="600"/>
      <c r="AO85" s="588">
        <v>24302</v>
      </c>
      <c r="AP85" s="588"/>
      <c r="AQ85" s="588"/>
      <c r="AR85" s="588"/>
      <c r="AS85" s="588"/>
      <c r="AT85" s="620"/>
    </row>
    <row r="86" spans="5:46">
      <c r="E86" s="568"/>
      <c r="F86" s="569"/>
      <c r="G86" s="569"/>
      <c r="H86" s="569"/>
      <c r="I86" s="569" t="s">
        <v>86</v>
      </c>
      <c r="J86" s="569"/>
      <c r="K86" s="569"/>
      <c r="L86" s="569"/>
      <c r="M86" s="569"/>
      <c r="N86" s="569"/>
      <c r="O86" s="569"/>
      <c r="P86" s="569"/>
      <c r="Q86" s="569"/>
      <c r="R86" s="569"/>
      <c r="S86" s="569"/>
      <c r="T86" s="569"/>
      <c r="U86" s="569"/>
      <c r="V86" s="569"/>
      <c r="W86" s="569"/>
      <c r="X86" s="569"/>
      <c r="Y86" s="569"/>
      <c r="Z86" s="569"/>
      <c r="AA86" s="569"/>
      <c r="AB86" s="569"/>
      <c r="AC86" s="654">
        <v>0</v>
      </c>
      <c r="AD86" s="588"/>
      <c r="AE86" s="588"/>
      <c r="AF86" s="588"/>
      <c r="AG86" s="588"/>
      <c r="AH86" s="600"/>
      <c r="AI86" s="601">
        <v>0</v>
      </c>
      <c r="AJ86" s="588"/>
      <c r="AK86" s="588"/>
      <c r="AL86" s="588"/>
      <c r="AM86" s="588"/>
      <c r="AN86" s="600"/>
      <c r="AO86" s="588">
        <v>0</v>
      </c>
      <c r="AP86" s="588"/>
      <c r="AQ86" s="588"/>
      <c r="AR86" s="588"/>
      <c r="AS86" s="588"/>
      <c r="AT86" s="620"/>
    </row>
    <row r="87" ht="15" spans="5:46">
      <c r="E87" s="639"/>
      <c r="F87" s="640"/>
      <c r="G87" s="640"/>
      <c r="H87" s="640"/>
      <c r="I87" s="640" t="s">
        <v>71</v>
      </c>
      <c r="J87" s="640"/>
      <c r="K87" s="640"/>
      <c r="L87" s="640"/>
      <c r="M87" s="640"/>
      <c r="N87" s="640"/>
      <c r="O87" s="640"/>
      <c r="P87" s="640"/>
      <c r="Q87" s="640"/>
      <c r="R87" s="640"/>
      <c r="S87" s="640"/>
      <c r="T87" s="640"/>
      <c r="U87" s="640"/>
      <c r="V87" s="640"/>
      <c r="W87" s="640"/>
      <c r="X87" s="640"/>
      <c r="Y87" s="640"/>
      <c r="Z87" s="640"/>
      <c r="AA87" s="640"/>
      <c r="AB87" s="640"/>
      <c r="AC87" s="651">
        <v>0</v>
      </c>
      <c r="AD87" s="652"/>
      <c r="AE87" s="652"/>
      <c r="AF87" s="652"/>
      <c r="AG87" s="652"/>
      <c r="AH87" s="656"/>
      <c r="AI87" s="657">
        <v>0</v>
      </c>
      <c r="AJ87" s="658"/>
      <c r="AK87" s="658"/>
      <c r="AL87" s="658"/>
      <c r="AM87" s="658"/>
      <c r="AN87" s="663"/>
      <c r="AO87" s="658">
        <v>0</v>
      </c>
      <c r="AP87" s="658"/>
      <c r="AQ87" s="658"/>
      <c r="AR87" s="658"/>
      <c r="AS87" s="658"/>
      <c r="AT87" s="664"/>
    </row>
    <row r="88" ht="15" spans="5:46">
      <c r="E88" s="641" t="s">
        <v>87</v>
      </c>
      <c r="F88" s="644"/>
      <c r="G88" s="644"/>
      <c r="H88" s="644"/>
      <c r="I88" s="644"/>
      <c r="J88" s="644"/>
      <c r="K88" s="644"/>
      <c r="L88" s="644"/>
      <c r="M88" s="644"/>
      <c r="N88" s="644"/>
      <c r="O88" s="644"/>
      <c r="P88" s="644"/>
      <c r="Q88" s="644"/>
      <c r="R88" s="644"/>
      <c r="S88" s="644"/>
      <c r="T88" s="644"/>
      <c r="U88" s="644"/>
      <c r="V88" s="644"/>
      <c r="W88" s="644"/>
      <c r="X88" s="644"/>
      <c r="Y88" s="644"/>
      <c r="Z88" s="644"/>
      <c r="AA88" s="644"/>
      <c r="AB88" s="650"/>
      <c r="AC88" s="653">
        <f>SUM(AC83:AH87)-SUM(AC79:AH81)</f>
        <v>-17099.0833333328</v>
      </c>
      <c r="AD88" s="653"/>
      <c r="AE88" s="653"/>
      <c r="AF88" s="653"/>
      <c r="AG88" s="653"/>
      <c r="AH88" s="659"/>
      <c r="AI88" s="653">
        <f>SUM(AI83:AN87)-SUM(AI79:AN81)</f>
        <v>4938.5</v>
      </c>
      <c r="AJ88" s="653"/>
      <c r="AK88" s="653"/>
      <c r="AL88" s="653"/>
      <c r="AM88" s="653"/>
      <c r="AN88" s="659"/>
      <c r="AO88" s="653">
        <f>SUM(AO83:AT87)-SUM(AO79:AT81)</f>
        <v>-4215</v>
      </c>
      <c r="AP88" s="653"/>
      <c r="AQ88" s="653"/>
      <c r="AR88" s="653"/>
      <c r="AS88" s="653"/>
      <c r="AT88" s="659"/>
    </row>
    <row r="89" ht="15" spans="5:46">
      <c r="E89" s="643"/>
      <c r="F89" s="643"/>
      <c r="G89" s="643"/>
      <c r="H89" s="643"/>
      <c r="I89" s="643"/>
      <c r="J89" s="643"/>
      <c r="K89" s="643"/>
      <c r="L89" s="643"/>
      <c r="M89" s="643"/>
      <c r="N89" s="643"/>
      <c r="O89" s="643"/>
      <c r="P89" s="643"/>
      <c r="Q89" s="643"/>
      <c r="R89" s="643"/>
      <c r="S89" s="643"/>
      <c r="T89" s="643"/>
      <c r="U89" s="643"/>
      <c r="V89" s="643"/>
      <c r="W89" s="643"/>
      <c r="X89" s="643"/>
      <c r="Y89" s="643"/>
      <c r="Z89" s="643"/>
      <c r="AA89" s="643"/>
      <c r="AB89" s="643"/>
      <c r="AC89" s="643"/>
      <c r="AD89" s="643"/>
      <c r="AE89" s="643"/>
      <c r="AF89" s="643"/>
      <c r="AG89" s="643"/>
      <c r="AH89" s="643"/>
      <c r="AI89" s="643"/>
      <c r="AJ89" s="643"/>
      <c r="AK89" s="643"/>
      <c r="AL89" s="643"/>
      <c r="AM89" s="643"/>
      <c r="AN89" s="643"/>
      <c r="AO89" s="643"/>
      <c r="AP89" s="643"/>
      <c r="AQ89" s="643"/>
      <c r="AR89" s="643"/>
      <c r="AS89" s="643"/>
      <c r="AT89" s="643"/>
    </row>
    <row r="90" spans="5:46">
      <c r="E90" s="566" t="s">
        <v>88</v>
      </c>
      <c r="F90" s="567"/>
      <c r="G90" s="567"/>
      <c r="H90" s="567"/>
      <c r="I90" s="567"/>
      <c r="J90" s="567"/>
      <c r="K90" s="567"/>
      <c r="L90" s="567"/>
      <c r="M90" s="567"/>
      <c r="N90" s="567"/>
      <c r="O90" s="567"/>
      <c r="P90" s="567"/>
      <c r="Q90" s="567"/>
      <c r="R90" s="567"/>
      <c r="S90" s="567"/>
      <c r="T90" s="567"/>
      <c r="U90" s="567"/>
      <c r="V90" s="567"/>
      <c r="W90" s="567"/>
      <c r="X90" s="567"/>
      <c r="Y90" s="567"/>
      <c r="Z90" s="567"/>
      <c r="AA90" s="567"/>
      <c r="AB90" s="567"/>
      <c r="AC90" s="587"/>
      <c r="AD90" s="587"/>
      <c r="AE90" s="587"/>
      <c r="AF90" s="587"/>
      <c r="AG90" s="587"/>
      <c r="AH90" s="587"/>
      <c r="AI90" s="587"/>
      <c r="AJ90" s="587"/>
      <c r="AK90" s="587"/>
      <c r="AL90" s="587"/>
      <c r="AM90" s="587"/>
      <c r="AN90" s="587"/>
      <c r="AO90" s="587"/>
      <c r="AP90" s="587"/>
      <c r="AQ90" s="587"/>
      <c r="AR90" s="587"/>
      <c r="AS90" s="587"/>
      <c r="AT90" s="619"/>
    </row>
    <row r="91" spans="5:46">
      <c r="E91" s="568"/>
      <c r="F91" s="569"/>
      <c r="G91" s="569"/>
      <c r="H91" s="569"/>
      <c r="I91" s="569" t="s">
        <v>89</v>
      </c>
      <c r="J91" s="569"/>
      <c r="K91" s="569"/>
      <c r="L91" s="569"/>
      <c r="M91" s="569"/>
      <c r="N91" s="569"/>
      <c r="O91" s="569"/>
      <c r="P91" s="569"/>
      <c r="Q91" s="569"/>
      <c r="R91" s="569"/>
      <c r="S91" s="569"/>
      <c r="T91" s="569"/>
      <c r="U91" s="569"/>
      <c r="V91" s="569"/>
      <c r="W91" s="569"/>
      <c r="X91" s="569"/>
      <c r="Y91" s="569"/>
      <c r="Z91" s="569"/>
      <c r="AA91" s="569"/>
      <c r="AB91" s="578"/>
      <c r="AC91" s="588">
        <v>0</v>
      </c>
      <c r="AD91" s="588"/>
      <c r="AE91" s="588"/>
      <c r="AF91" s="588"/>
      <c r="AG91" s="588"/>
      <c r="AH91" s="600"/>
      <c r="AI91" s="601">
        <v>0</v>
      </c>
      <c r="AJ91" s="588"/>
      <c r="AK91" s="588"/>
      <c r="AL91" s="588"/>
      <c r="AM91" s="588"/>
      <c r="AN91" s="600"/>
      <c r="AO91" s="601">
        <v>0</v>
      </c>
      <c r="AP91" s="588"/>
      <c r="AQ91" s="588"/>
      <c r="AR91" s="588"/>
      <c r="AS91" s="588"/>
      <c r="AT91" s="620"/>
    </row>
    <row r="92" spans="5:46">
      <c r="E92" s="568"/>
      <c r="F92" s="569"/>
      <c r="G92" s="569"/>
      <c r="H92" s="569"/>
      <c r="I92" s="569" t="s">
        <v>90</v>
      </c>
      <c r="J92" s="569"/>
      <c r="K92" s="569"/>
      <c r="L92" s="569"/>
      <c r="M92" s="569"/>
      <c r="N92" s="569"/>
      <c r="O92" s="569"/>
      <c r="P92" s="569"/>
      <c r="Q92" s="569"/>
      <c r="R92" s="569"/>
      <c r="S92" s="569"/>
      <c r="T92" s="569"/>
      <c r="U92" s="569"/>
      <c r="V92" s="569"/>
      <c r="W92" s="569"/>
      <c r="X92" s="569"/>
      <c r="Y92" s="569"/>
      <c r="Z92" s="569"/>
      <c r="AA92" s="569"/>
      <c r="AB92" s="578"/>
      <c r="AC92" s="588">
        <v>0</v>
      </c>
      <c r="AD92" s="588"/>
      <c r="AE92" s="588"/>
      <c r="AF92" s="588"/>
      <c r="AG92" s="588"/>
      <c r="AH92" s="600"/>
      <c r="AI92" s="601">
        <v>0</v>
      </c>
      <c r="AJ92" s="588"/>
      <c r="AK92" s="588"/>
      <c r="AL92" s="588"/>
      <c r="AM92" s="588"/>
      <c r="AN92" s="600"/>
      <c r="AO92" s="601">
        <v>0</v>
      </c>
      <c r="AP92" s="588"/>
      <c r="AQ92" s="588"/>
      <c r="AR92" s="588"/>
      <c r="AS92" s="588"/>
      <c r="AT92" s="620"/>
    </row>
    <row r="93" spans="5:46">
      <c r="E93" s="568"/>
      <c r="F93" s="569"/>
      <c r="G93" s="569"/>
      <c r="H93" s="569"/>
      <c r="I93" s="569" t="s">
        <v>91</v>
      </c>
      <c r="J93" s="569"/>
      <c r="K93" s="569"/>
      <c r="L93" s="569"/>
      <c r="M93" s="569"/>
      <c r="N93" s="569"/>
      <c r="O93" s="569"/>
      <c r="P93" s="569"/>
      <c r="Q93" s="569"/>
      <c r="R93" s="569"/>
      <c r="S93" s="569"/>
      <c r="T93" s="569"/>
      <c r="U93" s="569"/>
      <c r="V93" s="569"/>
      <c r="W93" s="569"/>
      <c r="X93" s="569"/>
      <c r="Y93" s="569"/>
      <c r="Z93" s="569"/>
      <c r="AA93" s="569"/>
      <c r="AB93" s="578"/>
      <c r="AC93" s="588">
        <v>6275</v>
      </c>
      <c r="AD93" s="588"/>
      <c r="AE93" s="588"/>
      <c r="AF93" s="588"/>
      <c r="AG93" s="588"/>
      <c r="AH93" s="600"/>
      <c r="AI93" s="601">
        <v>6275</v>
      </c>
      <c r="AJ93" s="588"/>
      <c r="AK93" s="588"/>
      <c r="AL93" s="588"/>
      <c r="AM93" s="588"/>
      <c r="AN93" s="600"/>
      <c r="AO93" s="588">
        <v>6275</v>
      </c>
      <c r="AP93" s="588"/>
      <c r="AQ93" s="588"/>
      <c r="AR93" s="588"/>
      <c r="AS93" s="588"/>
      <c r="AT93" s="620"/>
    </row>
    <row r="94" ht="15" spans="5:46">
      <c r="E94" s="639"/>
      <c r="F94" s="640"/>
      <c r="G94" s="640"/>
      <c r="H94" s="640"/>
      <c r="I94" s="640" t="s">
        <v>92</v>
      </c>
      <c r="J94" s="640"/>
      <c r="K94" s="640"/>
      <c r="L94" s="640"/>
      <c r="M94" s="640"/>
      <c r="N94" s="640"/>
      <c r="O94" s="640"/>
      <c r="P94" s="640"/>
      <c r="Q94" s="640"/>
      <c r="R94" s="640"/>
      <c r="S94" s="640"/>
      <c r="T94" s="640"/>
      <c r="U94" s="640"/>
      <c r="V94" s="640"/>
      <c r="W94" s="640"/>
      <c r="X94" s="640"/>
      <c r="Y94" s="640"/>
      <c r="Z94" s="640"/>
      <c r="AA94" s="640"/>
      <c r="AB94" s="640"/>
      <c r="AC94" s="651">
        <v>0</v>
      </c>
      <c r="AD94" s="652"/>
      <c r="AE94" s="652"/>
      <c r="AF94" s="652"/>
      <c r="AG94" s="652"/>
      <c r="AH94" s="656"/>
      <c r="AI94" s="657">
        <v>0</v>
      </c>
      <c r="AJ94" s="658"/>
      <c r="AK94" s="658"/>
      <c r="AL94" s="658"/>
      <c r="AM94" s="658"/>
      <c r="AN94" s="663"/>
      <c r="AO94" s="658">
        <v>0</v>
      </c>
      <c r="AP94" s="658"/>
      <c r="AQ94" s="658"/>
      <c r="AR94" s="658"/>
      <c r="AS94" s="658"/>
      <c r="AT94" s="664"/>
    </row>
    <row r="95" ht="15" spans="5:46">
      <c r="E95" s="641" t="s">
        <v>93</v>
      </c>
      <c r="F95" s="644"/>
      <c r="G95" s="644"/>
      <c r="H95" s="644"/>
      <c r="I95" s="644"/>
      <c r="J95" s="644"/>
      <c r="K95" s="644"/>
      <c r="L95" s="644"/>
      <c r="M95" s="644"/>
      <c r="N95" s="644"/>
      <c r="O95" s="644"/>
      <c r="P95" s="644"/>
      <c r="Q95" s="644"/>
      <c r="R95" s="644"/>
      <c r="S95" s="644"/>
      <c r="T95" s="644"/>
      <c r="U95" s="644"/>
      <c r="V95" s="644"/>
      <c r="W95" s="644"/>
      <c r="X95" s="644"/>
      <c r="Y95" s="644"/>
      <c r="Z95" s="644"/>
      <c r="AA95" s="644"/>
      <c r="AB95" s="650"/>
      <c r="AC95" s="653">
        <f>SUM(AC91:AH94)</f>
        <v>6275</v>
      </c>
      <c r="AD95" s="653"/>
      <c r="AE95" s="653"/>
      <c r="AF95" s="653"/>
      <c r="AG95" s="653"/>
      <c r="AH95" s="659"/>
      <c r="AI95" s="661">
        <f>SUM(AI91:AN94)</f>
        <v>6275</v>
      </c>
      <c r="AJ95" s="653"/>
      <c r="AK95" s="653"/>
      <c r="AL95" s="653"/>
      <c r="AM95" s="653"/>
      <c r="AN95" s="659"/>
      <c r="AO95" s="661">
        <f>SUM(AO91:AT94)</f>
        <v>6275</v>
      </c>
      <c r="AP95" s="653"/>
      <c r="AQ95" s="653"/>
      <c r="AR95" s="653"/>
      <c r="AS95" s="653"/>
      <c r="AT95" s="665"/>
    </row>
    <row r="96" ht="15" spans="5:46">
      <c r="E96" s="643"/>
      <c r="F96" s="643"/>
      <c r="G96" s="643"/>
      <c r="H96" s="643"/>
      <c r="I96" s="643"/>
      <c r="J96" s="643"/>
      <c r="K96" s="643"/>
      <c r="L96" s="643"/>
      <c r="M96" s="643"/>
      <c r="N96" s="643"/>
      <c r="O96" s="643"/>
      <c r="P96" s="643"/>
      <c r="Q96" s="643"/>
      <c r="R96" s="643"/>
      <c r="S96" s="643"/>
      <c r="T96" s="643"/>
      <c r="U96" s="643"/>
      <c r="V96" s="643"/>
      <c r="W96" s="643"/>
      <c r="X96" s="643"/>
      <c r="Y96" s="643"/>
      <c r="Z96" s="643"/>
      <c r="AA96" s="643"/>
      <c r="AB96" s="643"/>
      <c r="AC96" s="643"/>
      <c r="AD96" s="643"/>
      <c r="AE96" s="643"/>
      <c r="AF96" s="643"/>
      <c r="AG96" s="643"/>
      <c r="AH96" s="643"/>
      <c r="AI96" s="643"/>
      <c r="AJ96" s="643"/>
      <c r="AK96" s="643"/>
      <c r="AL96" s="643"/>
      <c r="AM96" s="643"/>
      <c r="AN96" s="643"/>
      <c r="AO96" s="643"/>
      <c r="AP96" s="643"/>
      <c r="AQ96" s="643"/>
      <c r="AR96" s="643"/>
      <c r="AS96" s="643"/>
      <c r="AT96" s="643"/>
    </row>
    <row r="97" spans="5:46">
      <c r="E97" s="566" t="s">
        <v>94</v>
      </c>
      <c r="F97" s="645"/>
      <c r="G97" s="645"/>
      <c r="H97" s="645"/>
      <c r="I97" s="645"/>
      <c r="J97" s="645"/>
      <c r="K97" s="645"/>
      <c r="L97" s="645"/>
      <c r="M97" s="645"/>
      <c r="N97" s="645"/>
      <c r="O97" s="645"/>
      <c r="P97" s="645"/>
      <c r="Q97" s="645"/>
      <c r="R97" s="645"/>
      <c r="S97" s="645"/>
      <c r="T97" s="645"/>
      <c r="U97" s="645"/>
      <c r="V97" s="645"/>
      <c r="W97" s="645"/>
      <c r="X97" s="645"/>
      <c r="Y97" s="645"/>
      <c r="Z97" s="645"/>
      <c r="AA97" s="645"/>
      <c r="AB97" s="645"/>
      <c r="AC97" s="587"/>
      <c r="AD97" s="587"/>
      <c r="AE97" s="587"/>
      <c r="AF97" s="587"/>
      <c r="AG97" s="587"/>
      <c r="AH97" s="587"/>
      <c r="AI97" s="587"/>
      <c r="AJ97" s="587"/>
      <c r="AK97" s="587"/>
      <c r="AL97" s="587"/>
      <c r="AM97" s="587"/>
      <c r="AN97" s="587"/>
      <c r="AO97" s="587"/>
      <c r="AP97" s="587"/>
      <c r="AQ97" s="587"/>
      <c r="AR97" s="587"/>
      <c r="AS97" s="587"/>
      <c r="AT97" s="619"/>
    </row>
    <row r="98" spans="5:46">
      <c r="E98" s="568"/>
      <c r="F98" s="569"/>
      <c r="G98" s="569"/>
      <c r="H98" s="569"/>
      <c r="I98" s="569" t="s">
        <v>95</v>
      </c>
      <c r="J98" s="569"/>
      <c r="K98" s="569"/>
      <c r="L98" s="569"/>
      <c r="M98" s="569"/>
      <c r="N98" s="569"/>
      <c r="O98" s="569"/>
      <c r="P98" s="569"/>
      <c r="Q98" s="569"/>
      <c r="R98" s="569"/>
      <c r="S98" s="569"/>
      <c r="T98" s="569"/>
      <c r="U98" s="569"/>
      <c r="V98" s="569"/>
      <c r="W98" s="569"/>
      <c r="X98" s="569"/>
      <c r="Y98" s="569"/>
      <c r="Z98" s="569"/>
      <c r="AA98" s="569"/>
      <c r="AB98" s="578"/>
      <c r="AC98" s="655">
        <f>AC55-AC69-AC75-AC88-AC95</f>
        <v>-1087083.53205128</v>
      </c>
      <c r="AD98" s="655"/>
      <c r="AE98" s="655"/>
      <c r="AF98" s="655"/>
      <c r="AG98" s="655"/>
      <c r="AH98" s="662"/>
      <c r="AI98" s="655">
        <f>AI55-AI69-AI75-AI88-AI95</f>
        <v>-1099321.11538462</v>
      </c>
      <c r="AJ98" s="655"/>
      <c r="AK98" s="655"/>
      <c r="AL98" s="655"/>
      <c r="AM98" s="655"/>
      <c r="AN98" s="662"/>
      <c r="AO98" s="655">
        <f>AO55-AO69-AO75-AO88-AO95</f>
        <v>-1026767.61538462</v>
      </c>
      <c r="AP98" s="655"/>
      <c r="AQ98" s="655"/>
      <c r="AR98" s="655"/>
      <c r="AS98" s="655"/>
      <c r="AT98" s="662"/>
    </row>
    <row r="99" ht="15" spans="5:46">
      <c r="E99" s="643"/>
      <c r="F99" s="643"/>
      <c r="G99" s="643"/>
      <c r="H99" s="643"/>
      <c r="I99" s="643"/>
      <c r="J99" s="643"/>
      <c r="K99" s="643"/>
      <c r="L99" s="643"/>
      <c r="M99" s="643"/>
      <c r="N99" s="643"/>
      <c r="O99" s="643"/>
      <c r="P99" s="643"/>
      <c r="Q99" s="643"/>
      <c r="R99" s="643"/>
      <c r="S99" s="643"/>
      <c r="T99" s="643"/>
      <c r="U99" s="643"/>
      <c r="V99" s="643"/>
      <c r="W99" s="643"/>
      <c r="X99" s="643"/>
      <c r="Y99" s="643"/>
      <c r="Z99" s="643"/>
      <c r="AA99" s="643"/>
      <c r="AB99" s="643"/>
      <c r="AC99" s="643"/>
      <c r="AD99" s="643"/>
      <c r="AE99" s="643"/>
      <c r="AF99" s="643"/>
      <c r="AG99" s="643"/>
      <c r="AH99" s="643"/>
      <c r="AI99" s="643"/>
      <c r="AJ99" s="643"/>
      <c r="AK99" s="643"/>
      <c r="AL99" s="643"/>
      <c r="AM99" s="643"/>
      <c r="AN99" s="643"/>
      <c r="AO99" s="643"/>
      <c r="AP99" s="643"/>
      <c r="AQ99" s="643"/>
      <c r="AR99" s="643"/>
      <c r="AS99" s="643"/>
      <c r="AT99" s="643"/>
    </row>
    <row r="100" spans="5:46">
      <c r="E100" s="566" t="s">
        <v>96</v>
      </c>
      <c r="F100" s="567"/>
      <c r="G100" s="567"/>
      <c r="H100" s="567"/>
      <c r="I100" s="567"/>
      <c r="J100" s="567"/>
      <c r="K100" s="567"/>
      <c r="L100" s="567"/>
      <c r="M100" s="567"/>
      <c r="N100" s="567"/>
      <c r="O100" s="567"/>
      <c r="P100" s="567"/>
      <c r="Q100" s="567"/>
      <c r="R100" s="567"/>
      <c r="S100" s="567"/>
      <c r="T100" s="567"/>
      <c r="U100" s="567"/>
      <c r="V100" s="567"/>
      <c r="W100" s="567"/>
      <c r="X100" s="567"/>
      <c r="Y100" s="567"/>
      <c r="Z100" s="567"/>
      <c r="AA100" s="567"/>
      <c r="AB100" s="567"/>
      <c r="AC100" s="587"/>
      <c r="AD100" s="587"/>
      <c r="AE100" s="587"/>
      <c r="AF100" s="587"/>
      <c r="AG100" s="587"/>
      <c r="AH100" s="587"/>
      <c r="AI100" s="587"/>
      <c r="AJ100" s="587"/>
      <c r="AK100" s="587"/>
      <c r="AL100" s="587"/>
      <c r="AM100" s="587"/>
      <c r="AN100" s="587"/>
      <c r="AO100" s="587"/>
      <c r="AP100" s="587"/>
      <c r="AQ100" s="587"/>
      <c r="AR100" s="587"/>
      <c r="AS100" s="587"/>
      <c r="AT100" s="619"/>
    </row>
    <row r="101" spans="5:46">
      <c r="E101" s="568"/>
      <c r="F101" s="569"/>
      <c r="G101" s="569"/>
      <c r="H101" s="569"/>
      <c r="I101" s="569" t="s">
        <v>97</v>
      </c>
      <c r="J101" s="569"/>
      <c r="K101" s="569"/>
      <c r="L101" s="569"/>
      <c r="M101" s="569"/>
      <c r="N101" s="569"/>
      <c r="O101" s="569"/>
      <c r="P101" s="569"/>
      <c r="Q101" s="569"/>
      <c r="R101" s="569"/>
      <c r="S101" s="569"/>
      <c r="T101" s="569"/>
      <c r="U101" s="569"/>
      <c r="V101" s="569"/>
      <c r="W101" s="569"/>
      <c r="X101" s="569"/>
      <c r="Y101" s="569"/>
      <c r="Z101" s="569"/>
      <c r="AA101" s="569"/>
      <c r="AB101" s="578"/>
      <c r="AC101" s="588">
        <v>493458.461538461</v>
      </c>
      <c r="AD101" s="588"/>
      <c r="AE101" s="588"/>
      <c r="AF101" s="588"/>
      <c r="AG101" s="588"/>
      <c r="AH101" s="600"/>
      <c r="AI101" s="601">
        <v>493458.461538461</v>
      </c>
      <c r="AJ101" s="588"/>
      <c r="AK101" s="588"/>
      <c r="AL101" s="588"/>
      <c r="AM101" s="588"/>
      <c r="AN101" s="600"/>
      <c r="AO101" s="588">
        <v>493458.461538461</v>
      </c>
      <c r="AP101" s="588"/>
      <c r="AQ101" s="588"/>
      <c r="AR101" s="588"/>
      <c r="AS101" s="588"/>
      <c r="AT101" s="620"/>
    </row>
    <row r="102" spans="5:46">
      <c r="E102" s="568"/>
      <c r="F102" s="569"/>
      <c r="G102" s="569"/>
      <c r="H102" s="569"/>
      <c r="I102" s="569" t="s">
        <v>98</v>
      </c>
      <c r="J102" s="569"/>
      <c r="K102" s="569"/>
      <c r="L102" s="569"/>
      <c r="M102" s="569"/>
      <c r="N102" s="569"/>
      <c r="O102" s="569"/>
      <c r="P102" s="569"/>
      <c r="Q102" s="569"/>
      <c r="R102" s="569"/>
      <c r="S102" s="569"/>
      <c r="T102" s="569"/>
      <c r="U102" s="569"/>
      <c r="V102" s="569"/>
      <c r="W102" s="569"/>
      <c r="X102" s="569"/>
      <c r="Y102" s="569"/>
      <c r="Z102" s="569"/>
      <c r="AA102" s="569"/>
      <c r="AB102" s="578"/>
      <c r="AC102" s="588">
        <v>300390</v>
      </c>
      <c r="AD102" s="588"/>
      <c r="AE102" s="588"/>
      <c r="AF102" s="588"/>
      <c r="AG102" s="588"/>
      <c r="AH102" s="600"/>
      <c r="AI102" s="601">
        <v>300390</v>
      </c>
      <c r="AJ102" s="588"/>
      <c r="AK102" s="588"/>
      <c r="AL102" s="588"/>
      <c r="AM102" s="588"/>
      <c r="AN102" s="600"/>
      <c r="AO102" s="588">
        <v>300390</v>
      </c>
      <c r="AP102" s="588"/>
      <c r="AQ102" s="588"/>
      <c r="AR102" s="588"/>
      <c r="AS102" s="588"/>
      <c r="AT102" s="620"/>
    </row>
    <row r="103" spans="5:46">
      <c r="E103" s="568"/>
      <c r="F103" s="569"/>
      <c r="G103" s="569"/>
      <c r="H103" s="569"/>
      <c r="I103" s="569" t="s">
        <v>99</v>
      </c>
      <c r="J103" s="569"/>
      <c r="K103" s="569"/>
      <c r="L103" s="569"/>
      <c r="M103" s="569"/>
      <c r="N103" s="569"/>
      <c r="O103" s="569"/>
      <c r="P103" s="569"/>
      <c r="Q103" s="569"/>
      <c r="R103" s="569"/>
      <c r="S103" s="569"/>
      <c r="T103" s="569"/>
      <c r="U103" s="569"/>
      <c r="V103" s="569"/>
      <c r="W103" s="569"/>
      <c r="X103" s="569"/>
      <c r="Y103" s="569"/>
      <c r="Z103" s="569"/>
      <c r="AA103" s="569"/>
      <c r="AB103" s="578"/>
      <c r="AC103" s="588">
        <v>0</v>
      </c>
      <c r="AD103" s="588"/>
      <c r="AE103" s="588"/>
      <c r="AF103" s="588"/>
      <c r="AG103" s="588"/>
      <c r="AH103" s="600"/>
      <c r="AI103" s="601">
        <v>0</v>
      </c>
      <c r="AJ103" s="588"/>
      <c r="AK103" s="588"/>
      <c r="AL103" s="588"/>
      <c r="AM103" s="588"/>
      <c r="AN103" s="600"/>
      <c r="AO103" s="588">
        <v>0</v>
      </c>
      <c r="AP103" s="588"/>
      <c r="AQ103" s="588"/>
      <c r="AR103" s="588"/>
      <c r="AS103" s="588"/>
      <c r="AT103" s="620"/>
    </row>
    <row r="104" ht="15" spans="5:46">
      <c r="E104" s="639"/>
      <c r="F104" s="640"/>
      <c r="G104" s="640"/>
      <c r="H104" s="640"/>
      <c r="I104" s="640" t="s">
        <v>71</v>
      </c>
      <c r="J104" s="640"/>
      <c r="K104" s="640"/>
      <c r="L104" s="640"/>
      <c r="M104" s="640"/>
      <c r="N104" s="640"/>
      <c r="O104" s="640"/>
      <c r="P104" s="640"/>
      <c r="Q104" s="640"/>
      <c r="R104" s="640"/>
      <c r="S104" s="640"/>
      <c r="T104" s="640"/>
      <c r="U104" s="640"/>
      <c r="V104" s="640"/>
      <c r="W104" s="640"/>
      <c r="X104" s="640"/>
      <c r="Y104" s="640"/>
      <c r="Z104" s="640"/>
      <c r="AA104" s="640"/>
      <c r="AB104" s="640"/>
      <c r="AC104" s="651">
        <v>0</v>
      </c>
      <c r="AD104" s="652"/>
      <c r="AE104" s="652"/>
      <c r="AF104" s="652"/>
      <c r="AG104" s="652"/>
      <c r="AH104" s="656"/>
      <c r="AI104" s="657">
        <v>0</v>
      </c>
      <c r="AJ104" s="658"/>
      <c r="AK104" s="658"/>
      <c r="AL104" s="658"/>
      <c r="AM104" s="658"/>
      <c r="AN104" s="663"/>
      <c r="AO104" s="658">
        <v>0</v>
      </c>
      <c r="AP104" s="658"/>
      <c r="AQ104" s="658"/>
      <c r="AR104" s="658"/>
      <c r="AS104" s="658"/>
      <c r="AT104" s="664"/>
    </row>
    <row r="105" ht="15" spans="5:46">
      <c r="E105" s="641" t="s">
        <v>100</v>
      </c>
      <c r="F105" s="644"/>
      <c r="G105" s="644"/>
      <c r="H105" s="644"/>
      <c r="I105" s="644"/>
      <c r="J105" s="644"/>
      <c r="K105" s="644"/>
      <c r="L105" s="644"/>
      <c r="M105" s="644"/>
      <c r="N105" s="644"/>
      <c r="O105" s="644"/>
      <c r="P105" s="644"/>
      <c r="Q105" s="644"/>
      <c r="R105" s="644"/>
      <c r="S105" s="644"/>
      <c r="T105" s="644"/>
      <c r="U105" s="644"/>
      <c r="V105" s="644"/>
      <c r="W105" s="644"/>
      <c r="X105" s="644"/>
      <c r="Y105" s="644"/>
      <c r="Z105" s="644"/>
      <c r="AA105" s="644"/>
      <c r="AB105" s="650"/>
      <c r="AC105" s="653">
        <f>SUM(AC101:AH104)</f>
        <v>793848.461538461</v>
      </c>
      <c r="AD105" s="653"/>
      <c r="AE105" s="653"/>
      <c r="AF105" s="653"/>
      <c r="AG105" s="653"/>
      <c r="AH105" s="659"/>
      <c r="AI105" s="661">
        <f>SUM(AI101:AN104)</f>
        <v>793848.461538461</v>
      </c>
      <c r="AJ105" s="653"/>
      <c r="AK105" s="653"/>
      <c r="AL105" s="653"/>
      <c r="AM105" s="653"/>
      <c r="AN105" s="659"/>
      <c r="AO105" s="661">
        <f>SUM(AO101:AT104)</f>
        <v>793848.461538461</v>
      </c>
      <c r="AP105" s="653"/>
      <c r="AQ105" s="653"/>
      <c r="AR105" s="653"/>
      <c r="AS105" s="653"/>
      <c r="AT105" s="665"/>
    </row>
    <row r="106" ht="15" spans="5:46">
      <c r="E106" s="643"/>
      <c r="F106" s="643"/>
      <c r="G106" s="643"/>
      <c r="H106" s="643"/>
      <c r="I106" s="643"/>
      <c r="J106" s="643"/>
      <c r="K106" s="643"/>
      <c r="L106" s="643"/>
      <c r="M106" s="643"/>
      <c r="N106" s="643"/>
      <c r="O106" s="643"/>
      <c r="P106" s="643"/>
      <c r="Q106" s="643"/>
      <c r="R106" s="643"/>
      <c r="S106" s="643"/>
      <c r="T106" s="643"/>
      <c r="U106" s="643"/>
      <c r="V106" s="643"/>
      <c r="W106" s="643"/>
      <c r="X106" s="643"/>
      <c r="Y106" s="643"/>
      <c r="Z106" s="643"/>
      <c r="AA106" s="643"/>
      <c r="AB106" s="643"/>
      <c r="AC106" s="643"/>
      <c r="AD106" s="643"/>
      <c r="AE106" s="643"/>
      <c r="AF106" s="643"/>
      <c r="AG106" s="643"/>
      <c r="AH106" s="643"/>
      <c r="AI106" s="643"/>
      <c r="AJ106" s="643"/>
      <c r="AK106" s="643"/>
      <c r="AL106" s="643"/>
      <c r="AM106" s="643"/>
      <c r="AN106" s="643"/>
      <c r="AO106" s="643"/>
      <c r="AP106" s="643"/>
      <c r="AQ106" s="643"/>
      <c r="AR106" s="643"/>
      <c r="AS106" s="643"/>
      <c r="AT106" s="643"/>
    </row>
    <row r="107" spans="5:46">
      <c r="E107" s="566" t="s">
        <v>101</v>
      </c>
      <c r="F107" s="645"/>
      <c r="G107" s="645"/>
      <c r="H107" s="645"/>
      <c r="I107" s="645"/>
      <c r="J107" s="645"/>
      <c r="K107" s="645"/>
      <c r="L107" s="645"/>
      <c r="M107" s="645"/>
      <c r="N107" s="645"/>
      <c r="O107" s="645"/>
      <c r="P107" s="645"/>
      <c r="Q107" s="645"/>
      <c r="R107" s="645"/>
      <c r="S107" s="645"/>
      <c r="T107" s="645"/>
      <c r="U107" s="645"/>
      <c r="V107" s="645"/>
      <c r="W107" s="645"/>
      <c r="X107" s="645"/>
      <c r="Y107" s="645"/>
      <c r="Z107" s="645"/>
      <c r="AA107" s="645"/>
      <c r="AB107" s="645"/>
      <c r="AC107" s="587"/>
      <c r="AD107" s="587"/>
      <c r="AE107" s="587"/>
      <c r="AF107" s="587"/>
      <c r="AG107" s="587"/>
      <c r="AH107" s="587"/>
      <c r="AI107" s="587"/>
      <c r="AJ107" s="587"/>
      <c r="AK107" s="587"/>
      <c r="AL107" s="587"/>
      <c r="AM107" s="587"/>
      <c r="AN107" s="587"/>
      <c r="AO107" s="587"/>
      <c r="AP107" s="587"/>
      <c r="AQ107" s="587"/>
      <c r="AR107" s="587"/>
      <c r="AS107" s="587"/>
      <c r="AT107" s="619"/>
    </row>
    <row r="108" spans="5:46">
      <c r="E108" s="568"/>
      <c r="F108" s="569"/>
      <c r="G108" s="569"/>
      <c r="H108" s="569"/>
      <c r="I108" s="569" t="s">
        <v>102</v>
      </c>
      <c r="J108" s="569"/>
      <c r="K108" s="569"/>
      <c r="L108" s="569"/>
      <c r="M108" s="569"/>
      <c r="N108" s="569"/>
      <c r="O108" s="569"/>
      <c r="P108" s="569"/>
      <c r="Q108" s="569"/>
      <c r="R108" s="569"/>
      <c r="S108" s="569"/>
      <c r="T108" s="569"/>
      <c r="U108" s="569"/>
      <c r="V108" s="569"/>
      <c r="W108" s="569"/>
      <c r="X108" s="569"/>
      <c r="Y108" s="569"/>
      <c r="Z108" s="569"/>
      <c r="AA108" s="569"/>
      <c r="AB108" s="578"/>
      <c r="AC108" s="655">
        <f>AC55-AC69-AC75-AC88-AC105-AC95</f>
        <v>-1880931.99358974</v>
      </c>
      <c r="AD108" s="655"/>
      <c r="AE108" s="655"/>
      <c r="AF108" s="655"/>
      <c r="AG108" s="655"/>
      <c r="AH108" s="662"/>
      <c r="AI108" s="655">
        <f>AI55-AI69-AI75-AI88-AI105-AI95</f>
        <v>-1893169.57692308</v>
      </c>
      <c r="AJ108" s="655"/>
      <c r="AK108" s="655"/>
      <c r="AL108" s="655"/>
      <c r="AM108" s="655"/>
      <c r="AN108" s="662"/>
      <c r="AO108" s="655">
        <f>AO55-AO69-AO75-AO88-AO105-AO95</f>
        <v>-1820616.07692308</v>
      </c>
      <c r="AP108" s="655"/>
      <c r="AQ108" s="655"/>
      <c r="AR108" s="655"/>
      <c r="AS108" s="655"/>
      <c r="AT108" s="662"/>
    </row>
    <row r="109" ht="15" spans="5:46">
      <c r="E109" s="643"/>
      <c r="F109" s="643"/>
      <c r="G109" s="643"/>
      <c r="H109" s="643"/>
      <c r="I109" s="643"/>
      <c r="J109" s="643"/>
      <c r="K109" s="643"/>
      <c r="L109" s="643"/>
      <c r="M109" s="643"/>
      <c r="N109" s="643"/>
      <c r="O109" s="643"/>
      <c r="P109" s="643"/>
      <c r="Q109" s="643"/>
      <c r="R109" s="643"/>
      <c r="S109" s="643"/>
      <c r="T109" s="643"/>
      <c r="U109" s="643"/>
      <c r="V109" s="643"/>
      <c r="W109" s="643"/>
      <c r="X109" s="643"/>
      <c r="Y109" s="643"/>
      <c r="Z109" s="643"/>
      <c r="AA109" s="643"/>
      <c r="AB109" s="643"/>
      <c r="AC109" s="643"/>
      <c r="AD109" s="643"/>
      <c r="AE109" s="643"/>
      <c r="AF109" s="643"/>
      <c r="AG109" s="643"/>
      <c r="AH109" s="643"/>
      <c r="AI109" s="643"/>
      <c r="AJ109" s="643"/>
      <c r="AK109" s="643"/>
      <c r="AL109" s="643"/>
      <c r="AM109" s="643"/>
      <c r="AN109" s="643"/>
      <c r="AO109" s="643"/>
      <c r="AP109" s="643"/>
      <c r="AQ109" s="643"/>
      <c r="AR109" s="643"/>
      <c r="AS109" s="643"/>
      <c r="AT109" s="643"/>
    </row>
    <row r="110" spans="5:46">
      <c r="E110" s="566" t="s">
        <v>103</v>
      </c>
      <c r="F110" s="567"/>
      <c r="G110" s="567"/>
      <c r="H110" s="567"/>
      <c r="I110" s="567"/>
      <c r="J110" s="567"/>
      <c r="K110" s="567"/>
      <c r="L110" s="567"/>
      <c r="M110" s="567"/>
      <c r="N110" s="567"/>
      <c r="O110" s="567"/>
      <c r="P110" s="567"/>
      <c r="Q110" s="567"/>
      <c r="R110" s="567"/>
      <c r="S110" s="567"/>
      <c r="T110" s="567"/>
      <c r="U110" s="567"/>
      <c r="V110" s="567"/>
      <c r="W110" s="567"/>
      <c r="X110" s="567"/>
      <c r="Y110" s="567"/>
      <c r="Z110" s="567"/>
      <c r="AA110" s="567"/>
      <c r="AB110" s="567"/>
      <c r="AC110" s="587"/>
      <c r="AD110" s="587"/>
      <c r="AE110" s="587"/>
      <c r="AF110" s="587"/>
      <c r="AG110" s="587"/>
      <c r="AH110" s="587"/>
      <c r="AI110" s="587"/>
      <c r="AJ110" s="587"/>
      <c r="AK110" s="587"/>
      <c r="AL110" s="587"/>
      <c r="AM110" s="587"/>
      <c r="AN110" s="587"/>
      <c r="AO110" s="587"/>
      <c r="AP110" s="587"/>
      <c r="AQ110" s="587"/>
      <c r="AR110" s="587"/>
      <c r="AS110" s="587"/>
      <c r="AT110" s="619"/>
    </row>
    <row r="111" spans="5:46">
      <c r="E111" s="568"/>
      <c r="F111" s="569"/>
      <c r="G111" s="569"/>
      <c r="H111" s="569"/>
      <c r="I111" s="569" t="s">
        <v>104</v>
      </c>
      <c r="J111" s="569"/>
      <c r="K111" s="569"/>
      <c r="L111" s="569"/>
      <c r="M111" s="569"/>
      <c r="N111" s="569"/>
      <c r="O111" s="569"/>
      <c r="P111" s="569"/>
      <c r="Q111" s="569"/>
      <c r="R111" s="569"/>
      <c r="S111" s="569"/>
      <c r="T111" s="569"/>
      <c r="U111" s="569"/>
      <c r="V111" s="569"/>
      <c r="W111" s="569"/>
      <c r="X111" s="569"/>
      <c r="Y111" s="569"/>
      <c r="Z111" s="569"/>
      <c r="AA111" s="569"/>
      <c r="AB111" s="578"/>
      <c r="AC111" s="588">
        <v>0</v>
      </c>
      <c r="AD111" s="588"/>
      <c r="AE111" s="588"/>
      <c r="AF111" s="588"/>
      <c r="AG111" s="588"/>
      <c r="AH111" s="600"/>
      <c r="AI111" s="601">
        <v>0</v>
      </c>
      <c r="AJ111" s="588"/>
      <c r="AK111" s="588"/>
      <c r="AL111" s="588"/>
      <c r="AM111" s="588"/>
      <c r="AN111" s="600"/>
      <c r="AO111" s="601">
        <v>0</v>
      </c>
      <c r="AP111" s="588"/>
      <c r="AQ111" s="588"/>
      <c r="AR111" s="588"/>
      <c r="AS111" s="588"/>
      <c r="AT111" s="620"/>
    </row>
    <row r="112" ht="15" spans="5:46">
      <c r="E112" s="643"/>
      <c r="F112" s="643"/>
      <c r="G112" s="643"/>
      <c r="H112" s="643"/>
      <c r="I112" s="643"/>
      <c r="J112" s="643"/>
      <c r="K112" s="643"/>
      <c r="L112" s="643"/>
      <c r="M112" s="643"/>
      <c r="N112" s="643"/>
      <c r="O112" s="643"/>
      <c r="P112" s="643"/>
      <c r="Q112" s="643"/>
      <c r="R112" s="643"/>
      <c r="S112" s="643"/>
      <c r="T112" s="643"/>
      <c r="U112" s="643"/>
      <c r="V112" s="643"/>
      <c r="W112" s="643"/>
      <c r="X112" s="643"/>
      <c r="Y112" s="643"/>
      <c r="Z112" s="643"/>
      <c r="AA112" s="643"/>
      <c r="AB112" s="643"/>
      <c r="AC112" s="643"/>
      <c r="AD112" s="643"/>
      <c r="AE112" s="643"/>
      <c r="AF112" s="643"/>
      <c r="AG112" s="643"/>
      <c r="AH112" s="643"/>
      <c r="AI112" s="643"/>
      <c r="AJ112" s="643"/>
      <c r="AK112" s="643"/>
      <c r="AL112" s="643"/>
      <c r="AM112" s="643"/>
      <c r="AN112" s="643"/>
      <c r="AO112" s="643"/>
      <c r="AP112" s="643"/>
      <c r="AQ112" s="643"/>
      <c r="AR112" s="643"/>
      <c r="AS112" s="643"/>
      <c r="AT112" s="643"/>
    </row>
    <row r="113" spans="5:46">
      <c r="E113" s="566" t="s">
        <v>105</v>
      </c>
      <c r="F113" s="645"/>
      <c r="G113" s="645"/>
      <c r="H113" s="645"/>
      <c r="I113" s="645"/>
      <c r="J113" s="645"/>
      <c r="K113" s="645"/>
      <c r="L113" s="645"/>
      <c r="M113" s="645"/>
      <c r="N113" s="645"/>
      <c r="O113" s="645"/>
      <c r="P113" s="645"/>
      <c r="Q113" s="645"/>
      <c r="R113" s="645"/>
      <c r="S113" s="645"/>
      <c r="T113" s="645"/>
      <c r="U113" s="645"/>
      <c r="V113" s="645"/>
      <c r="W113" s="645"/>
      <c r="X113" s="645"/>
      <c r="Y113" s="645"/>
      <c r="Z113" s="645"/>
      <c r="AA113" s="645"/>
      <c r="AB113" s="645"/>
      <c r="AC113" s="587"/>
      <c r="AD113" s="587"/>
      <c r="AE113" s="587"/>
      <c r="AF113" s="587"/>
      <c r="AG113" s="587"/>
      <c r="AH113" s="587"/>
      <c r="AI113" s="587"/>
      <c r="AJ113" s="587"/>
      <c r="AK113" s="587"/>
      <c r="AL113" s="587"/>
      <c r="AM113" s="587"/>
      <c r="AN113" s="587"/>
      <c r="AO113" s="587"/>
      <c r="AP113" s="587"/>
      <c r="AQ113" s="587"/>
      <c r="AR113" s="587"/>
      <c r="AS113" s="587"/>
      <c r="AT113" s="619"/>
    </row>
    <row r="114" spans="5:46">
      <c r="E114" s="568"/>
      <c r="F114" s="569"/>
      <c r="G114" s="569"/>
      <c r="H114" s="569"/>
      <c r="I114" s="569" t="s">
        <v>106</v>
      </c>
      <c r="J114" s="569"/>
      <c r="K114" s="569"/>
      <c r="L114" s="569"/>
      <c r="M114" s="569"/>
      <c r="N114" s="569"/>
      <c r="O114" s="569"/>
      <c r="P114" s="569"/>
      <c r="Q114" s="569"/>
      <c r="R114" s="569"/>
      <c r="S114" s="569"/>
      <c r="T114" s="569"/>
      <c r="U114" s="569"/>
      <c r="V114" s="569"/>
      <c r="W114" s="569"/>
      <c r="X114" s="569"/>
      <c r="Y114" s="569"/>
      <c r="Z114" s="569"/>
      <c r="AA114" s="569"/>
      <c r="AB114" s="578"/>
      <c r="AC114" s="655">
        <f>AC108-AC111</f>
        <v>-1880931.99358974</v>
      </c>
      <c r="AD114" s="655"/>
      <c r="AE114" s="655"/>
      <c r="AF114" s="655"/>
      <c r="AG114" s="655"/>
      <c r="AH114" s="662"/>
      <c r="AI114" s="655">
        <f>AI108-AI111</f>
        <v>-1893169.57692308</v>
      </c>
      <c r="AJ114" s="655"/>
      <c r="AK114" s="655"/>
      <c r="AL114" s="655"/>
      <c r="AM114" s="655"/>
      <c r="AN114" s="662"/>
      <c r="AO114" s="655">
        <f>AO108-AO111</f>
        <v>-1820616.07692308</v>
      </c>
      <c r="AP114" s="655"/>
      <c r="AQ114" s="655"/>
      <c r="AR114" s="655"/>
      <c r="AS114" s="655"/>
      <c r="AT114" s="662"/>
    </row>
  </sheetData>
  <mergeCells count="311">
    <mergeCell ref="C1:AV1"/>
    <mergeCell ref="C2:AV2"/>
    <mergeCell ref="E4:AT4"/>
    <mergeCell ref="AV4:BZ4"/>
    <mergeCell ref="E6:AT6"/>
    <mergeCell ref="AC7:AH7"/>
    <mergeCell ref="AO7:AT7"/>
    <mergeCell ref="BI7:BN7"/>
    <mergeCell ref="BU7:BZ7"/>
    <mergeCell ref="E8:AB8"/>
    <mergeCell ref="AC8:AH8"/>
    <mergeCell ref="AI8:AN8"/>
    <mergeCell ref="AO8:AT8"/>
    <mergeCell ref="BI8:BN8"/>
    <mergeCell ref="BO8:BT8"/>
    <mergeCell ref="BU8:BZ8"/>
    <mergeCell ref="AC9:AH9"/>
    <mergeCell ref="AI9:AN9"/>
    <mergeCell ref="AO9:AT9"/>
    <mergeCell ref="AC10:AH10"/>
    <mergeCell ref="AI10:AN10"/>
    <mergeCell ref="AO10:AT10"/>
    <mergeCell ref="AV10:BZ10"/>
    <mergeCell ref="AV11:BH11"/>
    <mergeCell ref="BI11:BN11"/>
    <mergeCell ref="BO11:BT11"/>
    <mergeCell ref="BU11:BZ11"/>
    <mergeCell ref="AC12:AH12"/>
    <mergeCell ref="AI12:AN12"/>
    <mergeCell ref="AO12:AT12"/>
    <mergeCell ref="AV12:BH12"/>
    <mergeCell ref="BI12:BN12"/>
    <mergeCell ref="BO12:BT12"/>
    <mergeCell ref="BU12:BZ12"/>
    <mergeCell ref="AC13:AH13"/>
    <mergeCell ref="AI13:AN13"/>
    <mergeCell ref="AO13:AT13"/>
    <mergeCell ref="AV13:BH13"/>
    <mergeCell ref="BI13:BN13"/>
    <mergeCell ref="BO13:BT13"/>
    <mergeCell ref="BU13:BZ13"/>
    <mergeCell ref="E14:AB14"/>
    <mergeCell ref="AC14:AH14"/>
    <mergeCell ref="AI14:AN14"/>
    <mergeCell ref="AO14:AT14"/>
    <mergeCell ref="AV14:BH14"/>
    <mergeCell ref="BI14:BN14"/>
    <mergeCell ref="BO14:BT14"/>
    <mergeCell ref="BU14:BZ14"/>
    <mergeCell ref="AV15:BH15"/>
    <mergeCell ref="BI15:BN15"/>
    <mergeCell ref="BO15:BT15"/>
    <mergeCell ref="BU15:BZ15"/>
    <mergeCell ref="E16:AB16"/>
    <mergeCell ref="AV16:BH16"/>
    <mergeCell ref="BI16:BN16"/>
    <mergeCell ref="BO16:BT16"/>
    <mergeCell ref="BU16:BZ16"/>
    <mergeCell ref="AC17:AH17"/>
    <mergeCell ref="AI17:AN17"/>
    <mergeCell ref="AO17:AT17"/>
    <mergeCell ref="BI17:BN17"/>
    <mergeCell ref="BO17:BT17"/>
    <mergeCell ref="BU17:BZ17"/>
    <mergeCell ref="AC18:AH18"/>
    <mergeCell ref="AI18:AN18"/>
    <mergeCell ref="AO18:AT18"/>
    <mergeCell ref="AV18:BH18"/>
    <mergeCell ref="BI18:BN18"/>
    <mergeCell ref="BO18:BT18"/>
    <mergeCell ref="BU18:BZ18"/>
    <mergeCell ref="AC19:AH19"/>
    <mergeCell ref="AI19:AN19"/>
    <mergeCell ref="AO19:AT19"/>
    <mergeCell ref="BI19:BN19"/>
    <mergeCell ref="BO19:BT19"/>
    <mergeCell ref="BU19:BZ19"/>
    <mergeCell ref="I20:AB20"/>
    <mergeCell ref="AC20:AH20"/>
    <mergeCell ref="AI20:AN20"/>
    <mergeCell ref="AO20:AT20"/>
    <mergeCell ref="AV20:BH20"/>
    <mergeCell ref="BI20:BN20"/>
    <mergeCell ref="BO20:BT20"/>
    <mergeCell ref="BU20:BZ20"/>
    <mergeCell ref="AV21:BH21"/>
    <mergeCell ref="BI21:BN21"/>
    <mergeCell ref="BO21:BT21"/>
    <mergeCell ref="BU21:BZ21"/>
    <mergeCell ref="BI22:BN22"/>
    <mergeCell ref="BO22:BT22"/>
    <mergeCell ref="BU22:BZ22"/>
    <mergeCell ref="AC23:AH23"/>
    <mergeCell ref="AI23:AN23"/>
    <mergeCell ref="AO23:AT23"/>
    <mergeCell ref="AV23:BH23"/>
    <mergeCell ref="BI23:BN23"/>
    <mergeCell ref="BO23:BT23"/>
    <mergeCell ref="BU23:BZ23"/>
    <mergeCell ref="AC24:AH24"/>
    <mergeCell ref="AI24:AN24"/>
    <mergeCell ref="AO24:AT24"/>
    <mergeCell ref="AV24:BH24"/>
    <mergeCell ref="BI24:BN24"/>
    <mergeCell ref="BO24:BT24"/>
    <mergeCell ref="BU24:BZ24"/>
    <mergeCell ref="AC25:AH25"/>
    <mergeCell ref="AI25:AN25"/>
    <mergeCell ref="AO25:AT25"/>
    <mergeCell ref="AV25:BH25"/>
    <mergeCell ref="BI25:BN25"/>
    <mergeCell ref="BO25:BT25"/>
    <mergeCell ref="BU25:BZ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I31:AB31"/>
    <mergeCell ref="AC31:AH31"/>
    <mergeCell ref="AI31:AN31"/>
    <mergeCell ref="AO31:AT31"/>
    <mergeCell ref="AC34:AH34"/>
    <mergeCell ref="AI34:AN34"/>
    <mergeCell ref="AO34:AT34"/>
    <mergeCell ref="AC35:AH35"/>
    <mergeCell ref="AI35:AN35"/>
    <mergeCell ref="AO35:AT35"/>
    <mergeCell ref="AC36:AH36"/>
    <mergeCell ref="AI36:AN36"/>
    <mergeCell ref="AO36:AT36"/>
    <mergeCell ref="AC37:AH37"/>
    <mergeCell ref="AI37:AN37"/>
    <mergeCell ref="AO37:AT37"/>
    <mergeCell ref="AC38:AH38"/>
    <mergeCell ref="AI38:AN38"/>
    <mergeCell ref="AO38:AT38"/>
    <mergeCell ref="AC39:AH39"/>
    <mergeCell ref="AI39:AN39"/>
    <mergeCell ref="AO39:AT39"/>
    <mergeCell ref="AC40:AH40"/>
    <mergeCell ref="AI40:AN40"/>
    <mergeCell ref="AO40:AT40"/>
    <mergeCell ref="AC41:AH41"/>
    <mergeCell ref="AI41:AN41"/>
    <mergeCell ref="AO41:AT41"/>
    <mergeCell ref="AC42:AH42"/>
    <mergeCell ref="AI42:AN42"/>
    <mergeCell ref="AO42:AT42"/>
    <mergeCell ref="AC43:AH43"/>
    <mergeCell ref="AI43:AN43"/>
    <mergeCell ref="AO43:AT43"/>
    <mergeCell ref="AC44:AH44"/>
    <mergeCell ref="AI44:AN44"/>
    <mergeCell ref="AO44:AT44"/>
    <mergeCell ref="AC45:AH45"/>
    <mergeCell ref="AI45:AN45"/>
    <mergeCell ref="AO45:AT45"/>
    <mergeCell ref="AC46:AH46"/>
    <mergeCell ref="AI46:AN46"/>
    <mergeCell ref="AO46:AT46"/>
    <mergeCell ref="AC47:AH47"/>
    <mergeCell ref="AI47:AN47"/>
    <mergeCell ref="AO47:AT47"/>
    <mergeCell ref="AC48:AH48"/>
    <mergeCell ref="AI48:AN48"/>
    <mergeCell ref="AO48:AT48"/>
    <mergeCell ref="AC49:AH49"/>
    <mergeCell ref="AI49:AN49"/>
    <mergeCell ref="AO49:AT49"/>
    <mergeCell ref="AC50:AH50"/>
    <mergeCell ref="AI50:AN50"/>
    <mergeCell ref="AO50:AT50"/>
    <mergeCell ref="I51:AB51"/>
    <mergeCell ref="AC51:AH51"/>
    <mergeCell ref="AI51:AN51"/>
    <mergeCell ref="AO51:AT51"/>
    <mergeCell ref="E53:AB53"/>
    <mergeCell ref="AC53:AH53"/>
    <mergeCell ref="AI53:AN53"/>
    <mergeCell ref="AO53:AT53"/>
    <mergeCell ref="E55:AB55"/>
    <mergeCell ref="AC55:AH55"/>
    <mergeCell ref="AI55:AN55"/>
    <mergeCell ref="AO55:AT55"/>
    <mergeCell ref="AC60:AH60"/>
    <mergeCell ref="AI60:AN60"/>
    <mergeCell ref="AO60:AT60"/>
    <mergeCell ref="AC61:AH61"/>
    <mergeCell ref="AI61:AN61"/>
    <mergeCell ref="AO61:AT61"/>
    <mergeCell ref="AC62:AH62"/>
    <mergeCell ref="AI62:AN62"/>
    <mergeCell ref="AO62:AT62"/>
    <mergeCell ref="AC63:AH63"/>
    <mergeCell ref="AI63:AN63"/>
    <mergeCell ref="AO63:AT63"/>
    <mergeCell ref="AC64:AH64"/>
    <mergeCell ref="AI64:AN64"/>
    <mergeCell ref="AO64:AT64"/>
    <mergeCell ref="AC65:AH65"/>
    <mergeCell ref="AI65:AN65"/>
    <mergeCell ref="AO65:AT65"/>
    <mergeCell ref="AC66:AH66"/>
    <mergeCell ref="AI66:AN66"/>
    <mergeCell ref="AO66:AT66"/>
    <mergeCell ref="AC67:AH67"/>
    <mergeCell ref="AI67:AN67"/>
    <mergeCell ref="AO67:AT67"/>
    <mergeCell ref="AC68:AH68"/>
    <mergeCell ref="AI68:AN68"/>
    <mergeCell ref="AO68:AT68"/>
    <mergeCell ref="E69:AB69"/>
    <mergeCell ref="AC69:AH69"/>
    <mergeCell ref="AI69:AN69"/>
    <mergeCell ref="AO69:AT69"/>
    <mergeCell ref="AC72:AH72"/>
    <mergeCell ref="AI72:AN72"/>
    <mergeCell ref="AO72:AT72"/>
    <mergeCell ref="AC73:AH73"/>
    <mergeCell ref="AI73:AN73"/>
    <mergeCell ref="AO73:AT73"/>
    <mergeCell ref="AC74:AH74"/>
    <mergeCell ref="AI74:AN74"/>
    <mergeCell ref="AO74:AT74"/>
    <mergeCell ref="E75:AB75"/>
    <mergeCell ref="AC75:AH75"/>
    <mergeCell ref="AI75:AN75"/>
    <mergeCell ref="AO75:AT75"/>
    <mergeCell ref="AC79:AH79"/>
    <mergeCell ref="AI79:AN79"/>
    <mergeCell ref="AO79:AT79"/>
    <mergeCell ref="AC80:AH80"/>
    <mergeCell ref="AI80:AN80"/>
    <mergeCell ref="AO80:AT80"/>
    <mergeCell ref="AC81:AH81"/>
    <mergeCell ref="AI81:AN81"/>
    <mergeCell ref="AO81:AT81"/>
    <mergeCell ref="AC83:AH83"/>
    <mergeCell ref="AI83:AN83"/>
    <mergeCell ref="AO83:AT83"/>
    <mergeCell ref="AC84:AH84"/>
    <mergeCell ref="AI84:AN84"/>
    <mergeCell ref="AO84:AT84"/>
    <mergeCell ref="AC85:AH85"/>
    <mergeCell ref="AI85:AN85"/>
    <mergeCell ref="AO85:AT85"/>
    <mergeCell ref="AC86:AH86"/>
    <mergeCell ref="AI86:AN86"/>
    <mergeCell ref="AO86:AT86"/>
    <mergeCell ref="AC87:AH87"/>
    <mergeCell ref="AI87:AN87"/>
    <mergeCell ref="AO87:AT87"/>
    <mergeCell ref="E88:AB88"/>
    <mergeCell ref="AC88:AH88"/>
    <mergeCell ref="AI88:AN88"/>
    <mergeCell ref="AO88:AT88"/>
    <mergeCell ref="AC91:AH91"/>
    <mergeCell ref="AI91:AN91"/>
    <mergeCell ref="AO91:AT91"/>
    <mergeCell ref="AC92:AH92"/>
    <mergeCell ref="AI92:AN92"/>
    <mergeCell ref="AO92:AT92"/>
    <mergeCell ref="AC93:AH93"/>
    <mergeCell ref="AI93:AN93"/>
    <mergeCell ref="AO93:AT93"/>
    <mergeCell ref="AC94:AH94"/>
    <mergeCell ref="AI94:AN94"/>
    <mergeCell ref="AO94:AT94"/>
    <mergeCell ref="E95:AB95"/>
    <mergeCell ref="AC95:AH95"/>
    <mergeCell ref="AI95:AN95"/>
    <mergeCell ref="AO95:AT95"/>
    <mergeCell ref="AC98:AH98"/>
    <mergeCell ref="AI98:AN98"/>
    <mergeCell ref="AO98:AT98"/>
    <mergeCell ref="AC101:AH101"/>
    <mergeCell ref="AI101:AN101"/>
    <mergeCell ref="AO101:AT101"/>
    <mergeCell ref="AC102:AH102"/>
    <mergeCell ref="AI102:AN102"/>
    <mergeCell ref="AO102:AT102"/>
    <mergeCell ref="AC103:AH103"/>
    <mergeCell ref="AI103:AN103"/>
    <mergeCell ref="AO103:AT103"/>
    <mergeCell ref="AC104:AH104"/>
    <mergeCell ref="AI104:AN104"/>
    <mergeCell ref="AO104:AT104"/>
    <mergeCell ref="E105:AB105"/>
    <mergeCell ref="AC105:AH105"/>
    <mergeCell ref="AI105:AN105"/>
    <mergeCell ref="AO105:AT105"/>
    <mergeCell ref="AC108:AH108"/>
    <mergeCell ref="AI108:AN108"/>
    <mergeCell ref="AO108:AT108"/>
    <mergeCell ref="AC111:AH111"/>
    <mergeCell ref="AI111:AN111"/>
    <mergeCell ref="AO111:AT111"/>
    <mergeCell ref="AC114:AH114"/>
    <mergeCell ref="AI114:AN114"/>
    <mergeCell ref="AO114:AT11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V56"/>
  <sheetViews>
    <sheetView showGridLines="0" workbookViewId="0">
      <selection activeCell="AC34" sqref="AC34:AH34"/>
    </sheetView>
  </sheetViews>
  <sheetFormatPr defaultColWidth="2.71428571428571" defaultRowHeight="14.25"/>
  <cols>
    <col min="1" max="6" width="2.71428571428571" style="302"/>
    <col min="7" max="7" width="2.71428571428571" style="302" customWidth="1"/>
    <col min="8" max="9" width="2.71428571428571" style="302"/>
    <col min="10" max="10" width="2.71428571428571" style="302" customWidth="1"/>
    <col min="11" max="11" width="2.71428571428571" style="302"/>
    <col min="12" max="12" width="2.71428571428571" style="302" customWidth="1"/>
    <col min="13" max="16384" width="2.71428571428571" style="302"/>
  </cols>
  <sheetData>
    <row r="1" ht="20.25" spans="3:48">
      <c r="C1" s="303" t="s">
        <v>107</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463"/>
    </row>
    <row r="2" ht="18" spans="3:48">
      <c r="C2" s="305" t="s">
        <v>108</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464"/>
    </row>
    <row r="4" spans="5:46">
      <c r="E4" s="507" t="s">
        <v>109</v>
      </c>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row>
    <row r="5" s="505" customFormat="1" spans="29:46">
      <c r="AC5" s="530"/>
      <c r="AP5" s="509"/>
      <c r="AQ5" s="509"/>
      <c r="AR5" s="509"/>
      <c r="AS5" s="509"/>
      <c r="AT5" s="509"/>
    </row>
    <row r="6" s="506" customFormat="1" spans="5:46">
      <c r="E6" s="509" t="s">
        <v>4</v>
      </c>
      <c r="F6" s="509"/>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row>
    <row r="8" ht="15" spans="5:46">
      <c r="E8" s="307"/>
      <c r="F8" s="308"/>
      <c r="G8" s="308"/>
      <c r="H8" s="308"/>
      <c r="I8" s="308"/>
      <c r="J8" s="308"/>
      <c r="K8" s="308"/>
      <c r="L8" s="308"/>
      <c r="M8" s="308"/>
      <c r="N8" s="308"/>
      <c r="O8" s="308"/>
      <c r="P8" s="308"/>
      <c r="Q8" s="308"/>
      <c r="R8" s="308"/>
      <c r="S8" s="308"/>
      <c r="T8" s="308"/>
      <c r="U8" s="308"/>
      <c r="V8" s="308"/>
      <c r="W8" s="308"/>
      <c r="X8" s="308"/>
      <c r="Y8" s="308"/>
      <c r="Z8" s="308"/>
      <c r="AA8" s="308"/>
      <c r="AB8" s="308"/>
      <c r="AC8" s="350" t="str">
        <f>[1]FS_inputs!$AC$8:$AH$8</f>
        <v>Year 1</v>
      </c>
      <c r="AD8" s="393"/>
      <c r="AE8" s="393"/>
      <c r="AF8" s="393"/>
      <c r="AG8" s="393"/>
      <c r="AH8" s="404"/>
      <c r="AI8" s="320" t="str">
        <f>[1]FS_inputs!$AI$8:$AN$8</f>
        <v>Year 2</v>
      </c>
      <c r="AJ8" s="348"/>
      <c r="AK8" s="348"/>
      <c r="AL8" s="348"/>
      <c r="AM8" s="348"/>
      <c r="AN8" s="349"/>
      <c r="AO8" s="393" t="str">
        <f>[1]FS_inputs!$AO$8:$AT$8</f>
        <v>Year 3 
(most recent)</v>
      </c>
      <c r="AP8" s="393"/>
      <c r="AQ8" s="393"/>
      <c r="AR8" s="393"/>
      <c r="AS8" s="393"/>
      <c r="AT8" s="404"/>
    </row>
    <row r="9" spans="29:46">
      <c r="AC9" s="531"/>
      <c r="AD9" s="531"/>
      <c r="AE9" s="531"/>
      <c r="AF9" s="531"/>
      <c r="AG9" s="531"/>
      <c r="AH9" s="531"/>
      <c r="AI9" s="531"/>
      <c r="AJ9" s="531"/>
      <c r="AK9" s="531"/>
      <c r="AL9" s="531"/>
      <c r="AM9" s="531"/>
      <c r="AN9" s="531"/>
      <c r="AO9" s="531"/>
      <c r="AP9" s="531"/>
      <c r="AQ9" s="531"/>
      <c r="AR9" s="531"/>
      <c r="AS9" s="531"/>
      <c r="AT9" s="531"/>
    </row>
    <row r="10" spans="5:46">
      <c r="E10" s="510" t="s">
        <v>110</v>
      </c>
      <c r="F10" s="511"/>
      <c r="G10" s="511"/>
      <c r="H10" s="511"/>
      <c r="I10" s="511"/>
      <c r="J10" s="511"/>
      <c r="K10" s="511"/>
      <c r="L10" s="511"/>
      <c r="M10" s="511"/>
      <c r="N10" s="511"/>
      <c r="O10" s="511"/>
      <c r="P10" s="511"/>
      <c r="Q10" s="511"/>
      <c r="R10" s="511"/>
      <c r="S10" s="511"/>
      <c r="T10" s="511"/>
      <c r="U10" s="511"/>
      <c r="V10" s="511"/>
      <c r="W10" s="511"/>
      <c r="X10" s="511"/>
      <c r="Y10" s="511"/>
      <c r="Z10" s="511"/>
      <c r="AA10" s="511"/>
      <c r="AB10" s="511"/>
      <c r="AC10" s="532"/>
      <c r="AD10" s="532"/>
      <c r="AE10" s="532"/>
      <c r="AF10" s="532"/>
      <c r="AG10" s="532"/>
      <c r="AH10" s="532"/>
      <c r="AI10" s="532"/>
      <c r="AJ10" s="532"/>
      <c r="AK10" s="532"/>
      <c r="AL10" s="532"/>
      <c r="AM10" s="532"/>
      <c r="AN10" s="532"/>
      <c r="AO10" s="532"/>
      <c r="AP10" s="532"/>
      <c r="AQ10" s="532"/>
      <c r="AR10" s="532"/>
      <c r="AS10" s="532"/>
      <c r="AT10" s="547"/>
    </row>
    <row r="11" spans="5:46">
      <c r="E11" s="311"/>
      <c r="F11" s="312"/>
      <c r="G11" s="312"/>
      <c r="H11" s="312"/>
      <c r="I11" s="312" t="s">
        <v>102</v>
      </c>
      <c r="J11" s="312"/>
      <c r="K11" s="312"/>
      <c r="L11" s="312"/>
      <c r="M11" s="312"/>
      <c r="N11" s="312"/>
      <c r="O11" s="312"/>
      <c r="P11" s="312"/>
      <c r="Q11" s="312"/>
      <c r="R11" s="312"/>
      <c r="S11" s="312"/>
      <c r="T11" s="312"/>
      <c r="U11" s="312"/>
      <c r="V11" s="312"/>
      <c r="W11" s="312"/>
      <c r="X11" s="312"/>
      <c r="Y11" s="312"/>
      <c r="Z11" s="312"/>
      <c r="AA11" s="312"/>
      <c r="AB11" s="525"/>
      <c r="AC11" s="428">
        <v>83184</v>
      </c>
      <c r="AD11" s="428"/>
      <c r="AE11" s="428"/>
      <c r="AF11" s="428"/>
      <c r="AG11" s="428"/>
      <c r="AH11" s="449"/>
      <c r="AI11" s="450">
        <v>308354</v>
      </c>
      <c r="AJ11" s="428"/>
      <c r="AK11" s="428"/>
      <c r="AL11" s="428"/>
      <c r="AM11" s="428"/>
      <c r="AN11" s="449"/>
      <c r="AO11" s="450">
        <v>242318</v>
      </c>
      <c r="AP11" s="428"/>
      <c r="AQ11" s="428"/>
      <c r="AR11" s="428"/>
      <c r="AS11" s="428"/>
      <c r="AT11" s="465"/>
    </row>
    <row r="12" s="300" customFormat="1" spans="5:46">
      <c r="E12" s="512"/>
      <c r="F12" s="321"/>
      <c r="G12" s="513" t="s">
        <v>78</v>
      </c>
      <c r="H12" s="321"/>
      <c r="I12" s="321"/>
      <c r="J12" s="321"/>
      <c r="K12" s="321"/>
      <c r="L12" s="321"/>
      <c r="M12" s="321"/>
      <c r="N12" s="321"/>
      <c r="O12" s="321"/>
      <c r="P12" s="321"/>
      <c r="Q12" s="321"/>
      <c r="R12" s="321"/>
      <c r="S12" s="321"/>
      <c r="T12" s="321"/>
      <c r="U12" s="321"/>
      <c r="V12" s="321"/>
      <c r="W12" s="321"/>
      <c r="X12" s="321"/>
      <c r="Y12" s="321"/>
      <c r="Z12" s="321"/>
      <c r="AA12" s="321"/>
      <c r="AB12" s="321"/>
      <c r="AC12" s="533"/>
      <c r="AD12" s="533"/>
      <c r="AE12" s="533"/>
      <c r="AF12" s="533"/>
      <c r="AG12" s="533"/>
      <c r="AH12" s="533"/>
      <c r="AI12" s="533"/>
      <c r="AJ12" s="533"/>
      <c r="AK12" s="533"/>
      <c r="AL12" s="533"/>
      <c r="AM12" s="533"/>
      <c r="AN12" s="533"/>
      <c r="AO12" s="533"/>
      <c r="AP12" s="533"/>
      <c r="AQ12" s="533"/>
      <c r="AR12" s="533"/>
      <c r="AS12" s="533"/>
      <c r="AT12" s="548"/>
    </row>
    <row r="13" spans="5:46">
      <c r="E13" s="311"/>
      <c r="F13" s="312"/>
      <c r="G13" s="514"/>
      <c r="H13" s="312"/>
      <c r="I13" s="312" t="s">
        <v>79</v>
      </c>
      <c r="J13" s="312"/>
      <c r="K13" s="312"/>
      <c r="L13" s="312"/>
      <c r="M13" s="312"/>
      <c r="N13" s="312"/>
      <c r="O13" s="312"/>
      <c r="P13" s="312"/>
      <c r="Q13" s="312"/>
      <c r="R13" s="312"/>
      <c r="S13" s="312"/>
      <c r="T13" s="312"/>
      <c r="U13" s="312"/>
      <c r="V13" s="312"/>
      <c r="W13" s="312"/>
      <c r="X13" s="312"/>
      <c r="Y13" s="312"/>
      <c r="Z13" s="312"/>
      <c r="AA13" s="312"/>
      <c r="AB13" s="525"/>
      <c r="AC13" s="428">
        <v>132407</v>
      </c>
      <c r="AD13" s="428"/>
      <c r="AE13" s="428"/>
      <c r="AF13" s="428"/>
      <c r="AG13" s="428"/>
      <c r="AH13" s="449"/>
      <c r="AI13" s="450">
        <v>135755</v>
      </c>
      <c r="AJ13" s="428"/>
      <c r="AK13" s="428"/>
      <c r="AL13" s="428"/>
      <c r="AM13" s="428"/>
      <c r="AN13" s="449"/>
      <c r="AO13" s="450">
        <v>492314</v>
      </c>
      <c r="AP13" s="428"/>
      <c r="AQ13" s="428"/>
      <c r="AR13" s="428"/>
      <c r="AS13" s="428"/>
      <c r="AT13" s="465"/>
    </row>
    <row r="14" spans="5:46">
      <c r="E14" s="311"/>
      <c r="F14" s="312"/>
      <c r="G14" s="312"/>
      <c r="H14" s="312"/>
      <c r="I14" s="312" t="s">
        <v>80</v>
      </c>
      <c r="J14" s="312"/>
      <c r="K14" s="312"/>
      <c r="L14" s="312"/>
      <c r="M14" s="312"/>
      <c r="N14" s="312"/>
      <c r="O14" s="312"/>
      <c r="P14" s="312"/>
      <c r="Q14" s="312"/>
      <c r="R14" s="312"/>
      <c r="S14" s="312"/>
      <c r="T14" s="312"/>
      <c r="U14" s="312"/>
      <c r="V14" s="312"/>
      <c r="W14" s="312"/>
      <c r="X14" s="312"/>
      <c r="Y14" s="312"/>
      <c r="Z14" s="312"/>
      <c r="AA14" s="312"/>
      <c r="AB14" s="525"/>
      <c r="AC14" s="428"/>
      <c r="AD14" s="428"/>
      <c r="AE14" s="428"/>
      <c r="AF14" s="428"/>
      <c r="AG14" s="428"/>
      <c r="AH14" s="449"/>
      <c r="AI14" s="450">
        <v>2030</v>
      </c>
      <c r="AJ14" s="428"/>
      <c r="AK14" s="428"/>
      <c r="AL14" s="428"/>
      <c r="AM14" s="428"/>
      <c r="AN14" s="449"/>
      <c r="AO14" s="450"/>
      <c r="AP14" s="428"/>
      <c r="AQ14" s="428"/>
      <c r="AR14" s="428"/>
      <c r="AS14" s="428"/>
      <c r="AT14" s="465"/>
    </row>
    <row r="15" spans="5:46">
      <c r="E15" s="311"/>
      <c r="F15" s="312"/>
      <c r="G15" s="312"/>
      <c r="H15" s="312"/>
      <c r="I15" s="312" t="s">
        <v>81</v>
      </c>
      <c r="J15" s="312"/>
      <c r="K15" s="312"/>
      <c r="L15" s="312"/>
      <c r="M15" s="312"/>
      <c r="N15" s="312"/>
      <c r="O15" s="312"/>
      <c r="P15" s="312"/>
      <c r="Q15" s="312"/>
      <c r="R15" s="312"/>
      <c r="S15" s="312"/>
      <c r="T15" s="312"/>
      <c r="U15" s="312"/>
      <c r="V15" s="312"/>
      <c r="W15" s="312"/>
      <c r="X15" s="312"/>
      <c r="Y15" s="312"/>
      <c r="Z15" s="312"/>
      <c r="AA15" s="312"/>
      <c r="AB15" s="525"/>
      <c r="AC15" s="428">
        <f>164557-132407</f>
        <v>32150</v>
      </c>
      <c r="AD15" s="428"/>
      <c r="AE15" s="428"/>
      <c r="AF15" s="428"/>
      <c r="AG15" s="428"/>
      <c r="AH15" s="449"/>
      <c r="AI15" s="450">
        <f>14264+11160+118145</f>
        <v>143569</v>
      </c>
      <c r="AJ15" s="428"/>
      <c r="AK15" s="428"/>
      <c r="AL15" s="428"/>
      <c r="AM15" s="428"/>
      <c r="AN15" s="449"/>
      <c r="AO15" s="450">
        <f>1357615+470864+9189+4207</f>
        <v>1841875</v>
      </c>
      <c r="AP15" s="428"/>
      <c r="AQ15" s="428"/>
      <c r="AR15" s="428"/>
      <c r="AS15" s="428"/>
      <c r="AT15" s="465"/>
    </row>
    <row r="16" s="300" customFormat="1" spans="5:46">
      <c r="E16" s="512"/>
      <c r="F16" s="321"/>
      <c r="G16" s="513" t="s">
        <v>82</v>
      </c>
      <c r="H16" s="321"/>
      <c r="I16" s="321"/>
      <c r="J16" s="321"/>
      <c r="K16" s="321"/>
      <c r="L16" s="321"/>
      <c r="M16" s="321"/>
      <c r="N16" s="321"/>
      <c r="O16" s="321"/>
      <c r="P16" s="321"/>
      <c r="Q16" s="321"/>
      <c r="R16" s="321"/>
      <c r="S16" s="321"/>
      <c r="T16" s="321"/>
      <c r="U16" s="321"/>
      <c r="V16" s="321"/>
      <c r="W16" s="321"/>
      <c r="X16" s="321"/>
      <c r="Y16" s="321"/>
      <c r="Z16" s="321"/>
      <c r="AA16" s="321"/>
      <c r="AB16" s="321"/>
      <c r="AC16" s="533"/>
      <c r="AD16" s="533"/>
      <c r="AE16" s="533"/>
      <c r="AF16" s="533"/>
      <c r="AG16" s="533"/>
      <c r="AH16" s="533"/>
      <c r="AI16" s="533"/>
      <c r="AJ16" s="533"/>
      <c r="AK16" s="533"/>
      <c r="AL16" s="533"/>
      <c r="AM16" s="533"/>
      <c r="AN16" s="533"/>
      <c r="AO16" s="533"/>
      <c r="AP16" s="533"/>
      <c r="AQ16" s="533"/>
      <c r="AR16" s="533"/>
      <c r="AS16" s="533"/>
      <c r="AT16" s="548"/>
    </row>
    <row r="17" spans="5:46">
      <c r="E17" s="311"/>
      <c r="F17" s="312"/>
      <c r="G17" s="312"/>
      <c r="H17" s="312"/>
      <c r="I17" s="524" t="s">
        <v>83</v>
      </c>
      <c r="J17" s="514"/>
      <c r="K17" s="514"/>
      <c r="L17" s="514"/>
      <c r="M17" s="514"/>
      <c r="N17" s="514"/>
      <c r="O17" s="514"/>
      <c r="P17" s="514"/>
      <c r="Q17" s="514"/>
      <c r="R17" s="514"/>
      <c r="S17" s="514"/>
      <c r="T17" s="514"/>
      <c r="U17" s="514"/>
      <c r="V17" s="514"/>
      <c r="W17" s="514"/>
      <c r="X17" s="514"/>
      <c r="Y17" s="514"/>
      <c r="Z17" s="514"/>
      <c r="AA17" s="514"/>
      <c r="AB17" s="514"/>
      <c r="AC17" s="427">
        <v>8570</v>
      </c>
      <c r="AD17" s="428"/>
      <c r="AE17" s="428"/>
      <c r="AF17" s="428"/>
      <c r="AG17" s="428"/>
      <c r="AH17" s="449"/>
      <c r="AI17" s="450"/>
      <c r="AJ17" s="428"/>
      <c r="AK17" s="428"/>
      <c r="AL17" s="428"/>
      <c r="AM17" s="428"/>
      <c r="AN17" s="449"/>
      <c r="AO17" s="428"/>
      <c r="AP17" s="428"/>
      <c r="AQ17" s="428"/>
      <c r="AR17" s="428"/>
      <c r="AS17" s="428"/>
      <c r="AT17" s="465"/>
    </row>
    <row r="18" spans="5:46">
      <c r="E18" s="311"/>
      <c r="F18" s="312"/>
      <c r="G18" s="312"/>
      <c r="H18" s="312"/>
      <c r="I18" s="312" t="s">
        <v>84</v>
      </c>
      <c r="J18" s="312"/>
      <c r="K18" s="312"/>
      <c r="L18" s="312"/>
      <c r="M18" s="312"/>
      <c r="N18" s="312"/>
      <c r="O18" s="312"/>
      <c r="P18" s="312"/>
      <c r="Q18" s="312"/>
      <c r="R18" s="312"/>
      <c r="S18" s="312"/>
      <c r="T18" s="312"/>
      <c r="U18" s="312"/>
      <c r="V18" s="312"/>
      <c r="W18" s="312"/>
      <c r="X18" s="312"/>
      <c r="Y18" s="312"/>
      <c r="Z18" s="312"/>
      <c r="AA18" s="312"/>
      <c r="AB18" s="312"/>
      <c r="AC18" s="427">
        <v>19199</v>
      </c>
      <c r="AD18" s="428"/>
      <c r="AE18" s="428"/>
      <c r="AF18" s="428"/>
      <c r="AG18" s="428"/>
      <c r="AH18" s="449"/>
      <c r="AI18" s="450">
        <v>26062</v>
      </c>
      <c r="AJ18" s="428"/>
      <c r="AK18" s="428"/>
      <c r="AL18" s="428"/>
      <c r="AM18" s="428"/>
      <c r="AN18" s="449"/>
      <c r="AO18" s="428">
        <v>15135</v>
      </c>
      <c r="AP18" s="428"/>
      <c r="AQ18" s="428"/>
      <c r="AR18" s="428"/>
      <c r="AS18" s="428"/>
      <c r="AT18" s="465"/>
    </row>
    <row r="19" spans="5:46">
      <c r="E19" s="311"/>
      <c r="F19" s="312"/>
      <c r="G19" s="312"/>
      <c r="H19" s="312"/>
      <c r="I19" s="312" t="s">
        <v>85</v>
      </c>
      <c r="J19" s="312"/>
      <c r="K19" s="312"/>
      <c r="L19" s="312"/>
      <c r="M19" s="312"/>
      <c r="N19" s="312"/>
      <c r="O19" s="312"/>
      <c r="P19" s="312"/>
      <c r="Q19" s="312"/>
      <c r="R19" s="312"/>
      <c r="S19" s="312"/>
      <c r="T19" s="312"/>
      <c r="U19" s="312"/>
      <c r="V19" s="312"/>
      <c r="W19" s="312"/>
      <c r="X19" s="312"/>
      <c r="Y19" s="312"/>
      <c r="Z19" s="312"/>
      <c r="AA19" s="312"/>
      <c r="AB19" s="312"/>
      <c r="AC19" s="427"/>
      <c r="AD19" s="428"/>
      <c r="AE19" s="428"/>
      <c r="AF19" s="428"/>
      <c r="AG19" s="428"/>
      <c r="AH19" s="449"/>
      <c r="AI19" s="450"/>
      <c r="AJ19" s="428"/>
      <c r="AK19" s="428"/>
      <c r="AL19" s="428"/>
      <c r="AM19" s="428"/>
      <c r="AN19" s="449"/>
      <c r="AO19" s="428">
        <v>24302</v>
      </c>
      <c r="AP19" s="428"/>
      <c r="AQ19" s="428"/>
      <c r="AR19" s="428"/>
      <c r="AS19" s="428"/>
      <c r="AT19" s="465"/>
    </row>
    <row r="20" spans="5:46">
      <c r="E20" s="311"/>
      <c r="F20" s="312"/>
      <c r="G20" s="312"/>
      <c r="H20" s="312"/>
      <c r="I20" s="312" t="s">
        <v>86</v>
      </c>
      <c r="J20" s="312"/>
      <c r="K20" s="312"/>
      <c r="L20" s="312"/>
      <c r="M20" s="312"/>
      <c r="N20" s="312"/>
      <c r="O20" s="312"/>
      <c r="P20" s="312"/>
      <c r="Q20" s="312"/>
      <c r="R20" s="312"/>
      <c r="S20" s="312"/>
      <c r="T20" s="312"/>
      <c r="U20" s="312"/>
      <c r="V20" s="312"/>
      <c r="W20" s="312"/>
      <c r="X20" s="312"/>
      <c r="Y20" s="312"/>
      <c r="Z20" s="312"/>
      <c r="AA20" s="312"/>
      <c r="AB20" s="312"/>
      <c r="AC20" s="427"/>
      <c r="AD20" s="428"/>
      <c r="AE20" s="428"/>
      <c r="AF20" s="428"/>
      <c r="AG20" s="428"/>
      <c r="AH20" s="449"/>
      <c r="AI20" s="450"/>
      <c r="AJ20" s="428"/>
      <c r="AK20" s="428"/>
      <c r="AL20" s="428"/>
      <c r="AM20" s="428"/>
      <c r="AN20" s="449"/>
      <c r="AO20" s="428"/>
      <c r="AP20" s="428"/>
      <c r="AQ20" s="428"/>
      <c r="AR20" s="428"/>
      <c r="AS20" s="428"/>
      <c r="AT20" s="465"/>
    </row>
    <row r="21" ht="15" spans="5:46">
      <c r="E21" s="515"/>
      <c r="F21" s="516"/>
      <c r="G21" s="516"/>
      <c r="H21" s="516"/>
      <c r="I21" s="516" t="s">
        <v>71</v>
      </c>
      <c r="J21" s="516"/>
      <c r="K21" s="516"/>
      <c r="L21" s="516"/>
      <c r="M21" s="516"/>
      <c r="N21" s="516"/>
      <c r="O21" s="516"/>
      <c r="P21" s="516"/>
      <c r="Q21" s="516"/>
      <c r="R21" s="516"/>
      <c r="S21" s="516"/>
      <c r="T21" s="516"/>
      <c r="U21" s="516"/>
      <c r="V21" s="516"/>
      <c r="W21" s="516"/>
      <c r="X21" s="516"/>
      <c r="Y21" s="516"/>
      <c r="Z21" s="516"/>
      <c r="AA21" s="516"/>
      <c r="AB21" s="516"/>
      <c r="AC21" s="534"/>
      <c r="AD21" s="535"/>
      <c r="AE21" s="535"/>
      <c r="AF21" s="535"/>
      <c r="AG21" s="535"/>
      <c r="AH21" s="540"/>
      <c r="AI21" s="541"/>
      <c r="AJ21" s="542"/>
      <c r="AK21" s="542"/>
      <c r="AL21" s="542"/>
      <c r="AM21" s="542"/>
      <c r="AN21" s="546"/>
      <c r="AO21" s="542"/>
      <c r="AP21" s="542"/>
      <c r="AQ21" s="542"/>
      <c r="AR21" s="542"/>
      <c r="AS21" s="542"/>
      <c r="AT21" s="549"/>
    </row>
    <row r="22" ht="15" spans="5:46">
      <c r="E22" s="517" t="s">
        <v>111</v>
      </c>
      <c r="F22" s="518"/>
      <c r="G22" s="518"/>
      <c r="H22" s="518"/>
      <c r="I22" s="518"/>
      <c r="J22" s="518"/>
      <c r="K22" s="518"/>
      <c r="L22" s="518"/>
      <c r="M22" s="518"/>
      <c r="N22" s="518"/>
      <c r="O22" s="518"/>
      <c r="P22" s="518"/>
      <c r="Q22" s="518"/>
      <c r="R22" s="518"/>
      <c r="S22" s="518"/>
      <c r="T22" s="518"/>
      <c r="U22" s="518"/>
      <c r="V22" s="518"/>
      <c r="W22" s="518"/>
      <c r="X22" s="518"/>
      <c r="Y22" s="518"/>
      <c r="Z22" s="518"/>
      <c r="AA22" s="518"/>
      <c r="AB22" s="526"/>
      <c r="AC22" s="536">
        <f>AC11-SUM(AC13:AH15)+SUM(AC17:AH21)</f>
        <v>-53604</v>
      </c>
      <c r="AD22" s="536"/>
      <c r="AE22" s="536"/>
      <c r="AF22" s="536"/>
      <c r="AG22" s="536"/>
      <c r="AH22" s="543"/>
      <c r="AI22" s="544">
        <f>AI11-SUM(AI13:AN15)+SUM(AI17:AN21)</f>
        <v>53062</v>
      </c>
      <c r="AJ22" s="536"/>
      <c r="AK22" s="536"/>
      <c r="AL22" s="536"/>
      <c r="AM22" s="536"/>
      <c r="AN22" s="543"/>
      <c r="AO22" s="544">
        <f>AO11-SUM(AO13:AT15)+SUM(AO17:AT21)</f>
        <v>-2052434</v>
      </c>
      <c r="AP22" s="536"/>
      <c r="AQ22" s="536"/>
      <c r="AR22" s="536"/>
      <c r="AS22" s="536"/>
      <c r="AT22" s="550"/>
    </row>
    <row r="23" s="505" customFormat="1" ht="15" spans="5:46">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537"/>
      <c r="AD23" s="537"/>
      <c r="AE23" s="537"/>
      <c r="AF23" s="537"/>
      <c r="AG23" s="537"/>
      <c r="AH23" s="537"/>
      <c r="AI23" s="537"/>
      <c r="AJ23" s="537"/>
      <c r="AK23" s="537"/>
      <c r="AL23" s="537"/>
      <c r="AM23" s="537"/>
      <c r="AN23" s="537"/>
      <c r="AO23" s="537"/>
      <c r="AP23" s="537"/>
      <c r="AQ23" s="537"/>
      <c r="AR23" s="537"/>
      <c r="AS23" s="537"/>
      <c r="AT23" s="537"/>
    </row>
    <row r="24" spans="5:46">
      <c r="E24" s="510" t="s">
        <v>62</v>
      </c>
      <c r="F24" s="519"/>
      <c r="G24" s="519"/>
      <c r="H24" s="519"/>
      <c r="I24" s="519"/>
      <c r="J24" s="519"/>
      <c r="K24" s="519"/>
      <c r="L24" s="519"/>
      <c r="M24" s="519"/>
      <c r="N24" s="519"/>
      <c r="O24" s="519"/>
      <c r="P24" s="519"/>
      <c r="Q24" s="519"/>
      <c r="R24" s="519"/>
      <c r="S24" s="519"/>
      <c r="T24" s="519"/>
      <c r="U24" s="519"/>
      <c r="V24" s="519"/>
      <c r="W24" s="519"/>
      <c r="X24" s="519"/>
      <c r="Y24" s="519"/>
      <c r="Z24" s="519"/>
      <c r="AA24" s="519"/>
      <c r="AB24" s="519"/>
      <c r="AC24" s="532"/>
      <c r="AD24" s="532"/>
      <c r="AE24" s="532"/>
      <c r="AF24" s="532"/>
      <c r="AG24" s="532"/>
      <c r="AH24" s="532"/>
      <c r="AI24" s="532"/>
      <c r="AJ24" s="532"/>
      <c r="AK24" s="532"/>
      <c r="AL24" s="532"/>
      <c r="AM24" s="532"/>
      <c r="AN24" s="532"/>
      <c r="AO24" s="532"/>
      <c r="AP24" s="532"/>
      <c r="AQ24" s="532"/>
      <c r="AR24" s="532"/>
      <c r="AS24" s="532"/>
      <c r="AT24" s="547"/>
    </row>
    <row r="25" spans="5:46">
      <c r="E25" s="311"/>
      <c r="F25" s="312"/>
      <c r="G25" s="312"/>
      <c r="H25" s="312"/>
      <c r="I25" s="312" t="s">
        <v>63</v>
      </c>
      <c r="J25" s="312"/>
      <c r="K25" s="312"/>
      <c r="L25" s="312"/>
      <c r="M25" s="312"/>
      <c r="N25" s="312"/>
      <c r="O25" s="312"/>
      <c r="P25" s="312"/>
      <c r="Q25" s="312"/>
      <c r="R25" s="312"/>
      <c r="S25" s="312"/>
      <c r="T25" s="312"/>
      <c r="U25" s="312"/>
      <c r="V25" s="312"/>
      <c r="W25" s="312"/>
      <c r="X25" s="312"/>
      <c r="Y25" s="312"/>
      <c r="Z25" s="312"/>
      <c r="AA25" s="312"/>
      <c r="AB25" s="525"/>
      <c r="AC25" s="428">
        <v>394097</v>
      </c>
      <c r="AD25" s="428"/>
      <c r="AE25" s="428"/>
      <c r="AF25" s="428"/>
      <c r="AG25" s="428"/>
      <c r="AH25" s="449"/>
      <c r="AI25" s="450">
        <v>283821</v>
      </c>
      <c r="AJ25" s="428"/>
      <c r="AK25" s="428"/>
      <c r="AL25" s="428"/>
      <c r="AM25" s="428"/>
      <c r="AN25" s="449"/>
      <c r="AO25" s="428">
        <f>209362</f>
        <v>209362</v>
      </c>
      <c r="AP25" s="428"/>
      <c r="AQ25" s="428"/>
      <c r="AR25" s="428"/>
      <c r="AS25" s="428"/>
      <c r="AT25" s="465"/>
    </row>
    <row r="26" spans="5:46">
      <c r="E26" s="311"/>
      <c r="F26" s="312"/>
      <c r="G26" s="312"/>
      <c r="H26" s="312"/>
      <c r="I26" s="312" t="s">
        <v>64</v>
      </c>
      <c r="J26" s="312"/>
      <c r="K26" s="312"/>
      <c r="L26" s="312"/>
      <c r="M26" s="312"/>
      <c r="N26" s="312"/>
      <c r="O26" s="312"/>
      <c r="P26" s="312"/>
      <c r="Q26" s="312"/>
      <c r="R26" s="312"/>
      <c r="S26" s="312"/>
      <c r="T26" s="312"/>
      <c r="U26" s="312"/>
      <c r="V26" s="312"/>
      <c r="W26" s="312"/>
      <c r="X26" s="312"/>
      <c r="Y26" s="312"/>
      <c r="Z26" s="312"/>
      <c r="AA26" s="312"/>
      <c r="AB26" s="525"/>
      <c r="AC26" s="428">
        <v>65725</v>
      </c>
      <c r="AD26" s="428"/>
      <c r="AE26" s="428"/>
      <c r="AF26" s="428"/>
      <c r="AG26" s="428"/>
      <c r="AH26" s="449"/>
      <c r="AI26" s="450">
        <v>6495</v>
      </c>
      <c r="AJ26" s="428"/>
      <c r="AK26" s="428"/>
      <c r="AL26" s="428"/>
      <c r="AM26" s="428"/>
      <c r="AN26" s="449"/>
      <c r="AO26" s="428">
        <f>265595</f>
        <v>265595</v>
      </c>
      <c r="AP26" s="428"/>
      <c r="AQ26" s="428"/>
      <c r="AR26" s="428"/>
      <c r="AS26" s="428"/>
      <c r="AT26" s="465"/>
    </row>
    <row r="27" spans="5:46">
      <c r="E27" s="311"/>
      <c r="F27" s="312"/>
      <c r="G27" s="312"/>
      <c r="H27" s="312"/>
      <c r="I27" s="524" t="s">
        <v>65</v>
      </c>
      <c r="J27" s="514"/>
      <c r="K27" s="514"/>
      <c r="L27" s="514"/>
      <c r="M27" s="514"/>
      <c r="N27" s="514"/>
      <c r="O27" s="514"/>
      <c r="P27" s="514"/>
      <c r="Q27" s="514"/>
      <c r="R27" s="514"/>
      <c r="S27" s="514"/>
      <c r="T27" s="514"/>
      <c r="U27" s="514"/>
      <c r="V27" s="514"/>
      <c r="W27" s="514"/>
      <c r="X27" s="514"/>
      <c r="Y27" s="514"/>
      <c r="Z27" s="514"/>
      <c r="AA27" s="514"/>
      <c r="AB27" s="527"/>
      <c r="AC27" s="428">
        <f>10776+5154</f>
        <v>15930</v>
      </c>
      <c r="AD27" s="428"/>
      <c r="AE27" s="428"/>
      <c r="AF27" s="428"/>
      <c r="AG27" s="428"/>
      <c r="AH27" s="449"/>
      <c r="AI27" s="450">
        <f>6711+4510</f>
        <v>11221</v>
      </c>
      <c r="AJ27" s="428"/>
      <c r="AK27" s="428"/>
      <c r="AL27" s="428"/>
      <c r="AM27" s="428"/>
      <c r="AN27" s="449"/>
      <c r="AO27" s="428">
        <f>8282+5924</f>
        <v>14206</v>
      </c>
      <c r="AP27" s="428"/>
      <c r="AQ27" s="428"/>
      <c r="AR27" s="428"/>
      <c r="AS27" s="428"/>
      <c r="AT27" s="465"/>
    </row>
    <row r="28" spans="5:46">
      <c r="E28" s="311"/>
      <c r="F28" s="312"/>
      <c r="G28" s="312"/>
      <c r="H28" s="312"/>
      <c r="I28" s="312" t="s">
        <v>66</v>
      </c>
      <c r="J28" s="312"/>
      <c r="K28" s="312"/>
      <c r="L28" s="312"/>
      <c r="M28" s="312"/>
      <c r="N28" s="312"/>
      <c r="O28" s="312"/>
      <c r="P28" s="312"/>
      <c r="Q28" s="312"/>
      <c r="R28" s="312"/>
      <c r="S28" s="312"/>
      <c r="T28" s="312"/>
      <c r="U28" s="312"/>
      <c r="V28" s="312"/>
      <c r="W28" s="312"/>
      <c r="X28" s="312"/>
      <c r="Y28" s="312"/>
      <c r="Z28" s="312"/>
      <c r="AA28" s="312"/>
      <c r="AB28" s="525"/>
      <c r="AC28" s="428">
        <f>17232+3315</f>
        <v>20547</v>
      </c>
      <c r="AD28" s="428"/>
      <c r="AE28" s="428"/>
      <c r="AF28" s="428"/>
      <c r="AG28" s="428"/>
      <c r="AH28" s="449"/>
      <c r="AI28" s="450">
        <f>28375+24085</f>
        <v>52460</v>
      </c>
      <c r="AJ28" s="428"/>
      <c r="AK28" s="428"/>
      <c r="AL28" s="428"/>
      <c r="AM28" s="428"/>
      <c r="AN28" s="449"/>
      <c r="AO28" s="428">
        <f>74900+6450</f>
        <v>81350</v>
      </c>
      <c r="AP28" s="428"/>
      <c r="AQ28" s="428"/>
      <c r="AR28" s="428"/>
      <c r="AS28" s="428"/>
      <c r="AT28" s="465"/>
    </row>
    <row r="29" spans="5:46">
      <c r="E29" s="311"/>
      <c r="F29" s="312"/>
      <c r="G29" s="312"/>
      <c r="H29" s="312"/>
      <c r="I29" s="312" t="s">
        <v>67</v>
      </c>
      <c r="J29" s="312"/>
      <c r="K29" s="312"/>
      <c r="L29" s="312"/>
      <c r="M29" s="312"/>
      <c r="N29" s="312"/>
      <c r="O29" s="312"/>
      <c r="P29" s="312"/>
      <c r="Q29" s="312"/>
      <c r="R29" s="312"/>
      <c r="S29" s="312"/>
      <c r="T29" s="312"/>
      <c r="U29" s="312"/>
      <c r="V29" s="312"/>
      <c r="W29" s="312"/>
      <c r="X29" s="312"/>
      <c r="Y29" s="312"/>
      <c r="Z29" s="312"/>
      <c r="AA29" s="312"/>
      <c r="AB29" s="525"/>
      <c r="AC29" s="428">
        <v>6211</v>
      </c>
      <c r="AD29" s="428"/>
      <c r="AE29" s="428"/>
      <c r="AF29" s="428"/>
      <c r="AG29" s="428"/>
      <c r="AH29" s="449"/>
      <c r="AI29" s="450">
        <v>8524</v>
      </c>
      <c r="AJ29" s="428"/>
      <c r="AK29" s="428"/>
      <c r="AL29" s="428"/>
      <c r="AM29" s="428"/>
      <c r="AN29" s="449"/>
      <c r="AO29" s="428">
        <f>3678</f>
        <v>3678</v>
      </c>
      <c r="AP29" s="428"/>
      <c r="AQ29" s="428"/>
      <c r="AR29" s="428"/>
      <c r="AS29" s="428"/>
      <c r="AT29" s="465"/>
    </row>
    <row r="30" spans="5:46">
      <c r="E30" s="311"/>
      <c r="F30" s="312"/>
      <c r="G30" s="312"/>
      <c r="H30" s="312"/>
      <c r="I30" s="312" t="s">
        <v>68</v>
      </c>
      <c r="J30" s="312"/>
      <c r="K30" s="312"/>
      <c r="L30" s="312"/>
      <c r="M30" s="312"/>
      <c r="N30" s="312"/>
      <c r="O30" s="312"/>
      <c r="P30" s="312"/>
      <c r="Q30" s="312"/>
      <c r="R30" s="312"/>
      <c r="S30" s="312"/>
      <c r="T30" s="312"/>
      <c r="U30" s="312"/>
      <c r="V30" s="312"/>
      <c r="W30" s="312"/>
      <c r="X30" s="312"/>
      <c r="Y30" s="312"/>
      <c r="Z30" s="312"/>
      <c r="AA30" s="312"/>
      <c r="AB30" s="525"/>
      <c r="AC30" s="428"/>
      <c r="AD30" s="428"/>
      <c r="AE30" s="428"/>
      <c r="AF30" s="428"/>
      <c r="AG30" s="428"/>
      <c r="AH30" s="449"/>
      <c r="AI30" s="450"/>
      <c r="AJ30" s="428"/>
      <c r="AK30" s="428"/>
      <c r="AL30" s="428"/>
      <c r="AM30" s="428"/>
      <c r="AN30" s="449"/>
      <c r="AO30" s="428"/>
      <c r="AP30" s="428"/>
      <c r="AQ30" s="428"/>
      <c r="AR30" s="428"/>
      <c r="AS30" s="428"/>
      <c r="AT30" s="465"/>
    </row>
    <row r="31" spans="5:46">
      <c r="E31" s="311"/>
      <c r="F31" s="312"/>
      <c r="G31" s="312"/>
      <c r="H31" s="312"/>
      <c r="I31" s="312" t="s">
        <v>69</v>
      </c>
      <c r="J31" s="312"/>
      <c r="K31" s="312"/>
      <c r="L31" s="312"/>
      <c r="M31" s="312"/>
      <c r="N31" s="312"/>
      <c r="O31" s="312"/>
      <c r="P31" s="312"/>
      <c r="Q31" s="312"/>
      <c r="R31" s="312"/>
      <c r="S31" s="312"/>
      <c r="T31" s="312"/>
      <c r="U31" s="312"/>
      <c r="V31" s="312"/>
      <c r="W31" s="312"/>
      <c r="X31" s="312"/>
      <c r="Y31" s="312"/>
      <c r="Z31" s="312"/>
      <c r="AA31" s="312"/>
      <c r="AB31" s="525"/>
      <c r="AC31" s="428">
        <v>534000</v>
      </c>
      <c r="AD31" s="428"/>
      <c r="AE31" s="428"/>
      <c r="AF31" s="428"/>
      <c r="AG31" s="428"/>
      <c r="AH31" s="449"/>
      <c r="AI31" s="450">
        <v>422000</v>
      </c>
      <c r="AJ31" s="428"/>
      <c r="AK31" s="428"/>
      <c r="AL31" s="428"/>
      <c r="AM31" s="428"/>
      <c r="AN31" s="449"/>
      <c r="AO31" s="428">
        <v>444000</v>
      </c>
      <c r="AP31" s="428"/>
      <c r="AQ31" s="428"/>
      <c r="AR31" s="428"/>
      <c r="AS31" s="428"/>
      <c r="AT31" s="465"/>
    </row>
    <row r="32" spans="5:46">
      <c r="E32" s="311"/>
      <c r="F32" s="312"/>
      <c r="G32" s="312"/>
      <c r="H32" s="312"/>
      <c r="I32" s="312" t="s">
        <v>70</v>
      </c>
      <c r="J32" s="312"/>
      <c r="K32" s="312"/>
      <c r="L32" s="312"/>
      <c r="M32" s="312"/>
      <c r="N32" s="312"/>
      <c r="O32" s="312"/>
      <c r="P32" s="312"/>
      <c r="Q32" s="312"/>
      <c r="R32" s="312"/>
      <c r="S32" s="312"/>
      <c r="T32" s="312"/>
      <c r="U32" s="312"/>
      <c r="V32" s="312"/>
      <c r="W32" s="312"/>
      <c r="X32" s="312"/>
      <c r="Y32" s="312"/>
      <c r="Z32" s="312"/>
      <c r="AA32" s="312"/>
      <c r="AB32" s="525"/>
      <c r="AC32" s="428"/>
      <c r="AD32" s="428"/>
      <c r="AE32" s="428"/>
      <c r="AF32" s="428"/>
      <c r="AG32" s="428"/>
      <c r="AH32" s="449"/>
      <c r="AI32" s="450"/>
      <c r="AJ32" s="428"/>
      <c r="AK32" s="428"/>
      <c r="AL32" s="428"/>
      <c r="AM32" s="428"/>
      <c r="AN32" s="449"/>
      <c r="AO32" s="428"/>
      <c r="AP32" s="428"/>
      <c r="AQ32" s="428"/>
      <c r="AR32" s="428"/>
      <c r="AS32" s="428"/>
      <c r="AT32" s="465"/>
    </row>
    <row r="33" ht="15" spans="5:46">
      <c r="E33" s="515"/>
      <c r="F33" s="516"/>
      <c r="G33" s="516"/>
      <c r="H33" s="516"/>
      <c r="I33" s="516" t="s">
        <v>71</v>
      </c>
      <c r="J33" s="516"/>
      <c r="K33" s="516"/>
      <c r="L33" s="516"/>
      <c r="M33" s="516"/>
      <c r="N33" s="516"/>
      <c r="O33" s="516"/>
      <c r="P33" s="516"/>
      <c r="Q33" s="516"/>
      <c r="R33" s="516"/>
      <c r="S33" s="516"/>
      <c r="T33" s="516"/>
      <c r="U33" s="516"/>
      <c r="V33" s="516"/>
      <c r="W33" s="516"/>
      <c r="X33" s="516"/>
      <c r="Y33" s="516"/>
      <c r="Z33" s="516"/>
      <c r="AA33" s="516"/>
      <c r="AB33" s="516"/>
      <c r="AC33" s="534"/>
      <c r="AD33" s="535"/>
      <c r="AE33" s="535"/>
      <c r="AF33" s="535"/>
      <c r="AG33" s="535"/>
      <c r="AH33" s="540"/>
      <c r="AI33" s="541"/>
      <c r="AJ33" s="542"/>
      <c r="AK33" s="542"/>
      <c r="AL33" s="542"/>
      <c r="AM33" s="542"/>
      <c r="AN33" s="546"/>
      <c r="AO33" s="542"/>
      <c r="AP33" s="542"/>
      <c r="AQ33" s="542"/>
      <c r="AR33" s="542"/>
      <c r="AS33" s="542"/>
      <c r="AT33" s="549"/>
    </row>
    <row r="34" ht="15" spans="5:46">
      <c r="E34" s="517" t="s">
        <v>72</v>
      </c>
      <c r="F34" s="520"/>
      <c r="G34" s="520"/>
      <c r="H34" s="520"/>
      <c r="I34" s="520"/>
      <c r="J34" s="520"/>
      <c r="K34" s="520"/>
      <c r="L34" s="520"/>
      <c r="M34" s="520"/>
      <c r="N34" s="520"/>
      <c r="O34" s="520"/>
      <c r="P34" s="520"/>
      <c r="Q34" s="520"/>
      <c r="R34" s="520"/>
      <c r="S34" s="520"/>
      <c r="T34" s="520"/>
      <c r="U34" s="520"/>
      <c r="V34" s="520"/>
      <c r="W34" s="520"/>
      <c r="X34" s="520"/>
      <c r="Y34" s="520"/>
      <c r="Z34" s="520"/>
      <c r="AA34" s="520"/>
      <c r="AB34" s="528"/>
      <c r="AC34" s="536">
        <f>SUM(AC25:AH33)</f>
        <v>1036510</v>
      </c>
      <c r="AD34" s="536"/>
      <c r="AE34" s="536"/>
      <c r="AF34" s="536"/>
      <c r="AG34" s="536"/>
      <c r="AH34" s="543"/>
      <c r="AI34" s="536">
        <f>SUM(AI25:AN33)</f>
        <v>784521</v>
      </c>
      <c r="AJ34" s="536"/>
      <c r="AK34" s="536"/>
      <c r="AL34" s="536"/>
      <c r="AM34" s="536"/>
      <c r="AN34" s="543"/>
      <c r="AO34" s="536">
        <f>SUM(AO25:AT33)</f>
        <v>1018191</v>
      </c>
      <c r="AP34" s="536"/>
      <c r="AQ34" s="536"/>
      <c r="AR34" s="536"/>
      <c r="AS34" s="536"/>
      <c r="AT34" s="550"/>
    </row>
    <row r="35" s="300" customFormat="1" ht="15" spans="5:46">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537"/>
      <c r="AD35" s="537"/>
      <c r="AE35" s="537"/>
      <c r="AF35" s="537"/>
      <c r="AG35" s="537"/>
      <c r="AH35" s="537"/>
      <c r="AI35" s="537"/>
      <c r="AJ35" s="537"/>
      <c r="AK35" s="537"/>
      <c r="AL35" s="537"/>
      <c r="AM35" s="537"/>
      <c r="AN35" s="537"/>
      <c r="AO35" s="537"/>
      <c r="AP35" s="537"/>
      <c r="AQ35" s="537"/>
      <c r="AR35" s="537"/>
      <c r="AS35" s="537"/>
      <c r="AT35" s="537"/>
    </row>
    <row r="36" spans="5:46">
      <c r="E36" s="510" t="s">
        <v>96</v>
      </c>
      <c r="F36" s="519"/>
      <c r="G36" s="519"/>
      <c r="H36" s="519"/>
      <c r="I36" s="519"/>
      <c r="J36" s="519"/>
      <c r="K36" s="519"/>
      <c r="L36" s="519"/>
      <c r="M36" s="519"/>
      <c r="N36" s="519"/>
      <c r="O36" s="519"/>
      <c r="P36" s="519"/>
      <c r="Q36" s="519"/>
      <c r="R36" s="519"/>
      <c r="S36" s="519"/>
      <c r="T36" s="519"/>
      <c r="U36" s="519"/>
      <c r="V36" s="519"/>
      <c r="W36" s="519"/>
      <c r="X36" s="519"/>
      <c r="Y36" s="519"/>
      <c r="Z36" s="519"/>
      <c r="AA36" s="519"/>
      <c r="AB36" s="519"/>
      <c r="AC36" s="532"/>
      <c r="AD36" s="532"/>
      <c r="AE36" s="532"/>
      <c r="AF36" s="532"/>
      <c r="AG36" s="532"/>
      <c r="AH36" s="532"/>
      <c r="AI36" s="532"/>
      <c r="AJ36" s="532"/>
      <c r="AK36" s="532"/>
      <c r="AL36" s="532"/>
      <c r="AM36" s="532"/>
      <c r="AN36" s="532"/>
      <c r="AO36" s="532"/>
      <c r="AP36" s="532"/>
      <c r="AQ36" s="532"/>
      <c r="AR36" s="532"/>
      <c r="AS36" s="532"/>
      <c r="AT36" s="547"/>
    </row>
    <row r="37" spans="5:46">
      <c r="E37" s="311"/>
      <c r="F37" s="312"/>
      <c r="G37" s="312"/>
      <c r="H37" s="312"/>
      <c r="I37" s="312" t="s">
        <v>97</v>
      </c>
      <c r="J37" s="312"/>
      <c r="K37" s="312"/>
      <c r="L37" s="312"/>
      <c r="M37" s="312"/>
      <c r="N37" s="312"/>
      <c r="O37" s="312"/>
      <c r="P37" s="312"/>
      <c r="Q37" s="312"/>
      <c r="R37" s="312"/>
      <c r="S37" s="312"/>
      <c r="T37" s="312"/>
      <c r="U37" s="312"/>
      <c r="V37" s="312"/>
      <c r="W37" s="312"/>
      <c r="X37" s="312"/>
      <c r="Y37" s="312"/>
      <c r="Z37" s="312"/>
      <c r="AA37" s="312"/>
      <c r="AB37" s="525"/>
      <c r="AC37" s="428">
        <v>534580</v>
      </c>
      <c r="AD37" s="428"/>
      <c r="AE37" s="428"/>
      <c r="AF37" s="428"/>
      <c r="AG37" s="428"/>
      <c r="AH37" s="449"/>
      <c r="AI37" s="450">
        <v>334666</v>
      </c>
      <c r="AJ37" s="428"/>
      <c r="AK37" s="428"/>
      <c r="AL37" s="428"/>
      <c r="AM37" s="428"/>
      <c r="AN37" s="449"/>
      <c r="AO37" s="428">
        <v>578254</v>
      </c>
      <c r="AP37" s="428"/>
      <c r="AQ37" s="428"/>
      <c r="AR37" s="428"/>
      <c r="AS37" s="428"/>
      <c r="AT37" s="465"/>
    </row>
    <row r="38" spans="5:46">
      <c r="E38" s="311"/>
      <c r="F38" s="312"/>
      <c r="G38" s="312"/>
      <c r="H38" s="312"/>
      <c r="I38" s="312" t="s">
        <v>98</v>
      </c>
      <c r="J38" s="312"/>
      <c r="K38" s="312"/>
      <c r="L38" s="312"/>
      <c r="M38" s="312"/>
      <c r="N38" s="312"/>
      <c r="O38" s="312"/>
      <c r="P38" s="312"/>
      <c r="Q38" s="312"/>
      <c r="R38" s="312"/>
      <c r="S38" s="312"/>
      <c r="T38" s="312"/>
      <c r="U38" s="312"/>
      <c r="V38" s="312"/>
      <c r="W38" s="312"/>
      <c r="X38" s="312"/>
      <c r="Y38" s="312"/>
      <c r="Z38" s="312"/>
      <c r="AA38" s="312"/>
      <c r="AB38" s="525"/>
      <c r="AC38" s="428">
        <f>263908+36482</f>
        <v>300390</v>
      </c>
      <c r="AD38" s="428"/>
      <c r="AE38" s="428"/>
      <c r="AF38" s="428"/>
      <c r="AG38" s="428"/>
      <c r="AH38" s="449"/>
      <c r="AI38" s="450">
        <f>606451+15225</f>
        <v>621676</v>
      </c>
      <c r="AJ38" s="428"/>
      <c r="AK38" s="428"/>
      <c r="AL38" s="428"/>
      <c r="AM38" s="428"/>
      <c r="AN38" s="449"/>
      <c r="AO38" s="428">
        <f>578506+8709</f>
        <v>587215</v>
      </c>
      <c r="AP38" s="428"/>
      <c r="AQ38" s="428"/>
      <c r="AR38" s="428"/>
      <c r="AS38" s="428"/>
      <c r="AT38" s="465"/>
    </row>
    <row r="39" spans="5:46">
      <c r="E39" s="311"/>
      <c r="F39" s="312"/>
      <c r="G39" s="312"/>
      <c r="H39" s="312"/>
      <c r="I39" s="312" t="s">
        <v>99</v>
      </c>
      <c r="J39" s="312"/>
      <c r="K39" s="312"/>
      <c r="L39" s="312"/>
      <c r="M39" s="312"/>
      <c r="N39" s="312"/>
      <c r="O39" s="312"/>
      <c r="P39" s="312"/>
      <c r="Q39" s="312"/>
      <c r="R39" s="312"/>
      <c r="S39" s="312"/>
      <c r="T39" s="312"/>
      <c r="U39" s="312"/>
      <c r="V39" s="312"/>
      <c r="W39" s="312"/>
      <c r="X39" s="312"/>
      <c r="Y39" s="312"/>
      <c r="Z39" s="312"/>
      <c r="AA39" s="312"/>
      <c r="AB39" s="525"/>
      <c r="AC39" s="428"/>
      <c r="AD39" s="428"/>
      <c r="AE39" s="428"/>
      <c r="AF39" s="428"/>
      <c r="AG39" s="428"/>
      <c r="AH39" s="449"/>
      <c r="AI39" s="450"/>
      <c r="AJ39" s="428"/>
      <c r="AK39" s="428"/>
      <c r="AL39" s="428"/>
      <c r="AM39" s="428"/>
      <c r="AN39" s="449"/>
      <c r="AO39" s="428"/>
      <c r="AP39" s="428"/>
      <c r="AQ39" s="428"/>
      <c r="AR39" s="428"/>
      <c r="AS39" s="428"/>
      <c r="AT39" s="465"/>
    </row>
    <row r="40" ht="15" spans="5:46">
      <c r="E40" s="515"/>
      <c r="F40" s="516"/>
      <c r="G40" s="516"/>
      <c r="H40" s="516"/>
      <c r="I40" s="516" t="s">
        <v>71</v>
      </c>
      <c r="J40" s="516"/>
      <c r="K40" s="516"/>
      <c r="L40" s="516"/>
      <c r="M40" s="516"/>
      <c r="N40" s="516"/>
      <c r="O40" s="516"/>
      <c r="P40" s="516"/>
      <c r="Q40" s="516"/>
      <c r="R40" s="516"/>
      <c r="S40" s="516"/>
      <c r="T40" s="516"/>
      <c r="U40" s="516"/>
      <c r="V40" s="516"/>
      <c r="W40" s="516"/>
      <c r="X40" s="516"/>
      <c r="Y40" s="516"/>
      <c r="Z40" s="516"/>
      <c r="AA40" s="516"/>
      <c r="AB40" s="516"/>
      <c r="AC40" s="534"/>
      <c r="AD40" s="535"/>
      <c r="AE40" s="535"/>
      <c r="AF40" s="535"/>
      <c r="AG40" s="535"/>
      <c r="AH40" s="540"/>
      <c r="AI40" s="541"/>
      <c r="AJ40" s="542"/>
      <c r="AK40" s="542"/>
      <c r="AL40" s="542"/>
      <c r="AM40" s="542"/>
      <c r="AN40" s="546"/>
      <c r="AO40" s="542"/>
      <c r="AP40" s="542"/>
      <c r="AQ40" s="542"/>
      <c r="AR40" s="542"/>
      <c r="AS40" s="542"/>
      <c r="AT40" s="549"/>
    </row>
    <row r="41" ht="15" spans="5:46">
      <c r="E41" s="517" t="s">
        <v>100</v>
      </c>
      <c r="F41" s="518"/>
      <c r="G41" s="518"/>
      <c r="H41" s="518"/>
      <c r="I41" s="518"/>
      <c r="J41" s="518"/>
      <c r="K41" s="518"/>
      <c r="L41" s="518"/>
      <c r="M41" s="518"/>
      <c r="N41" s="518"/>
      <c r="O41" s="518"/>
      <c r="P41" s="518"/>
      <c r="Q41" s="518"/>
      <c r="R41" s="518"/>
      <c r="S41" s="518"/>
      <c r="T41" s="518"/>
      <c r="U41" s="518"/>
      <c r="V41" s="518"/>
      <c r="W41" s="518"/>
      <c r="X41" s="518"/>
      <c r="Y41" s="518"/>
      <c r="Z41" s="518"/>
      <c r="AA41" s="518"/>
      <c r="AB41" s="526"/>
      <c r="AC41" s="536">
        <f>SUM(AC37:AH40)</f>
        <v>834970</v>
      </c>
      <c r="AD41" s="536"/>
      <c r="AE41" s="536"/>
      <c r="AF41" s="536"/>
      <c r="AG41" s="536"/>
      <c r="AH41" s="543"/>
      <c r="AI41" s="544">
        <f>SUM(AI37:AN40)</f>
        <v>956342</v>
      </c>
      <c r="AJ41" s="536"/>
      <c r="AK41" s="536"/>
      <c r="AL41" s="536"/>
      <c r="AM41" s="536"/>
      <c r="AN41" s="543"/>
      <c r="AO41" s="544">
        <f>SUM(AO37:AT40)</f>
        <v>1165469</v>
      </c>
      <c r="AP41" s="536"/>
      <c r="AQ41" s="536"/>
      <c r="AR41" s="536"/>
      <c r="AS41" s="536"/>
      <c r="AT41" s="550"/>
    </row>
    <row r="42" ht="15" spans="5:46">
      <c r="E42" s="321"/>
      <c r="F42" s="321"/>
      <c r="G42" s="321"/>
      <c r="H42" s="321"/>
      <c r="I42" s="321"/>
      <c r="J42" s="321"/>
      <c r="K42" s="321"/>
      <c r="L42" s="321"/>
      <c r="M42" s="321"/>
      <c r="N42" s="321"/>
      <c r="O42" s="321"/>
      <c r="P42" s="321"/>
      <c r="Q42" s="321"/>
      <c r="R42" s="321"/>
      <c r="S42" s="321"/>
      <c r="T42" s="321"/>
      <c r="U42" s="321"/>
      <c r="V42" s="321"/>
      <c r="W42" s="321"/>
      <c r="X42" s="321"/>
      <c r="Y42" s="321"/>
      <c r="Z42" s="321"/>
      <c r="AA42" s="321"/>
      <c r="AB42" s="321"/>
      <c r="AC42" s="533"/>
      <c r="AD42" s="533"/>
      <c r="AE42" s="533"/>
      <c r="AF42" s="533"/>
      <c r="AG42" s="533"/>
      <c r="AH42" s="533"/>
      <c r="AI42" s="533"/>
      <c r="AJ42" s="533"/>
      <c r="AK42" s="533"/>
      <c r="AL42" s="533"/>
      <c r="AM42" s="533"/>
      <c r="AN42" s="533"/>
      <c r="AO42" s="533"/>
      <c r="AP42" s="533"/>
      <c r="AQ42" s="533"/>
      <c r="AR42" s="533"/>
      <c r="AS42" s="533"/>
      <c r="AT42" s="533"/>
    </row>
    <row r="43" spans="5:46">
      <c r="E43" s="510" t="s">
        <v>73</v>
      </c>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32"/>
      <c r="AD43" s="532"/>
      <c r="AE43" s="532"/>
      <c r="AF43" s="532"/>
      <c r="AG43" s="532"/>
      <c r="AH43" s="532"/>
      <c r="AI43" s="532"/>
      <c r="AJ43" s="532"/>
      <c r="AK43" s="532"/>
      <c r="AL43" s="532"/>
      <c r="AM43" s="532"/>
      <c r="AN43" s="532"/>
      <c r="AO43" s="532"/>
      <c r="AP43" s="532"/>
      <c r="AQ43" s="532"/>
      <c r="AR43" s="532"/>
      <c r="AS43" s="532"/>
      <c r="AT43" s="547"/>
    </row>
    <row r="44" spans="5:46">
      <c r="E44" s="311"/>
      <c r="F44" s="312"/>
      <c r="G44" s="312"/>
      <c r="H44" s="312"/>
      <c r="I44" s="312" t="s">
        <v>74</v>
      </c>
      <c r="J44" s="312"/>
      <c r="K44" s="312"/>
      <c r="L44" s="312"/>
      <c r="M44" s="312"/>
      <c r="N44" s="312"/>
      <c r="O44" s="312"/>
      <c r="P44" s="312"/>
      <c r="Q44" s="312"/>
      <c r="R44" s="312"/>
      <c r="S44" s="312"/>
      <c r="T44" s="312"/>
      <c r="U44" s="312"/>
      <c r="V44" s="312"/>
      <c r="W44" s="312"/>
      <c r="X44" s="312"/>
      <c r="Y44" s="312"/>
      <c r="Z44" s="312"/>
      <c r="AA44" s="312"/>
      <c r="AB44" s="525"/>
      <c r="AC44" s="428">
        <v>167126</v>
      </c>
      <c r="AD44" s="428"/>
      <c r="AE44" s="428"/>
      <c r="AF44" s="428"/>
      <c r="AG44" s="428"/>
      <c r="AH44" s="449"/>
      <c r="AI44" s="450">
        <v>179869</v>
      </c>
      <c r="AJ44" s="428"/>
      <c r="AK44" s="428"/>
      <c r="AL44" s="428"/>
      <c r="AM44" s="428"/>
      <c r="AN44" s="449"/>
      <c r="AO44" s="428">
        <f>253729</f>
        <v>253729</v>
      </c>
      <c r="AP44" s="428"/>
      <c r="AQ44" s="428"/>
      <c r="AR44" s="428"/>
      <c r="AS44" s="428"/>
      <c r="AT44" s="465"/>
    </row>
    <row r="45" spans="5:46">
      <c r="E45" s="311"/>
      <c r="F45" s="312"/>
      <c r="G45" s="312"/>
      <c r="H45" s="312"/>
      <c r="I45" s="312" t="s">
        <v>75</v>
      </c>
      <c r="J45" s="312"/>
      <c r="K45" s="312"/>
      <c r="L45" s="312"/>
      <c r="M45" s="312"/>
      <c r="N45" s="312"/>
      <c r="O45" s="312"/>
      <c r="P45" s="312"/>
      <c r="Q45" s="312"/>
      <c r="R45" s="312"/>
      <c r="S45" s="312"/>
      <c r="T45" s="312"/>
      <c r="U45" s="312"/>
      <c r="V45" s="312"/>
      <c r="W45" s="312"/>
      <c r="X45" s="312"/>
      <c r="Y45" s="312"/>
      <c r="Z45" s="312"/>
      <c r="AA45" s="312"/>
      <c r="AB45" s="525"/>
      <c r="AC45" s="428"/>
      <c r="AD45" s="428"/>
      <c r="AE45" s="428"/>
      <c r="AF45" s="428"/>
      <c r="AG45" s="428"/>
      <c r="AH45" s="449"/>
      <c r="AI45" s="450"/>
      <c r="AJ45" s="428"/>
      <c r="AK45" s="428"/>
      <c r="AL45" s="428"/>
      <c r="AM45" s="428"/>
      <c r="AN45" s="449"/>
      <c r="AO45" s="428"/>
      <c r="AP45" s="428"/>
      <c r="AQ45" s="428"/>
      <c r="AR45" s="428"/>
      <c r="AS45" s="428"/>
      <c r="AT45" s="465"/>
    </row>
    <row r="46" ht="15" spans="5:46">
      <c r="E46" s="515"/>
      <c r="F46" s="516"/>
      <c r="G46" s="516"/>
      <c r="H46" s="516"/>
      <c r="I46" s="516" t="s">
        <v>71</v>
      </c>
      <c r="J46" s="516"/>
      <c r="K46" s="516"/>
      <c r="L46" s="516"/>
      <c r="M46" s="516"/>
      <c r="N46" s="516"/>
      <c r="O46" s="516"/>
      <c r="P46" s="516"/>
      <c r="Q46" s="516"/>
      <c r="R46" s="516"/>
      <c r="S46" s="516"/>
      <c r="T46" s="516"/>
      <c r="U46" s="516"/>
      <c r="V46" s="516"/>
      <c r="W46" s="516"/>
      <c r="X46" s="516"/>
      <c r="Y46" s="516"/>
      <c r="Z46" s="516"/>
      <c r="AA46" s="516"/>
      <c r="AB46" s="516"/>
      <c r="AC46" s="534"/>
      <c r="AD46" s="535"/>
      <c r="AE46" s="535"/>
      <c r="AF46" s="535"/>
      <c r="AG46" s="535"/>
      <c r="AH46" s="540"/>
      <c r="AI46" s="541"/>
      <c r="AJ46" s="542"/>
      <c r="AK46" s="542"/>
      <c r="AL46" s="542"/>
      <c r="AM46" s="542"/>
      <c r="AN46" s="546"/>
      <c r="AO46" s="542"/>
      <c r="AP46" s="542"/>
      <c r="AQ46" s="542"/>
      <c r="AR46" s="542"/>
      <c r="AS46" s="542"/>
      <c r="AT46" s="549"/>
    </row>
    <row r="47" ht="15" spans="5:46">
      <c r="E47" s="517" t="s">
        <v>76</v>
      </c>
      <c r="F47" s="518"/>
      <c r="G47" s="518"/>
      <c r="H47" s="518"/>
      <c r="I47" s="518"/>
      <c r="J47" s="518"/>
      <c r="K47" s="518"/>
      <c r="L47" s="518"/>
      <c r="M47" s="518"/>
      <c r="N47" s="518"/>
      <c r="O47" s="518"/>
      <c r="P47" s="518"/>
      <c r="Q47" s="518"/>
      <c r="R47" s="518"/>
      <c r="S47" s="518"/>
      <c r="T47" s="518"/>
      <c r="U47" s="518"/>
      <c r="V47" s="518"/>
      <c r="W47" s="518"/>
      <c r="X47" s="518"/>
      <c r="Y47" s="518"/>
      <c r="Z47" s="518"/>
      <c r="AA47" s="518"/>
      <c r="AB47" s="526"/>
      <c r="AC47" s="536">
        <f>SUM(AC44:AH46)</f>
        <v>167126</v>
      </c>
      <c r="AD47" s="536"/>
      <c r="AE47" s="536"/>
      <c r="AF47" s="536"/>
      <c r="AG47" s="536"/>
      <c r="AH47" s="543"/>
      <c r="AI47" s="544">
        <f>SUM(AI44:AN46)</f>
        <v>179869</v>
      </c>
      <c r="AJ47" s="536"/>
      <c r="AK47" s="536"/>
      <c r="AL47" s="536"/>
      <c r="AM47" s="536"/>
      <c r="AN47" s="543"/>
      <c r="AO47" s="544">
        <f>SUM(AO44:AT46)</f>
        <v>253729</v>
      </c>
      <c r="AP47" s="536"/>
      <c r="AQ47" s="536"/>
      <c r="AR47" s="536"/>
      <c r="AS47" s="536"/>
      <c r="AT47" s="550"/>
    </row>
    <row r="48" ht="15" spans="5:46">
      <c r="E48" s="506"/>
      <c r="F48" s="506"/>
      <c r="G48" s="506"/>
      <c r="H48" s="506"/>
      <c r="I48" s="506"/>
      <c r="J48" s="506"/>
      <c r="K48" s="506"/>
      <c r="L48" s="506"/>
      <c r="M48" s="506"/>
      <c r="N48" s="506"/>
      <c r="O48" s="506"/>
      <c r="P48" s="506"/>
      <c r="Q48" s="506"/>
      <c r="R48" s="506"/>
      <c r="S48" s="506"/>
      <c r="T48" s="506"/>
      <c r="U48" s="506"/>
      <c r="V48" s="506"/>
      <c r="W48" s="506"/>
      <c r="X48" s="506"/>
      <c r="Y48" s="506"/>
      <c r="Z48" s="506"/>
      <c r="AA48" s="506"/>
      <c r="AB48" s="506"/>
      <c r="AC48" s="506"/>
      <c r="AD48" s="506"/>
      <c r="AE48" s="506"/>
      <c r="AF48" s="506"/>
      <c r="AG48" s="506"/>
      <c r="AH48" s="506"/>
      <c r="AI48" s="506"/>
      <c r="AJ48" s="506"/>
      <c r="AK48" s="506"/>
      <c r="AL48" s="506"/>
      <c r="AM48" s="506"/>
      <c r="AN48" s="506"/>
      <c r="AO48" s="506"/>
      <c r="AP48" s="506"/>
      <c r="AQ48" s="506"/>
      <c r="AR48" s="506"/>
      <c r="AS48" s="506"/>
      <c r="AT48" s="506"/>
    </row>
    <row r="49" spans="5:46">
      <c r="E49" s="510" t="s">
        <v>88</v>
      </c>
      <c r="F49" s="519"/>
      <c r="G49" s="519"/>
      <c r="H49" s="519"/>
      <c r="I49" s="519"/>
      <c r="J49" s="519"/>
      <c r="K49" s="519"/>
      <c r="L49" s="519"/>
      <c r="M49" s="519"/>
      <c r="N49" s="519"/>
      <c r="O49" s="519"/>
      <c r="P49" s="519"/>
      <c r="Q49" s="519"/>
      <c r="R49" s="519"/>
      <c r="S49" s="519"/>
      <c r="T49" s="519"/>
      <c r="U49" s="519"/>
      <c r="V49" s="519"/>
      <c r="W49" s="519"/>
      <c r="X49" s="519"/>
      <c r="Y49" s="519"/>
      <c r="Z49" s="519"/>
      <c r="AA49" s="519"/>
      <c r="AB49" s="519"/>
      <c r="AC49" s="532"/>
      <c r="AD49" s="532"/>
      <c r="AE49" s="532"/>
      <c r="AF49" s="532"/>
      <c r="AG49" s="532"/>
      <c r="AH49" s="532"/>
      <c r="AI49" s="532"/>
      <c r="AJ49" s="532"/>
      <c r="AK49" s="532"/>
      <c r="AL49" s="532"/>
      <c r="AM49" s="532"/>
      <c r="AN49" s="532"/>
      <c r="AO49" s="532"/>
      <c r="AP49" s="532"/>
      <c r="AQ49" s="532"/>
      <c r="AR49" s="532"/>
      <c r="AS49" s="532"/>
      <c r="AT49" s="547"/>
    </row>
    <row r="50" spans="5:46">
      <c r="E50" s="311"/>
      <c r="F50" s="312"/>
      <c r="G50" s="312"/>
      <c r="H50" s="312"/>
      <c r="I50" s="312" t="s">
        <v>89</v>
      </c>
      <c r="J50" s="312"/>
      <c r="K50" s="312"/>
      <c r="L50" s="312"/>
      <c r="M50" s="312"/>
      <c r="N50" s="312"/>
      <c r="O50" s="312"/>
      <c r="P50" s="312"/>
      <c r="Q50" s="312"/>
      <c r="R50" s="312"/>
      <c r="S50" s="312"/>
      <c r="T50" s="312"/>
      <c r="U50" s="312"/>
      <c r="V50" s="312"/>
      <c r="W50" s="312"/>
      <c r="X50" s="312"/>
      <c r="Y50" s="312"/>
      <c r="Z50" s="312"/>
      <c r="AA50" s="312"/>
      <c r="AB50" s="525"/>
      <c r="AC50" s="428"/>
      <c r="AD50" s="428"/>
      <c r="AE50" s="428"/>
      <c r="AF50" s="428"/>
      <c r="AG50" s="428"/>
      <c r="AH50" s="449"/>
      <c r="AI50" s="450"/>
      <c r="AJ50" s="428"/>
      <c r="AK50" s="428"/>
      <c r="AL50" s="428"/>
      <c r="AM50" s="428"/>
      <c r="AN50" s="449"/>
      <c r="AO50" s="450"/>
      <c r="AP50" s="428"/>
      <c r="AQ50" s="428"/>
      <c r="AR50" s="428"/>
      <c r="AS50" s="428"/>
      <c r="AT50" s="465"/>
    </row>
    <row r="51" spans="5:46">
      <c r="E51" s="311"/>
      <c r="F51" s="312"/>
      <c r="G51" s="312"/>
      <c r="H51" s="312"/>
      <c r="I51" s="312" t="s">
        <v>90</v>
      </c>
      <c r="J51" s="312"/>
      <c r="K51" s="312"/>
      <c r="L51" s="312"/>
      <c r="M51" s="312"/>
      <c r="N51" s="312"/>
      <c r="O51" s="312"/>
      <c r="P51" s="312"/>
      <c r="Q51" s="312"/>
      <c r="R51" s="312"/>
      <c r="S51" s="312"/>
      <c r="T51" s="312"/>
      <c r="U51" s="312"/>
      <c r="V51" s="312"/>
      <c r="W51" s="312"/>
      <c r="X51" s="312"/>
      <c r="Y51" s="312"/>
      <c r="Z51" s="312"/>
      <c r="AA51" s="312"/>
      <c r="AB51" s="525"/>
      <c r="AC51" s="428"/>
      <c r="AD51" s="428"/>
      <c r="AE51" s="428"/>
      <c r="AF51" s="428"/>
      <c r="AG51" s="428"/>
      <c r="AH51" s="449"/>
      <c r="AI51" s="450"/>
      <c r="AJ51" s="428"/>
      <c r="AK51" s="428"/>
      <c r="AL51" s="428"/>
      <c r="AM51" s="428"/>
      <c r="AN51" s="449"/>
      <c r="AO51" s="450"/>
      <c r="AP51" s="428"/>
      <c r="AQ51" s="428"/>
      <c r="AR51" s="428"/>
      <c r="AS51" s="428"/>
      <c r="AT51" s="465"/>
    </row>
    <row r="52" spans="5:46">
      <c r="E52" s="311"/>
      <c r="F52" s="312"/>
      <c r="G52" s="312"/>
      <c r="H52" s="312"/>
      <c r="I52" s="312" t="s">
        <v>91</v>
      </c>
      <c r="J52" s="312"/>
      <c r="K52" s="312"/>
      <c r="L52" s="312"/>
      <c r="M52" s="312"/>
      <c r="N52" s="312"/>
      <c r="O52" s="312"/>
      <c r="P52" s="312"/>
      <c r="Q52" s="312"/>
      <c r="R52" s="312"/>
      <c r="S52" s="312"/>
      <c r="T52" s="312"/>
      <c r="U52" s="312"/>
      <c r="V52" s="312"/>
      <c r="W52" s="312"/>
      <c r="X52" s="312"/>
      <c r="Y52" s="312"/>
      <c r="Z52" s="312"/>
      <c r="AA52" s="312"/>
      <c r="AB52" s="525"/>
      <c r="AC52" s="428">
        <v>6275</v>
      </c>
      <c r="AD52" s="428"/>
      <c r="AE52" s="428"/>
      <c r="AF52" s="428"/>
      <c r="AG52" s="428"/>
      <c r="AH52" s="449"/>
      <c r="AI52" s="450">
        <f>30740+4855</f>
        <v>35595</v>
      </c>
      <c r="AJ52" s="428"/>
      <c r="AK52" s="428"/>
      <c r="AL52" s="428"/>
      <c r="AM52" s="428"/>
      <c r="AN52" s="449"/>
      <c r="AO52" s="428">
        <f>33637+195</f>
        <v>33832</v>
      </c>
      <c r="AP52" s="428"/>
      <c r="AQ52" s="428"/>
      <c r="AR52" s="428"/>
      <c r="AS52" s="428"/>
      <c r="AT52" s="465"/>
    </row>
    <row r="53" ht="15" spans="5:46">
      <c r="E53" s="515"/>
      <c r="F53" s="516"/>
      <c r="G53" s="516"/>
      <c r="H53" s="516"/>
      <c r="I53" s="516" t="s">
        <v>112</v>
      </c>
      <c r="J53" s="516"/>
      <c r="K53" s="516"/>
      <c r="L53" s="516"/>
      <c r="M53" s="516"/>
      <c r="N53" s="516"/>
      <c r="O53" s="516"/>
      <c r="P53" s="516"/>
      <c r="Q53" s="516"/>
      <c r="R53" s="516"/>
      <c r="S53" s="516"/>
      <c r="T53" s="516"/>
      <c r="U53" s="516"/>
      <c r="V53" s="516"/>
      <c r="W53" s="516"/>
      <c r="X53" s="516"/>
      <c r="Y53" s="516"/>
      <c r="Z53" s="516"/>
      <c r="AA53" s="516"/>
      <c r="AB53" s="516"/>
      <c r="AC53" s="534"/>
      <c r="AD53" s="535"/>
      <c r="AE53" s="535"/>
      <c r="AF53" s="535"/>
      <c r="AG53" s="535"/>
      <c r="AH53" s="540"/>
      <c r="AI53" s="541"/>
      <c r="AJ53" s="542"/>
      <c r="AK53" s="542"/>
      <c r="AL53" s="542"/>
      <c r="AM53" s="542"/>
      <c r="AN53" s="546"/>
      <c r="AO53" s="542"/>
      <c r="AP53" s="542"/>
      <c r="AQ53" s="542"/>
      <c r="AR53" s="542"/>
      <c r="AS53" s="542"/>
      <c r="AT53" s="549"/>
    </row>
    <row r="54" ht="15" spans="5:46">
      <c r="E54" s="517" t="s">
        <v>93</v>
      </c>
      <c r="F54" s="518"/>
      <c r="G54" s="518"/>
      <c r="H54" s="518"/>
      <c r="I54" s="518"/>
      <c r="J54" s="518"/>
      <c r="K54" s="518"/>
      <c r="L54" s="518"/>
      <c r="M54" s="518"/>
      <c r="N54" s="518"/>
      <c r="O54" s="518"/>
      <c r="P54" s="518"/>
      <c r="Q54" s="518"/>
      <c r="R54" s="518"/>
      <c r="S54" s="518"/>
      <c r="T54" s="518"/>
      <c r="U54" s="518"/>
      <c r="V54" s="518"/>
      <c r="W54" s="518"/>
      <c r="X54" s="518"/>
      <c r="Y54" s="518"/>
      <c r="Z54" s="518"/>
      <c r="AA54" s="518"/>
      <c r="AB54" s="526"/>
      <c r="AC54" s="536">
        <f>SUM(AC50:AH53)</f>
        <v>6275</v>
      </c>
      <c r="AD54" s="536"/>
      <c r="AE54" s="536"/>
      <c r="AF54" s="536"/>
      <c r="AG54" s="536"/>
      <c r="AH54" s="543"/>
      <c r="AI54" s="544">
        <f>SUM(AI50:AN53)</f>
        <v>35595</v>
      </c>
      <c r="AJ54" s="536"/>
      <c r="AK54" s="536"/>
      <c r="AL54" s="536"/>
      <c r="AM54" s="536"/>
      <c r="AN54" s="543"/>
      <c r="AO54" s="544">
        <f>SUM(AO50:AT53)</f>
        <v>33832</v>
      </c>
      <c r="AP54" s="536"/>
      <c r="AQ54" s="536"/>
      <c r="AR54" s="536"/>
      <c r="AS54" s="536"/>
      <c r="AT54" s="550"/>
    </row>
    <row r="55" s="300" customFormat="1" ht="15" spans="5:46">
      <c r="E55" s="521"/>
      <c r="F55" s="521"/>
      <c r="G55" s="521"/>
      <c r="H55" s="521"/>
      <c r="I55" s="521"/>
      <c r="J55" s="521"/>
      <c r="K55" s="521"/>
      <c r="L55" s="521"/>
      <c r="M55" s="521"/>
      <c r="N55" s="521"/>
      <c r="O55" s="521"/>
      <c r="P55" s="521"/>
      <c r="Q55" s="521"/>
      <c r="R55" s="521"/>
      <c r="S55" s="521"/>
      <c r="T55" s="521"/>
      <c r="U55" s="521"/>
      <c r="V55" s="521"/>
      <c r="W55" s="521"/>
      <c r="X55" s="521"/>
      <c r="Y55" s="521"/>
      <c r="Z55" s="521"/>
      <c r="AA55" s="521"/>
      <c r="AB55" s="521"/>
      <c r="AC55" s="537"/>
      <c r="AD55" s="537"/>
      <c r="AE55" s="537"/>
      <c r="AF55" s="537"/>
      <c r="AG55" s="537"/>
      <c r="AH55" s="537"/>
      <c r="AI55" s="537"/>
      <c r="AJ55" s="537"/>
      <c r="AK55" s="537"/>
      <c r="AL55" s="537"/>
      <c r="AM55" s="537"/>
      <c r="AN55" s="537"/>
      <c r="AO55" s="537"/>
      <c r="AP55" s="537"/>
      <c r="AQ55" s="537"/>
      <c r="AR55" s="537"/>
      <c r="AS55" s="537"/>
      <c r="AT55" s="537"/>
    </row>
    <row r="56" ht="15" spans="5:46">
      <c r="E56" s="522" t="s">
        <v>61</v>
      </c>
      <c r="F56" s="523"/>
      <c r="G56" s="523"/>
      <c r="H56" s="523"/>
      <c r="I56" s="523"/>
      <c r="J56" s="523"/>
      <c r="K56" s="523"/>
      <c r="L56" s="523"/>
      <c r="M56" s="523"/>
      <c r="N56" s="523"/>
      <c r="O56" s="523"/>
      <c r="P56" s="523"/>
      <c r="Q56" s="523"/>
      <c r="R56" s="523"/>
      <c r="S56" s="523"/>
      <c r="T56" s="523"/>
      <c r="U56" s="523"/>
      <c r="V56" s="523"/>
      <c r="W56" s="523"/>
      <c r="X56" s="523"/>
      <c r="Y56" s="523"/>
      <c r="Z56" s="523"/>
      <c r="AA56" s="523"/>
      <c r="AB56" s="529"/>
      <c r="AC56" s="538">
        <f>SUM(AC22,AC34,AC41,AC47,AC54)</f>
        <v>1991277</v>
      </c>
      <c r="AD56" s="539"/>
      <c r="AE56" s="539"/>
      <c r="AF56" s="539"/>
      <c r="AG56" s="539"/>
      <c r="AH56" s="545"/>
      <c r="AI56" s="538">
        <f>SUM(AI22,AI34,AI41,AI47,AI54)</f>
        <v>2009389</v>
      </c>
      <c r="AJ56" s="539"/>
      <c r="AK56" s="539"/>
      <c r="AL56" s="539"/>
      <c r="AM56" s="539"/>
      <c r="AN56" s="545"/>
      <c r="AO56" s="539">
        <f>SUM(AO22,AO34,AO41,AO47,AO54)</f>
        <v>418787</v>
      </c>
      <c r="AP56" s="539"/>
      <c r="AQ56" s="539"/>
      <c r="AR56" s="539"/>
      <c r="AS56" s="539"/>
      <c r="AT56" s="545"/>
    </row>
  </sheetData>
  <mergeCells count="121">
    <mergeCell ref="C1:AV1"/>
    <mergeCell ref="C2:AV2"/>
    <mergeCell ref="E4:AT4"/>
    <mergeCell ref="E6:AT6"/>
    <mergeCell ref="AC8:AH8"/>
    <mergeCell ref="AI8:AN8"/>
    <mergeCell ref="AO8:AT8"/>
    <mergeCell ref="AC9:AH9"/>
    <mergeCell ref="AI9:AN9"/>
    <mergeCell ref="AO9:AT9"/>
    <mergeCell ref="AC11:AH11"/>
    <mergeCell ref="AI11:AN11"/>
    <mergeCell ref="AO11:AT11"/>
    <mergeCell ref="AC13:AH13"/>
    <mergeCell ref="AI13:AN13"/>
    <mergeCell ref="AO13:AT13"/>
    <mergeCell ref="AC14:AH14"/>
    <mergeCell ref="AI14:AN14"/>
    <mergeCell ref="AO14:AT14"/>
    <mergeCell ref="AC15:AH15"/>
    <mergeCell ref="AI15:AN15"/>
    <mergeCell ref="AO15:AT15"/>
    <mergeCell ref="AC17:AH17"/>
    <mergeCell ref="AI17:AN17"/>
    <mergeCell ref="AO17:AT17"/>
    <mergeCell ref="AC18:AH18"/>
    <mergeCell ref="AI18:AN18"/>
    <mergeCell ref="AO18:AT18"/>
    <mergeCell ref="AC19:AH19"/>
    <mergeCell ref="AI19:AN19"/>
    <mergeCell ref="AO19:AT19"/>
    <mergeCell ref="AC20:AH20"/>
    <mergeCell ref="AI20:AN20"/>
    <mergeCell ref="AO20:AT20"/>
    <mergeCell ref="AC21:AH21"/>
    <mergeCell ref="AI21:AN21"/>
    <mergeCell ref="AO21:AT21"/>
    <mergeCell ref="E22:AB22"/>
    <mergeCell ref="AC22:AH22"/>
    <mergeCell ref="AI22:AN22"/>
    <mergeCell ref="AO22:AT22"/>
    <mergeCell ref="AC25:AH25"/>
    <mergeCell ref="AI25:AN25"/>
    <mergeCell ref="AO25:AT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AC31:AH31"/>
    <mergeCell ref="AI31:AN31"/>
    <mergeCell ref="AO31:AT31"/>
    <mergeCell ref="AC32:AH32"/>
    <mergeCell ref="AI32:AN32"/>
    <mergeCell ref="AO32:AT32"/>
    <mergeCell ref="AC33:AH33"/>
    <mergeCell ref="AI33:AN33"/>
    <mergeCell ref="AO33:AT33"/>
    <mergeCell ref="E34:AB34"/>
    <mergeCell ref="AC34:AH34"/>
    <mergeCell ref="AI34:AN34"/>
    <mergeCell ref="AO34:AT34"/>
    <mergeCell ref="AC37:AH37"/>
    <mergeCell ref="AI37:AN37"/>
    <mergeCell ref="AO37:AT37"/>
    <mergeCell ref="AC38:AH38"/>
    <mergeCell ref="AI38:AN38"/>
    <mergeCell ref="AO38:AT38"/>
    <mergeCell ref="AC39:AH39"/>
    <mergeCell ref="AI39:AN39"/>
    <mergeCell ref="AO39:AT39"/>
    <mergeCell ref="AC40:AH40"/>
    <mergeCell ref="AI40:AN40"/>
    <mergeCell ref="AO40:AT40"/>
    <mergeCell ref="E41:AB41"/>
    <mergeCell ref="AC41:AH41"/>
    <mergeCell ref="AI41:AN41"/>
    <mergeCell ref="AO41:AT41"/>
    <mergeCell ref="AC44:AH44"/>
    <mergeCell ref="AI44:AN44"/>
    <mergeCell ref="AO44:AT44"/>
    <mergeCell ref="AC45:AH45"/>
    <mergeCell ref="AI45:AN45"/>
    <mergeCell ref="AO45:AT45"/>
    <mergeCell ref="AC46:AH46"/>
    <mergeCell ref="AI46:AN46"/>
    <mergeCell ref="AO46:AT46"/>
    <mergeCell ref="E47:AB47"/>
    <mergeCell ref="AC47:AH47"/>
    <mergeCell ref="AI47:AN47"/>
    <mergeCell ref="AO47:AT47"/>
    <mergeCell ref="AC50:AH50"/>
    <mergeCell ref="AI50:AN50"/>
    <mergeCell ref="AO50:AT50"/>
    <mergeCell ref="AC51:AH51"/>
    <mergeCell ref="AI51:AN51"/>
    <mergeCell ref="AO51:AT51"/>
    <mergeCell ref="AC52:AH52"/>
    <mergeCell ref="AI52:AN52"/>
    <mergeCell ref="AO52:AT52"/>
    <mergeCell ref="AC53:AH53"/>
    <mergeCell ref="AI53:AN53"/>
    <mergeCell ref="AO53:AT53"/>
    <mergeCell ref="E54:AB54"/>
    <mergeCell ref="AC54:AH54"/>
    <mergeCell ref="AI54:AN54"/>
    <mergeCell ref="AO54:AT54"/>
    <mergeCell ref="E56:AB56"/>
    <mergeCell ref="AC56:AH56"/>
    <mergeCell ref="AI56:AN56"/>
    <mergeCell ref="AO56:AT56"/>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C43"/>
  <sheetViews>
    <sheetView showGridLines="0" workbookViewId="0">
      <selection activeCell="AU23" sqref="AU23:AY23"/>
    </sheetView>
  </sheetViews>
  <sheetFormatPr defaultColWidth="2.71428571428571" defaultRowHeight="14.25"/>
  <cols>
    <col min="1" max="1" width="2.71428571428571" style="302"/>
    <col min="2" max="2" width="2.71428571428571" style="302" customWidth="1"/>
    <col min="3" max="3" width="3.57142857142857" style="302" customWidth="1"/>
    <col min="4" max="6" width="2.71428571428571" style="302"/>
    <col min="7" max="7" width="3.42857142857143" style="302" customWidth="1"/>
    <col min="8" max="8" width="2.71428571428571" style="302"/>
    <col min="9" max="9" width="2.71428571428571" style="302" customWidth="1"/>
    <col min="10" max="11" width="2.71428571428571" style="302"/>
    <col min="12" max="12" width="3" style="302" customWidth="1"/>
    <col min="13" max="17" width="2.71428571428571" style="302"/>
    <col min="18" max="18" width="3.14285714285714" style="302" customWidth="1"/>
    <col min="19" max="19" width="2.71428571428571" style="302" customWidth="1"/>
    <col min="20" max="22" width="2.71428571428571" style="302"/>
    <col min="23" max="23" width="2.71428571428571" style="302" customWidth="1"/>
    <col min="24" max="36" width="2.71428571428571" style="302"/>
    <col min="37" max="37" width="3" style="302" customWidth="1"/>
    <col min="38" max="56" width="2.71428571428571" style="302"/>
    <col min="57" max="59" width="6.28571428571429" style="302" customWidth="1"/>
    <col min="60" max="16384" width="2.71428571428571" style="302"/>
  </cols>
  <sheetData>
    <row r="1" ht="20.25" spans="3:51">
      <c r="C1" s="303" t="s">
        <v>107</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304"/>
      <c r="AW1" s="304"/>
      <c r="AX1" s="304"/>
      <c r="AY1" s="463"/>
    </row>
    <row r="2" ht="18" spans="3:51">
      <c r="C2" s="305" t="s">
        <v>113</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464"/>
    </row>
    <row r="4" spans="5:49">
      <c r="E4" s="347" t="s">
        <v>114</v>
      </c>
      <c r="F4" s="347"/>
      <c r="G4" s="347"/>
      <c r="H4" s="347"/>
      <c r="I4" s="347"/>
      <c r="J4" s="347"/>
      <c r="K4" s="347"/>
      <c r="L4" s="347"/>
      <c r="M4" s="347"/>
      <c r="N4" s="347"/>
      <c r="O4" s="347"/>
      <c r="P4" s="347"/>
      <c r="Q4" s="347"/>
      <c r="R4" s="347"/>
      <c r="S4" s="347"/>
      <c r="T4" s="347"/>
      <c r="U4" s="347"/>
      <c r="V4" s="347"/>
      <c r="W4" s="347"/>
      <c r="X4" s="347"/>
      <c r="Y4" s="347"/>
      <c r="Z4" s="347"/>
      <c r="AA4" s="347"/>
      <c r="AB4" s="347"/>
      <c r="AC4" s="347"/>
      <c r="AD4" s="347"/>
      <c r="AE4" s="347"/>
      <c r="AF4" s="347"/>
      <c r="AG4" s="347"/>
      <c r="AH4" s="347"/>
      <c r="AI4" s="347"/>
      <c r="AJ4" s="347"/>
      <c r="AK4" s="347"/>
      <c r="AL4" s="347"/>
      <c r="AM4" s="347"/>
      <c r="AN4" s="347"/>
      <c r="AO4" s="347"/>
      <c r="AP4" s="347"/>
      <c r="AQ4" s="347"/>
      <c r="AR4" s="347"/>
      <c r="AS4" s="347"/>
      <c r="AT4" s="347"/>
      <c r="AU4" s="347"/>
      <c r="AV4" s="347"/>
      <c r="AW4" s="347"/>
    </row>
    <row r="5" s="300" customFormat="1"/>
    <row r="7" ht="15" spans="3:51">
      <c r="C7" s="307"/>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415"/>
      <c r="AK7" s="320" t="s">
        <v>6</v>
      </c>
      <c r="AL7" s="348"/>
      <c r="AM7" s="348"/>
      <c r="AN7" s="348"/>
      <c r="AO7" s="349"/>
      <c r="AP7" s="320" t="s">
        <v>7</v>
      </c>
      <c r="AQ7" s="348"/>
      <c r="AR7" s="348"/>
      <c r="AS7" s="348"/>
      <c r="AT7" s="348"/>
      <c r="AU7" s="350" t="s">
        <v>115</v>
      </c>
      <c r="AV7" s="393"/>
      <c r="AW7" s="393"/>
      <c r="AX7" s="393"/>
      <c r="AY7" s="404"/>
    </row>
    <row r="8" ht="15" spans="35:50">
      <c r="AI8" s="416"/>
      <c r="AJ8" s="416"/>
      <c r="AK8" s="422"/>
      <c r="AL8" s="422"/>
      <c r="AM8" s="422"/>
      <c r="AN8" s="422"/>
      <c r="AO8" s="422"/>
      <c r="AP8" s="422"/>
      <c r="AQ8" s="422"/>
      <c r="AR8" s="422"/>
      <c r="AS8" s="422"/>
      <c r="AT8" s="422"/>
      <c r="AU8" s="422"/>
      <c r="AV8" s="422"/>
      <c r="AW8" s="422"/>
      <c r="AX8" s="422"/>
    </row>
    <row r="9" spans="3:51">
      <c r="C9" s="309" t="s">
        <v>116</v>
      </c>
      <c r="D9" s="310"/>
      <c r="E9" s="310"/>
      <c r="F9" s="310"/>
      <c r="G9" s="310"/>
      <c r="H9" s="310"/>
      <c r="I9" s="310"/>
      <c r="J9" s="310"/>
      <c r="K9" s="310"/>
      <c r="L9" s="391"/>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423">
        <f>FS_inputs!AC55</f>
        <v>21830</v>
      </c>
      <c r="AL9" s="424"/>
      <c r="AM9" s="424"/>
      <c r="AN9" s="424"/>
      <c r="AO9" s="447"/>
      <c r="AP9" s="423">
        <f>FS_inputs!AI55</f>
        <v>31630</v>
      </c>
      <c r="AQ9" s="424"/>
      <c r="AR9" s="424"/>
      <c r="AS9" s="424"/>
      <c r="AT9" s="447"/>
      <c r="AU9" s="423">
        <f>FS_inputs!AO55</f>
        <v>95030</v>
      </c>
      <c r="AV9" s="424"/>
      <c r="AW9" s="424"/>
      <c r="AX9" s="424"/>
      <c r="AY9" s="447"/>
    </row>
    <row r="10" spans="3:51">
      <c r="C10" s="311" t="s">
        <v>117</v>
      </c>
      <c r="D10" s="312"/>
      <c r="E10" s="312"/>
      <c r="F10" s="312"/>
      <c r="G10" s="312"/>
      <c r="H10" s="312"/>
      <c r="I10" s="312"/>
      <c r="J10" s="392">
        <v>1</v>
      </c>
      <c r="K10" s="392"/>
      <c r="L10" s="392"/>
      <c r="M10" s="392"/>
      <c r="N10" s="392"/>
      <c r="O10" s="392"/>
      <c r="P10" s="312"/>
      <c r="Q10" s="312"/>
      <c r="R10" s="312"/>
      <c r="S10" s="312"/>
      <c r="T10" s="312"/>
      <c r="U10" s="312"/>
      <c r="V10" s="312"/>
      <c r="W10" s="312"/>
      <c r="X10" s="312"/>
      <c r="Y10" s="312"/>
      <c r="Z10" s="312"/>
      <c r="AA10" s="312"/>
      <c r="AB10" s="312"/>
      <c r="AC10" s="312"/>
      <c r="AD10" s="312"/>
      <c r="AE10" s="312"/>
      <c r="AF10" s="312"/>
      <c r="AG10" s="312"/>
      <c r="AH10" s="312"/>
      <c r="AI10" s="312"/>
      <c r="AJ10" s="312"/>
      <c r="AK10" s="425">
        <f>Customer!B4</f>
        <v>30</v>
      </c>
      <c r="AL10" s="426"/>
      <c r="AM10" s="426"/>
      <c r="AN10" s="426"/>
      <c r="AO10" s="448"/>
      <c r="AP10" s="425">
        <f>Customer!B4</f>
        <v>30</v>
      </c>
      <c r="AQ10" s="426"/>
      <c r="AR10" s="426"/>
      <c r="AS10" s="426"/>
      <c r="AT10" s="448"/>
      <c r="AU10" s="425">
        <f>Customer!B4</f>
        <v>30</v>
      </c>
      <c r="AV10" s="426"/>
      <c r="AW10" s="426"/>
      <c r="AX10" s="426"/>
      <c r="AY10" s="448"/>
    </row>
    <row r="11" spans="3:51">
      <c r="C11" s="311" t="s">
        <v>9</v>
      </c>
      <c r="D11" s="312"/>
      <c r="E11" s="312"/>
      <c r="F11" s="312"/>
      <c r="G11" s="312"/>
      <c r="H11" s="312"/>
      <c r="I11" s="312"/>
      <c r="J11" s="312"/>
      <c r="K11" s="312"/>
      <c r="L11" s="312"/>
      <c r="M11" s="312"/>
      <c r="N11" s="312"/>
      <c r="O11" s="312"/>
      <c r="P11" s="312"/>
      <c r="Q11" s="312"/>
      <c r="R11" s="312"/>
      <c r="S11" s="312"/>
      <c r="T11" s="312"/>
      <c r="U11" s="312"/>
      <c r="V11" s="312"/>
      <c r="W11" s="312"/>
      <c r="X11" s="312"/>
      <c r="Y11" s="312"/>
      <c r="Z11" s="312"/>
      <c r="AA11" s="312"/>
      <c r="AB11" s="312"/>
      <c r="AC11" s="312"/>
      <c r="AD11" s="312"/>
      <c r="AE11" s="312"/>
      <c r="AF11" s="312"/>
      <c r="AG11" s="312"/>
      <c r="AH11" s="312"/>
      <c r="AI11" s="312"/>
      <c r="AJ11" s="312"/>
      <c r="AK11" s="427">
        <f>SUM(FS_inputs!AC10:AH10)</f>
        <v>100000</v>
      </c>
      <c r="AL11" s="428"/>
      <c r="AM11" s="428"/>
      <c r="AN11" s="428"/>
      <c r="AO11" s="449"/>
      <c r="AP11" s="450">
        <f>SUM(FS_inputs!AI10:AN10)</f>
        <v>125000</v>
      </c>
      <c r="AQ11" s="428"/>
      <c r="AR11" s="428"/>
      <c r="AS11" s="428"/>
      <c r="AT11" s="449"/>
      <c r="AU11" s="450">
        <f>SUM(FS_inputs!AO10:AT10)</f>
        <v>200000</v>
      </c>
      <c r="AV11" s="428"/>
      <c r="AW11" s="428"/>
      <c r="AX11" s="428"/>
      <c r="AY11" s="465"/>
    </row>
    <row r="12" spans="3:51">
      <c r="C12" s="313" t="s">
        <v>118</v>
      </c>
      <c r="D12" s="312"/>
      <c r="E12" s="312"/>
      <c r="F12" s="312"/>
      <c r="G12" s="312"/>
      <c r="H12" s="312"/>
      <c r="I12" s="312"/>
      <c r="J12" s="312"/>
      <c r="K12" s="312"/>
      <c r="L12" s="312"/>
      <c r="M12" s="312"/>
      <c r="N12" s="312"/>
      <c r="O12" s="312"/>
      <c r="P12" s="312"/>
      <c r="Q12" s="312"/>
      <c r="R12" s="312"/>
      <c r="S12" s="312"/>
      <c r="T12" s="312"/>
      <c r="U12" s="312"/>
      <c r="V12" s="312"/>
      <c r="W12" s="312"/>
      <c r="X12" s="312"/>
      <c r="Y12" s="312"/>
      <c r="Z12" s="312"/>
      <c r="AA12" s="312"/>
      <c r="AB12" s="312"/>
      <c r="AC12" s="312"/>
      <c r="AD12" s="312"/>
      <c r="AE12" s="312"/>
      <c r="AF12" s="312"/>
      <c r="AG12" s="312"/>
      <c r="AH12" s="312"/>
      <c r="AI12" s="312"/>
      <c r="AJ12" s="312"/>
      <c r="AK12" s="427">
        <f>PD2_inputs!AC11</f>
        <v>83184</v>
      </c>
      <c r="AL12" s="428"/>
      <c r="AM12" s="428"/>
      <c r="AN12" s="428"/>
      <c r="AO12" s="449"/>
      <c r="AP12" s="450">
        <f>PD2_inputs!AI11</f>
        <v>308354</v>
      </c>
      <c r="AQ12" s="428"/>
      <c r="AR12" s="428"/>
      <c r="AS12" s="428"/>
      <c r="AT12" s="449"/>
      <c r="AU12" s="450">
        <f>PD2_inputs!AO11</f>
        <v>242318</v>
      </c>
      <c r="AV12" s="428"/>
      <c r="AW12" s="428"/>
      <c r="AX12" s="428"/>
      <c r="AY12" s="465"/>
    </row>
    <row r="13" spans="3:51">
      <c r="C13" s="311" t="s">
        <v>119</v>
      </c>
      <c r="D13" s="312"/>
      <c r="E13" s="312"/>
      <c r="F13" s="312"/>
      <c r="G13" s="312"/>
      <c r="H13" s="312"/>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c r="AH13" s="312"/>
      <c r="AI13" s="312"/>
      <c r="AJ13" s="312"/>
      <c r="AK13" s="427">
        <f>PD2_inputs!AC34</f>
        <v>1036510</v>
      </c>
      <c r="AL13" s="428"/>
      <c r="AM13" s="428"/>
      <c r="AN13" s="428"/>
      <c r="AO13" s="449"/>
      <c r="AP13" s="450">
        <f>PD2_inputs!AI34</f>
        <v>784521</v>
      </c>
      <c r="AQ13" s="428"/>
      <c r="AR13" s="428"/>
      <c r="AS13" s="428"/>
      <c r="AT13" s="449"/>
      <c r="AU13" s="450">
        <f>PD2_inputs!AO34</f>
        <v>1018191</v>
      </c>
      <c r="AV13" s="428"/>
      <c r="AW13" s="428"/>
      <c r="AX13" s="428"/>
      <c r="AY13" s="465"/>
    </row>
    <row r="14" ht="15" spans="3:51">
      <c r="C14" s="314" t="s">
        <v>120</v>
      </c>
      <c r="D14" s="315"/>
      <c r="E14" s="315"/>
      <c r="F14" s="315"/>
      <c r="G14" s="315"/>
      <c r="H14" s="315"/>
      <c r="I14" s="315"/>
      <c r="J14" s="315"/>
      <c r="K14" s="315"/>
      <c r="L14" s="315"/>
      <c r="M14" s="315"/>
      <c r="N14" s="315"/>
      <c r="O14" s="315"/>
      <c r="P14" s="315"/>
      <c r="Q14" s="315"/>
      <c r="R14" s="315"/>
      <c r="S14" s="411">
        <v>2</v>
      </c>
      <c r="T14" s="411"/>
      <c r="U14" s="411"/>
      <c r="V14" s="411"/>
      <c r="W14" s="411"/>
      <c r="X14" s="411"/>
      <c r="Y14" s="411"/>
      <c r="Z14" s="411"/>
      <c r="AA14" s="315"/>
      <c r="AB14" s="315"/>
      <c r="AC14" s="315"/>
      <c r="AD14" s="315"/>
      <c r="AE14" s="315"/>
      <c r="AF14" s="315"/>
      <c r="AG14" s="315"/>
      <c r="AH14" s="315"/>
      <c r="AI14" s="315"/>
      <c r="AJ14" s="315"/>
      <c r="AK14" s="429">
        <f>FS_inputs!BI17</f>
        <v>1000</v>
      </c>
      <c r="AL14" s="430"/>
      <c r="AM14" s="430"/>
      <c r="AN14" s="430"/>
      <c r="AO14" s="451"/>
      <c r="AP14" s="429">
        <f>FS_inputs!BO17</f>
        <v>1000</v>
      </c>
      <c r="AQ14" s="430"/>
      <c r="AR14" s="430"/>
      <c r="AS14" s="430"/>
      <c r="AT14" s="451"/>
      <c r="AU14" s="429">
        <f>FS_inputs!BU17</f>
        <v>1000</v>
      </c>
      <c r="AV14" s="430"/>
      <c r="AW14" s="430"/>
      <c r="AX14" s="430"/>
      <c r="AY14" s="451"/>
    </row>
    <row r="16" spans="3:51">
      <c r="C16" s="316">
        <v>1</v>
      </c>
      <c r="D16" s="317" t="s">
        <v>121</v>
      </c>
      <c r="E16" s="317"/>
      <c r="F16" s="317"/>
      <c r="G16" s="317"/>
      <c r="H16" s="317"/>
      <c r="I16" s="317"/>
      <c r="J16" s="317"/>
      <c r="K16" s="317"/>
      <c r="L16" s="317"/>
      <c r="M16" s="317"/>
      <c r="N16" s="317"/>
      <c r="O16" s="317"/>
      <c r="P16" s="317"/>
      <c r="Q16" s="317"/>
      <c r="R16" s="317"/>
      <c r="S16" s="317"/>
      <c r="T16" s="317"/>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row>
    <row r="17" spans="3:4">
      <c r="C17" s="318">
        <v>2</v>
      </c>
      <c r="D17" s="302" t="s">
        <v>122</v>
      </c>
    </row>
    <row r="19" ht="15.75" customHeight="1" spans="3:59">
      <c r="C19" s="319" t="s">
        <v>123</v>
      </c>
      <c r="D19" s="320" t="s">
        <v>124</v>
      </c>
      <c r="E19" s="348"/>
      <c r="F19" s="348"/>
      <c r="G19" s="349"/>
      <c r="H19" s="350" t="s">
        <v>125</v>
      </c>
      <c r="I19" s="393"/>
      <c r="J19" s="393"/>
      <c r="K19" s="393"/>
      <c r="L19" s="393"/>
      <c r="M19" s="404"/>
      <c r="N19" s="320" t="s">
        <v>126</v>
      </c>
      <c r="O19" s="348"/>
      <c r="P19" s="348"/>
      <c r="Q19" s="348"/>
      <c r="R19" s="348"/>
      <c r="S19" s="348"/>
      <c r="T19" s="348"/>
      <c r="U19" s="348"/>
      <c r="V19" s="348"/>
      <c r="W19" s="348"/>
      <c r="X19" s="348"/>
      <c r="Y19" s="348"/>
      <c r="Z19" s="348"/>
      <c r="AA19" s="348"/>
      <c r="AB19" s="349"/>
      <c r="AC19" s="320" t="s">
        <v>127</v>
      </c>
      <c r="AD19" s="348"/>
      <c r="AE19" s="348"/>
      <c r="AF19" s="348"/>
      <c r="AG19" s="348"/>
      <c r="AH19" s="348"/>
      <c r="AI19" s="348"/>
      <c r="AJ19" s="349"/>
      <c r="AK19" s="320" t="s">
        <v>6</v>
      </c>
      <c r="AL19" s="348"/>
      <c r="AM19" s="348"/>
      <c r="AN19" s="348"/>
      <c r="AO19" s="349"/>
      <c r="AP19" s="320" t="s">
        <v>7</v>
      </c>
      <c r="AQ19" s="348"/>
      <c r="AR19" s="348"/>
      <c r="AS19" s="348"/>
      <c r="AT19" s="348"/>
      <c r="AU19" s="350" t="s">
        <v>115</v>
      </c>
      <c r="AV19" s="393"/>
      <c r="AW19" s="393"/>
      <c r="AX19" s="393"/>
      <c r="AY19" s="404"/>
      <c r="BE19" s="302" t="str">
        <f>AK19</f>
        <v>Year 1</v>
      </c>
      <c r="BF19" s="302" t="str">
        <f>AP19</f>
        <v>Year 2</v>
      </c>
      <c r="BG19" s="302" t="str">
        <f>AU19</f>
        <v>Year 3</v>
      </c>
    </row>
    <row r="20" s="300" customFormat="1" ht="15" spans="3:59">
      <c r="C20" s="321"/>
      <c r="D20" s="322"/>
      <c r="E20" s="322"/>
      <c r="F20" s="322"/>
      <c r="G20" s="322"/>
      <c r="H20" s="351"/>
      <c r="I20" s="351"/>
      <c r="J20" s="351"/>
      <c r="K20" s="351"/>
      <c r="L20" s="351"/>
      <c r="M20" s="351"/>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2"/>
      <c r="AS20" s="322"/>
      <c r="AT20" s="322"/>
      <c r="AU20" s="322"/>
      <c r="AV20" s="322"/>
      <c r="AW20" s="322"/>
      <c r="AX20" s="322"/>
      <c r="AY20" s="322"/>
      <c r="BD20" s="300" t="str">
        <f>H26</f>
        <v>Labour Cost Competitiveness</v>
      </c>
      <c r="BE20" s="471">
        <f>AK26</f>
        <v>0.0210610606747644</v>
      </c>
      <c r="BF20" s="471">
        <f>AP26</f>
        <v>0.0403175950675635</v>
      </c>
      <c r="BG20" s="471">
        <f>AU26</f>
        <v>0.0933321940578929</v>
      </c>
    </row>
    <row r="21" spans="3:51">
      <c r="C21" s="323">
        <v>1</v>
      </c>
      <c r="D21" s="324" t="s">
        <v>128</v>
      </c>
      <c r="E21" s="352"/>
      <c r="F21" s="352"/>
      <c r="G21" s="353"/>
      <c r="H21" s="354" t="s">
        <v>129</v>
      </c>
      <c r="I21" s="394"/>
      <c r="J21" s="394"/>
      <c r="K21" s="394"/>
      <c r="L21" s="394"/>
      <c r="M21" s="394"/>
      <c r="N21" s="354" t="s">
        <v>130</v>
      </c>
      <c r="O21" s="394"/>
      <c r="P21" s="394"/>
      <c r="Q21" s="394"/>
      <c r="R21" s="394"/>
      <c r="S21" s="394"/>
      <c r="T21" s="394"/>
      <c r="U21" s="394"/>
      <c r="V21" s="394"/>
      <c r="W21" s="394"/>
      <c r="X21" s="394"/>
      <c r="Y21" s="394"/>
      <c r="Z21" s="394"/>
      <c r="AA21" s="394"/>
      <c r="AB21" s="394"/>
      <c r="AC21" s="412" t="s">
        <v>131</v>
      </c>
      <c r="AD21" s="412"/>
      <c r="AE21" s="412"/>
      <c r="AF21" s="412"/>
      <c r="AG21" s="412"/>
      <c r="AH21" s="412"/>
      <c r="AI21" s="412"/>
      <c r="AJ21" s="412"/>
      <c r="AK21" s="431">
        <f>IFERROR(AK9/AK10,"")</f>
        <v>727.666666666667</v>
      </c>
      <c r="AL21" s="432"/>
      <c r="AM21" s="432"/>
      <c r="AN21" s="432"/>
      <c r="AO21" s="452"/>
      <c r="AP21" s="453">
        <f>IFERROR(AP9/AP10,"")</f>
        <v>1054.33333333333</v>
      </c>
      <c r="AQ21" s="432"/>
      <c r="AR21" s="432"/>
      <c r="AS21" s="432"/>
      <c r="AT21" s="452"/>
      <c r="AU21" s="453">
        <f>IFERROR(AU9/AU10,"")</f>
        <v>3167.66666666667</v>
      </c>
      <c r="AV21" s="432"/>
      <c r="AW21" s="432"/>
      <c r="AX21" s="432"/>
      <c r="AY21" s="466"/>
    </row>
    <row r="22" spans="3:51">
      <c r="C22" s="325">
        <v>2</v>
      </c>
      <c r="D22" s="326" t="s">
        <v>132</v>
      </c>
      <c r="E22" s="355"/>
      <c r="F22" s="355"/>
      <c r="G22" s="356"/>
      <c r="H22" s="357" t="s">
        <v>133</v>
      </c>
      <c r="I22" s="395"/>
      <c r="J22" s="395"/>
      <c r="K22" s="395"/>
      <c r="L22" s="395"/>
      <c r="M22" s="395"/>
      <c r="N22" s="357" t="s">
        <v>134</v>
      </c>
      <c r="O22" s="395"/>
      <c r="P22" s="395"/>
      <c r="Q22" s="395"/>
      <c r="R22" s="395"/>
      <c r="S22" s="395"/>
      <c r="T22" s="395"/>
      <c r="U22" s="395"/>
      <c r="V22" s="395"/>
      <c r="W22" s="395"/>
      <c r="X22" s="395"/>
      <c r="Y22" s="395"/>
      <c r="Z22" s="395"/>
      <c r="AA22" s="395"/>
      <c r="AB22" s="395"/>
      <c r="AC22" s="355" t="s">
        <v>135</v>
      </c>
      <c r="AD22" s="355"/>
      <c r="AE22" s="355"/>
      <c r="AF22" s="355"/>
      <c r="AG22" s="355"/>
      <c r="AH22" s="355"/>
      <c r="AI22" s="355"/>
      <c r="AJ22" s="355"/>
      <c r="AK22" s="433">
        <f>IFERROR(AK11/AK10,"")</f>
        <v>3333.33333333333</v>
      </c>
      <c r="AL22" s="434"/>
      <c r="AM22" s="434"/>
      <c r="AN22" s="434"/>
      <c r="AO22" s="454"/>
      <c r="AP22" s="455">
        <f>IFERROR(AP11/AP10,"")</f>
        <v>4166.66666666667</v>
      </c>
      <c r="AQ22" s="434"/>
      <c r="AR22" s="434"/>
      <c r="AS22" s="434"/>
      <c r="AT22" s="454"/>
      <c r="AU22" s="455">
        <f>IFERROR(AU11/AU10,"")</f>
        <v>6666.66666666667</v>
      </c>
      <c r="AV22" s="434"/>
      <c r="AW22" s="434"/>
      <c r="AX22" s="434"/>
      <c r="AY22" s="467"/>
    </row>
    <row r="23" spans="3:51">
      <c r="C23" s="327">
        <v>3</v>
      </c>
      <c r="D23" s="328" t="s">
        <v>136</v>
      </c>
      <c r="E23" s="358"/>
      <c r="F23" s="358"/>
      <c r="G23" s="359"/>
      <c r="H23" s="357" t="s">
        <v>137</v>
      </c>
      <c r="I23" s="395"/>
      <c r="J23" s="395"/>
      <c r="K23" s="395"/>
      <c r="L23" s="395"/>
      <c r="M23" s="395"/>
      <c r="N23" s="357" t="s">
        <v>138</v>
      </c>
      <c r="O23" s="395"/>
      <c r="P23" s="395"/>
      <c r="Q23" s="395"/>
      <c r="R23" s="395"/>
      <c r="S23" s="395"/>
      <c r="T23" s="395"/>
      <c r="U23" s="395"/>
      <c r="V23" s="395"/>
      <c r="W23" s="395"/>
      <c r="X23" s="395"/>
      <c r="Y23" s="395"/>
      <c r="Z23" s="395"/>
      <c r="AA23" s="395"/>
      <c r="AB23" s="395"/>
      <c r="AC23" s="355" t="s">
        <v>139</v>
      </c>
      <c r="AD23" s="352"/>
      <c r="AE23" s="352"/>
      <c r="AF23" s="352"/>
      <c r="AG23" s="352"/>
      <c r="AH23" s="352"/>
      <c r="AI23" s="352"/>
      <c r="AJ23" s="352"/>
      <c r="AK23" s="433">
        <f>IFERROR(AK9/AK11,"")</f>
        <v>0.2183</v>
      </c>
      <c r="AL23" s="434"/>
      <c r="AM23" s="434"/>
      <c r="AN23" s="434"/>
      <c r="AO23" s="454"/>
      <c r="AP23" s="455">
        <f>IFERROR(AP9/AP11,"")</f>
        <v>0.25304</v>
      </c>
      <c r="AQ23" s="434"/>
      <c r="AR23" s="434"/>
      <c r="AS23" s="434"/>
      <c r="AT23" s="454"/>
      <c r="AU23" s="455">
        <f>IFERROR(AU9/AU11,"")</f>
        <v>0.47515</v>
      </c>
      <c r="AV23" s="434"/>
      <c r="AW23" s="434"/>
      <c r="AX23" s="434"/>
      <c r="AY23" s="467"/>
    </row>
    <row r="24" spans="3:51">
      <c r="C24" s="327">
        <v>4</v>
      </c>
      <c r="D24" s="329"/>
      <c r="E24" s="360"/>
      <c r="F24" s="360"/>
      <c r="G24" s="361"/>
      <c r="H24" s="362" t="s">
        <v>140</v>
      </c>
      <c r="I24" s="396"/>
      <c r="J24" s="396"/>
      <c r="K24" s="396"/>
      <c r="L24" s="396"/>
      <c r="M24" s="396"/>
      <c r="N24" s="357" t="s">
        <v>141</v>
      </c>
      <c r="O24" s="395"/>
      <c r="P24" s="395"/>
      <c r="Q24" s="395"/>
      <c r="R24" s="395"/>
      <c r="S24" s="395"/>
      <c r="T24" s="395"/>
      <c r="U24" s="395"/>
      <c r="V24" s="395"/>
      <c r="W24" s="395"/>
      <c r="X24" s="395"/>
      <c r="Y24" s="395"/>
      <c r="Z24" s="395"/>
      <c r="AA24" s="395"/>
      <c r="AB24" s="395"/>
      <c r="AC24" s="355" t="s">
        <v>142</v>
      </c>
      <c r="AD24" s="355"/>
      <c r="AE24" s="355"/>
      <c r="AF24" s="355"/>
      <c r="AG24" s="355"/>
      <c r="AH24" s="355"/>
      <c r="AI24" s="355"/>
      <c r="AJ24" s="355"/>
      <c r="AK24" s="433">
        <f>IFERROR(AK12/AK11,"")</f>
        <v>0.83184</v>
      </c>
      <c r="AL24" s="434"/>
      <c r="AM24" s="434"/>
      <c r="AN24" s="434"/>
      <c r="AO24" s="454"/>
      <c r="AP24" s="455">
        <f>IFERROR(AP12/AP11,"")</f>
        <v>2.466832</v>
      </c>
      <c r="AQ24" s="434"/>
      <c r="AR24" s="434"/>
      <c r="AS24" s="434"/>
      <c r="AT24" s="454"/>
      <c r="AU24" s="455">
        <f>IFERROR(AU12/AU11,"")</f>
        <v>1.21159</v>
      </c>
      <c r="AV24" s="434"/>
      <c r="AW24" s="434"/>
      <c r="AX24" s="434"/>
      <c r="AY24" s="467"/>
    </row>
    <row r="25" spans="3:51">
      <c r="C25" s="327">
        <v>5</v>
      </c>
      <c r="D25" s="330"/>
      <c r="E25" s="363"/>
      <c r="F25" s="363"/>
      <c r="G25" s="364"/>
      <c r="H25" s="357" t="s">
        <v>143</v>
      </c>
      <c r="I25" s="395"/>
      <c r="J25" s="395"/>
      <c r="K25" s="395"/>
      <c r="L25" s="395"/>
      <c r="M25" s="395"/>
      <c r="N25" s="405" t="s">
        <v>144</v>
      </c>
      <c r="O25" s="363"/>
      <c r="P25" s="363"/>
      <c r="Q25" s="363"/>
      <c r="R25" s="363"/>
      <c r="S25" s="363"/>
      <c r="T25" s="363"/>
      <c r="U25" s="363"/>
      <c r="V25" s="363"/>
      <c r="W25" s="363"/>
      <c r="X25" s="363"/>
      <c r="Y25" s="363"/>
      <c r="Z25" s="363"/>
      <c r="AA25" s="363"/>
      <c r="AB25" s="363"/>
      <c r="AC25" s="355" t="s">
        <v>145</v>
      </c>
      <c r="AD25" s="355"/>
      <c r="AE25" s="355"/>
      <c r="AF25" s="355"/>
      <c r="AG25" s="355"/>
      <c r="AH25" s="355"/>
      <c r="AI25" s="355"/>
      <c r="AJ25" s="355"/>
      <c r="AK25" s="433">
        <f>IFERROR(AK12/AK9,"")</f>
        <v>3.8105359596885</v>
      </c>
      <c r="AL25" s="434"/>
      <c r="AM25" s="434"/>
      <c r="AN25" s="434"/>
      <c r="AO25" s="454"/>
      <c r="AP25" s="455">
        <f>IFERROR(AP12/AP9,"")</f>
        <v>9.74878280113816</v>
      </c>
      <c r="AQ25" s="434"/>
      <c r="AR25" s="434"/>
      <c r="AS25" s="434"/>
      <c r="AT25" s="454"/>
      <c r="AU25" s="455">
        <f>IFERROR(AU12/AU9,"")</f>
        <v>2.54991055456172</v>
      </c>
      <c r="AV25" s="434"/>
      <c r="AW25" s="434"/>
      <c r="AX25" s="434"/>
      <c r="AY25" s="467"/>
    </row>
    <row r="26" spans="3:51">
      <c r="C26" s="327">
        <v>6</v>
      </c>
      <c r="D26" s="328" t="s">
        <v>146</v>
      </c>
      <c r="E26" s="358"/>
      <c r="F26" s="358"/>
      <c r="G26" s="359"/>
      <c r="H26" s="365" t="s">
        <v>147</v>
      </c>
      <c r="I26" s="395"/>
      <c r="J26" s="395"/>
      <c r="K26" s="395"/>
      <c r="L26" s="395"/>
      <c r="M26" s="395"/>
      <c r="N26" s="357" t="s">
        <v>148</v>
      </c>
      <c r="O26" s="395"/>
      <c r="P26" s="395"/>
      <c r="Q26" s="395"/>
      <c r="R26" s="395"/>
      <c r="S26" s="395"/>
      <c r="T26" s="395"/>
      <c r="U26" s="395"/>
      <c r="V26" s="395"/>
      <c r="W26" s="395"/>
      <c r="X26" s="395"/>
      <c r="Y26" s="395"/>
      <c r="Z26" s="395"/>
      <c r="AA26" s="395"/>
      <c r="AB26" s="395"/>
      <c r="AC26" s="355" t="s">
        <v>149</v>
      </c>
      <c r="AD26" s="355"/>
      <c r="AE26" s="355"/>
      <c r="AF26" s="355"/>
      <c r="AG26" s="355"/>
      <c r="AH26" s="355"/>
      <c r="AI26" s="355"/>
      <c r="AJ26" s="355"/>
      <c r="AK26" s="433">
        <f>IFERROR(AK9/AK13,"")</f>
        <v>0.0210610606747644</v>
      </c>
      <c r="AL26" s="434"/>
      <c r="AM26" s="434"/>
      <c r="AN26" s="434"/>
      <c r="AO26" s="454"/>
      <c r="AP26" s="455">
        <f>IFERROR(AP9/AP13,"")</f>
        <v>0.0403175950675635</v>
      </c>
      <c r="AQ26" s="434"/>
      <c r="AR26" s="434"/>
      <c r="AS26" s="434"/>
      <c r="AT26" s="454"/>
      <c r="AU26" s="455">
        <f>IFERROR(AU9/AU13,"")</f>
        <v>0.0933321940578929</v>
      </c>
      <c r="AV26" s="434"/>
      <c r="AW26" s="434"/>
      <c r="AX26" s="434"/>
      <c r="AY26" s="467"/>
    </row>
    <row r="27" spans="3:51">
      <c r="C27" s="327">
        <v>7</v>
      </c>
      <c r="D27" s="330"/>
      <c r="E27" s="363"/>
      <c r="F27" s="363"/>
      <c r="G27" s="364"/>
      <c r="H27" s="365" t="s">
        <v>150</v>
      </c>
      <c r="I27" s="395"/>
      <c r="J27" s="395"/>
      <c r="K27" s="395"/>
      <c r="L27" s="395"/>
      <c r="M27" s="395"/>
      <c r="N27" s="405" t="s">
        <v>151</v>
      </c>
      <c r="O27" s="363"/>
      <c r="P27" s="363"/>
      <c r="Q27" s="363"/>
      <c r="R27" s="363"/>
      <c r="S27" s="363"/>
      <c r="T27" s="363"/>
      <c r="U27" s="363"/>
      <c r="V27" s="363"/>
      <c r="W27" s="363"/>
      <c r="X27" s="363"/>
      <c r="Y27" s="363"/>
      <c r="Z27" s="363"/>
      <c r="AA27" s="363"/>
      <c r="AB27" s="363"/>
      <c r="AC27" s="355" t="s">
        <v>152</v>
      </c>
      <c r="AD27" s="352"/>
      <c r="AE27" s="352"/>
      <c r="AF27" s="352"/>
      <c r="AG27" s="352"/>
      <c r="AH27" s="352"/>
      <c r="AI27" s="352"/>
      <c r="AJ27" s="352"/>
      <c r="AK27" s="433">
        <f>IFERROR(AK13/AK10,"")</f>
        <v>34550.3333333333</v>
      </c>
      <c r="AL27" s="434"/>
      <c r="AM27" s="434"/>
      <c r="AN27" s="434"/>
      <c r="AO27" s="454"/>
      <c r="AP27" s="455">
        <f>IFERROR(AP13/AP10,"")</f>
        <v>26150.7</v>
      </c>
      <c r="AQ27" s="434"/>
      <c r="AR27" s="434"/>
      <c r="AS27" s="434"/>
      <c r="AT27" s="454"/>
      <c r="AU27" s="455">
        <f>IFERROR(AU13/AU10,"")</f>
        <v>33939.7</v>
      </c>
      <c r="AV27" s="434"/>
      <c r="AW27" s="434"/>
      <c r="AX27" s="434"/>
      <c r="AY27" s="467"/>
    </row>
    <row r="28" spans="3:51">
      <c r="C28" s="331">
        <v>8</v>
      </c>
      <c r="D28" s="328" t="s">
        <v>153</v>
      </c>
      <c r="E28" s="358"/>
      <c r="F28" s="358"/>
      <c r="G28" s="359"/>
      <c r="H28" s="365" t="s">
        <v>154</v>
      </c>
      <c r="I28" s="395"/>
      <c r="J28" s="395"/>
      <c r="K28" s="395"/>
      <c r="L28" s="395"/>
      <c r="M28" s="395"/>
      <c r="N28" s="357" t="s">
        <v>155</v>
      </c>
      <c r="O28" s="395"/>
      <c r="P28" s="395"/>
      <c r="Q28" s="395"/>
      <c r="R28" s="395"/>
      <c r="S28" s="395"/>
      <c r="T28" s="395"/>
      <c r="U28" s="395"/>
      <c r="V28" s="395"/>
      <c r="W28" s="395"/>
      <c r="X28" s="395"/>
      <c r="Y28" s="395"/>
      <c r="Z28" s="395"/>
      <c r="AA28" s="395"/>
      <c r="AB28" s="395"/>
      <c r="AC28" s="355" t="s">
        <v>156</v>
      </c>
      <c r="AD28" s="352"/>
      <c r="AE28" s="352"/>
      <c r="AF28" s="352"/>
      <c r="AG28" s="352"/>
      <c r="AH28" s="352"/>
      <c r="AI28" s="352"/>
      <c r="AJ28" s="352"/>
      <c r="AK28" s="433">
        <f>IFERROR(AK11/AK14,"")</f>
        <v>100</v>
      </c>
      <c r="AL28" s="434"/>
      <c r="AM28" s="434"/>
      <c r="AN28" s="434"/>
      <c r="AO28" s="454"/>
      <c r="AP28" s="455">
        <f>IFERROR(AP11/AP14,"")</f>
        <v>125</v>
      </c>
      <c r="AQ28" s="434"/>
      <c r="AR28" s="434"/>
      <c r="AS28" s="434"/>
      <c r="AT28" s="434"/>
      <c r="AU28" s="455">
        <f>IFERROR(AU11/AU14,"")</f>
        <v>200</v>
      </c>
      <c r="AV28" s="434"/>
      <c r="AW28" s="434"/>
      <c r="AX28" s="434"/>
      <c r="AY28" s="467"/>
    </row>
    <row r="29" spans="3:51">
      <c r="C29" s="331">
        <v>9</v>
      </c>
      <c r="D29" s="329"/>
      <c r="E29" s="360"/>
      <c r="F29" s="360"/>
      <c r="G29" s="361"/>
      <c r="H29" s="366" t="s">
        <v>157</v>
      </c>
      <c r="I29" s="396"/>
      <c r="J29" s="396"/>
      <c r="K29" s="396"/>
      <c r="L29" s="396"/>
      <c r="M29" s="396"/>
      <c r="N29" s="357" t="s">
        <v>158</v>
      </c>
      <c r="O29" s="395"/>
      <c r="P29" s="395"/>
      <c r="Q29" s="395"/>
      <c r="R29" s="395"/>
      <c r="S29" s="395"/>
      <c r="T29" s="395"/>
      <c r="U29" s="395"/>
      <c r="V29" s="395"/>
      <c r="W29" s="395"/>
      <c r="X29" s="395"/>
      <c r="Y29" s="395"/>
      <c r="Z29" s="395"/>
      <c r="AA29" s="395"/>
      <c r="AB29" s="395"/>
      <c r="AC29" s="355" t="s">
        <v>159</v>
      </c>
      <c r="AD29" s="352"/>
      <c r="AE29" s="352"/>
      <c r="AF29" s="352"/>
      <c r="AG29" s="352"/>
      <c r="AH29" s="352"/>
      <c r="AI29" s="352"/>
      <c r="AJ29" s="352"/>
      <c r="AK29" s="433">
        <f>IFERROR(AK14/AK10,"")</f>
        <v>33.3333333333333</v>
      </c>
      <c r="AL29" s="434"/>
      <c r="AM29" s="434"/>
      <c r="AN29" s="434"/>
      <c r="AO29" s="454"/>
      <c r="AP29" s="455">
        <f>IFERROR(AP14/AP10,"")</f>
        <v>33.3333333333333</v>
      </c>
      <c r="AQ29" s="434"/>
      <c r="AR29" s="434"/>
      <c r="AS29" s="434"/>
      <c r="AT29" s="454"/>
      <c r="AU29" s="455">
        <f>IFERROR(AU14/AU10,"")</f>
        <v>33.3333333333333</v>
      </c>
      <c r="AV29" s="434"/>
      <c r="AW29" s="434"/>
      <c r="AX29" s="434"/>
      <c r="AY29" s="467"/>
    </row>
    <row r="30" ht="15" spans="3:51">
      <c r="C30" s="332">
        <v>10</v>
      </c>
      <c r="D30" s="333"/>
      <c r="E30" s="367"/>
      <c r="F30" s="367"/>
      <c r="G30" s="368"/>
      <c r="H30" s="369" t="s">
        <v>160</v>
      </c>
      <c r="I30" s="397"/>
      <c r="J30" s="397"/>
      <c r="K30" s="397"/>
      <c r="L30" s="397"/>
      <c r="M30" s="397"/>
      <c r="N30" s="406" t="s">
        <v>161</v>
      </c>
      <c r="O30" s="367"/>
      <c r="P30" s="367"/>
      <c r="Q30" s="367"/>
      <c r="R30" s="367"/>
      <c r="S30" s="367"/>
      <c r="T30" s="367"/>
      <c r="U30" s="367"/>
      <c r="V30" s="367"/>
      <c r="W30" s="367"/>
      <c r="X30" s="367"/>
      <c r="Y30" s="367"/>
      <c r="Z30" s="367"/>
      <c r="AA30" s="367"/>
      <c r="AB30" s="367"/>
      <c r="AC30" s="413" t="s">
        <v>162</v>
      </c>
      <c r="AD30" s="414"/>
      <c r="AE30" s="414"/>
      <c r="AF30" s="414"/>
      <c r="AG30" s="414"/>
      <c r="AH30" s="414"/>
      <c r="AI30" s="414"/>
      <c r="AJ30" s="414"/>
      <c r="AK30" s="435">
        <f>IFERROR(AK9/AK14,"")</f>
        <v>21.83</v>
      </c>
      <c r="AL30" s="436"/>
      <c r="AM30" s="436"/>
      <c r="AN30" s="436"/>
      <c r="AO30" s="456"/>
      <c r="AP30" s="435">
        <f>IFERROR(AP9/AP14,"")</f>
        <v>31.63</v>
      </c>
      <c r="AQ30" s="436"/>
      <c r="AR30" s="436"/>
      <c r="AS30" s="436"/>
      <c r="AT30" s="456"/>
      <c r="AU30" s="435">
        <f>IFERROR(AU9/AU14,"")</f>
        <v>95.03</v>
      </c>
      <c r="AV30" s="436"/>
      <c r="AW30" s="436"/>
      <c r="AX30" s="436"/>
      <c r="AY30" s="456"/>
    </row>
    <row r="31" spans="37:37">
      <c r="AK31" s="437"/>
    </row>
    <row r="33" s="301" customFormat="1" ht="15" spans="3:81">
      <c r="C33" s="334" t="s">
        <v>123</v>
      </c>
      <c r="D33" s="335" t="s">
        <v>163</v>
      </c>
      <c r="E33" s="370"/>
      <c r="F33" s="370"/>
      <c r="G33" s="371"/>
      <c r="H33" s="335" t="s">
        <v>164</v>
      </c>
      <c r="I33" s="370"/>
      <c r="J33" s="370"/>
      <c r="K33" s="370"/>
      <c r="L33" s="371"/>
      <c r="M33" s="335" t="s">
        <v>165</v>
      </c>
      <c r="N33" s="370"/>
      <c r="O33" s="370"/>
      <c r="P33" s="370"/>
      <c r="Q33" s="370"/>
      <c r="R33" s="371"/>
      <c r="S33" s="335" t="s">
        <v>126</v>
      </c>
      <c r="T33" s="370"/>
      <c r="U33" s="370"/>
      <c r="V33" s="370"/>
      <c r="W33" s="370"/>
      <c r="X33" s="370"/>
      <c r="Y33" s="370"/>
      <c r="Z33" s="370"/>
      <c r="AA33" s="371"/>
      <c r="AB33" s="335" t="s">
        <v>127</v>
      </c>
      <c r="AC33" s="370"/>
      <c r="AD33" s="370"/>
      <c r="AE33" s="370"/>
      <c r="AF33" s="370"/>
      <c r="AG33" s="370"/>
      <c r="AH33" s="370"/>
      <c r="AI33" s="370"/>
      <c r="AJ33" s="371"/>
      <c r="AK33" s="393" t="s">
        <v>166</v>
      </c>
      <c r="AL33" s="393"/>
      <c r="AM33" s="393"/>
      <c r="AN33" s="393"/>
      <c r="AO33" s="393"/>
      <c r="AP33" s="393"/>
      <c r="AQ33" s="393"/>
      <c r="AR33" s="393"/>
      <c r="AS33" s="393"/>
      <c r="AT33" s="393"/>
      <c r="AU33" s="393"/>
      <c r="AV33" s="393"/>
      <c r="AW33" s="393"/>
      <c r="AX33" s="393"/>
      <c r="AY33" s="393"/>
      <c r="AZ33" s="350" t="s">
        <v>167</v>
      </c>
      <c r="BA33" s="393"/>
      <c r="BB33" s="393"/>
      <c r="BC33" s="393"/>
      <c r="BD33" s="393"/>
      <c r="BE33" s="393"/>
      <c r="BF33" s="393"/>
      <c r="BG33" s="393"/>
      <c r="BH33" s="393"/>
      <c r="BI33" s="393"/>
      <c r="BJ33" s="393"/>
      <c r="BK33" s="393"/>
      <c r="BL33" s="393"/>
      <c r="BM33" s="393"/>
      <c r="BN33" s="404"/>
      <c r="BO33" s="350" t="s">
        <v>168</v>
      </c>
      <c r="BP33" s="393"/>
      <c r="BQ33" s="393"/>
      <c r="BR33" s="393"/>
      <c r="BS33" s="393"/>
      <c r="BT33" s="393"/>
      <c r="BU33" s="393"/>
      <c r="BV33" s="393"/>
      <c r="BW33" s="393"/>
      <c r="BX33" s="393"/>
      <c r="BY33" s="393"/>
      <c r="BZ33" s="393"/>
      <c r="CA33" s="393"/>
      <c r="CB33" s="393"/>
      <c r="CC33" s="404"/>
    </row>
    <row r="34" ht="15" spans="3:81">
      <c r="C34" s="336"/>
      <c r="D34" s="337"/>
      <c r="E34" s="372"/>
      <c r="F34" s="372"/>
      <c r="G34" s="373"/>
      <c r="H34" s="337"/>
      <c r="I34" s="372"/>
      <c r="J34" s="372"/>
      <c r="K34" s="372"/>
      <c r="L34" s="373"/>
      <c r="M34" s="337"/>
      <c r="N34" s="372"/>
      <c r="O34" s="372"/>
      <c r="P34" s="372"/>
      <c r="Q34" s="372"/>
      <c r="R34" s="373"/>
      <c r="S34" s="337"/>
      <c r="T34" s="372"/>
      <c r="U34" s="372"/>
      <c r="V34" s="372"/>
      <c r="W34" s="372"/>
      <c r="X34" s="372"/>
      <c r="Y34" s="372"/>
      <c r="Z34" s="372"/>
      <c r="AA34" s="373"/>
      <c r="AB34" s="337"/>
      <c r="AC34" s="372"/>
      <c r="AD34" s="372"/>
      <c r="AE34" s="372"/>
      <c r="AF34" s="372"/>
      <c r="AG34" s="372"/>
      <c r="AH34" s="372"/>
      <c r="AI34" s="372"/>
      <c r="AJ34" s="373"/>
      <c r="AK34" s="438" t="s">
        <v>6</v>
      </c>
      <c r="AL34" s="439"/>
      <c r="AM34" s="439"/>
      <c r="AN34" s="439"/>
      <c r="AO34" s="457"/>
      <c r="AP34" s="439" t="s">
        <v>7</v>
      </c>
      <c r="AQ34" s="439"/>
      <c r="AR34" s="439"/>
      <c r="AS34" s="439"/>
      <c r="AT34" s="439"/>
      <c r="AU34" s="462" t="s">
        <v>115</v>
      </c>
      <c r="AV34" s="439"/>
      <c r="AW34" s="439"/>
      <c r="AX34" s="439"/>
      <c r="AY34" s="457"/>
      <c r="AZ34" s="439" t="s">
        <v>6</v>
      </c>
      <c r="BA34" s="439"/>
      <c r="BB34" s="439"/>
      <c r="BC34" s="439"/>
      <c r="BD34" s="439"/>
      <c r="BE34" s="462" t="s">
        <v>7</v>
      </c>
      <c r="BF34" s="439"/>
      <c r="BG34" s="439"/>
      <c r="BH34" s="439"/>
      <c r="BI34" s="439"/>
      <c r="BJ34" s="462" t="s">
        <v>115</v>
      </c>
      <c r="BK34" s="439"/>
      <c r="BL34" s="439"/>
      <c r="BM34" s="439"/>
      <c r="BN34" s="439"/>
      <c r="BO34" s="462" t="s">
        <v>6</v>
      </c>
      <c r="BP34" s="439"/>
      <c r="BQ34" s="439"/>
      <c r="BR34" s="439"/>
      <c r="BS34" s="439"/>
      <c r="BT34" s="462" t="s">
        <v>7</v>
      </c>
      <c r="BU34" s="439"/>
      <c r="BV34" s="439"/>
      <c r="BW34" s="439"/>
      <c r="BX34" s="439"/>
      <c r="BY34" s="462" t="s">
        <v>115</v>
      </c>
      <c r="BZ34" s="439"/>
      <c r="CA34" s="439"/>
      <c r="CB34" s="439"/>
      <c r="CC34" s="499"/>
    </row>
    <row r="35" s="300" customFormat="1" ht="15" spans="3:8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440"/>
      <c r="AL35" s="440"/>
      <c r="AM35" s="440"/>
      <c r="AN35" s="440"/>
      <c r="AO35" s="440"/>
      <c r="AP35" s="440"/>
      <c r="AQ35" s="440"/>
      <c r="AR35" s="440"/>
      <c r="AS35" s="440"/>
      <c r="AT35" s="440"/>
      <c r="AU35" s="440"/>
      <c r="AV35" s="440"/>
      <c r="AW35" s="440"/>
      <c r="AX35" s="440"/>
      <c r="AY35" s="440"/>
      <c r="AZ35" s="440"/>
      <c r="BA35" s="440"/>
      <c r="BB35" s="440"/>
      <c r="BC35" s="440"/>
      <c r="BD35" s="440"/>
      <c r="BE35" s="440"/>
      <c r="BF35" s="440"/>
      <c r="BG35" s="440"/>
      <c r="BH35" s="440"/>
      <c r="BI35" s="440"/>
      <c r="BJ35" s="440"/>
      <c r="BK35" s="440"/>
      <c r="BL35" s="440"/>
      <c r="BM35" s="440"/>
      <c r="BN35" s="440"/>
      <c r="BO35" s="440"/>
      <c r="BP35" s="440"/>
      <c r="BQ35" s="440"/>
      <c r="BR35" s="440"/>
      <c r="BS35" s="440"/>
      <c r="BT35" s="440"/>
      <c r="BU35" s="440"/>
      <c r="BV35" s="440"/>
      <c r="BW35" s="440"/>
      <c r="BX35" s="440"/>
      <c r="BY35" s="440"/>
      <c r="BZ35" s="440"/>
      <c r="CA35" s="440"/>
      <c r="CB35" s="440"/>
      <c r="CC35" s="440"/>
    </row>
    <row r="36" spans="3:81">
      <c r="C36" s="338">
        <v>1</v>
      </c>
      <c r="D36" s="339" t="s">
        <v>169</v>
      </c>
      <c r="E36" s="374"/>
      <c r="F36" s="374"/>
      <c r="G36" s="375"/>
      <c r="H36" s="376" t="s">
        <v>170</v>
      </c>
      <c r="I36" s="398"/>
      <c r="J36" s="398"/>
      <c r="K36" s="398"/>
      <c r="L36" s="398"/>
      <c r="M36" s="407" t="s">
        <v>171</v>
      </c>
      <c r="N36" s="407"/>
      <c r="O36" s="407"/>
      <c r="P36" s="407"/>
      <c r="Q36" s="407"/>
      <c r="R36" s="407"/>
      <c r="S36" s="407" t="s">
        <v>172</v>
      </c>
      <c r="T36" s="407"/>
      <c r="U36" s="407"/>
      <c r="V36" s="407"/>
      <c r="W36" s="407"/>
      <c r="X36" s="407"/>
      <c r="Y36" s="407"/>
      <c r="Z36" s="407"/>
      <c r="AA36" s="407"/>
      <c r="AB36" s="407" t="s">
        <v>173</v>
      </c>
      <c r="AC36" s="407"/>
      <c r="AD36" s="407"/>
      <c r="AE36" s="407"/>
      <c r="AF36" s="407"/>
      <c r="AG36" s="407"/>
      <c r="AH36" s="407"/>
      <c r="AI36" s="407"/>
      <c r="AJ36" s="417"/>
      <c r="AK36" s="441">
        <v>89</v>
      </c>
      <c r="AL36" s="442"/>
      <c r="AM36" s="442"/>
      <c r="AN36" s="442"/>
      <c r="AO36" s="458"/>
      <c r="AP36" s="441">
        <v>89</v>
      </c>
      <c r="AQ36" s="442"/>
      <c r="AR36" s="442"/>
      <c r="AS36" s="442"/>
      <c r="AT36" s="458"/>
      <c r="AU36" s="441">
        <v>89</v>
      </c>
      <c r="AV36" s="442"/>
      <c r="AW36" s="442"/>
      <c r="AX36" s="442"/>
      <c r="AY36" s="458"/>
      <c r="AZ36" s="441">
        <v>89</v>
      </c>
      <c r="BA36" s="442"/>
      <c r="BB36" s="442"/>
      <c r="BC36" s="442"/>
      <c r="BD36" s="458"/>
      <c r="BE36" s="441">
        <v>89</v>
      </c>
      <c r="BF36" s="442"/>
      <c r="BG36" s="442"/>
      <c r="BH36" s="442"/>
      <c r="BI36" s="458"/>
      <c r="BJ36" s="441">
        <v>89</v>
      </c>
      <c r="BK36" s="442"/>
      <c r="BL36" s="442"/>
      <c r="BM36" s="442"/>
      <c r="BN36" s="472"/>
      <c r="BO36" s="473">
        <f>IFERROR(AK36/AZ36,"")</f>
        <v>1</v>
      </c>
      <c r="BP36" s="474"/>
      <c r="BQ36" s="474"/>
      <c r="BR36" s="474"/>
      <c r="BS36" s="484"/>
      <c r="BT36" s="485">
        <f t="shared" ref="BT36:BT43" si="0">IFERROR(AP36/BE36,"")</f>
        <v>1</v>
      </c>
      <c r="BU36" s="474"/>
      <c r="BV36" s="474"/>
      <c r="BW36" s="474"/>
      <c r="BX36" s="493"/>
      <c r="BY36" s="473">
        <f t="shared" ref="BY36:BY43" si="1">IFERROR(AU36/BJ36,"")</f>
        <v>1</v>
      </c>
      <c r="BZ36" s="474"/>
      <c r="CA36" s="474"/>
      <c r="CB36" s="474"/>
      <c r="CC36" s="500"/>
    </row>
    <row r="37" spans="3:81">
      <c r="C37" s="340">
        <v>2</v>
      </c>
      <c r="D37" s="341"/>
      <c r="E37" s="377"/>
      <c r="F37" s="377"/>
      <c r="G37" s="378"/>
      <c r="H37" s="379" t="s">
        <v>170</v>
      </c>
      <c r="I37" s="399"/>
      <c r="J37" s="399"/>
      <c r="K37" s="399"/>
      <c r="L37" s="399"/>
      <c r="M37" s="408" t="s">
        <v>174</v>
      </c>
      <c r="N37" s="408"/>
      <c r="O37" s="408"/>
      <c r="P37" s="408"/>
      <c r="Q37" s="408"/>
      <c r="R37" s="408"/>
      <c r="S37" s="408" t="s">
        <v>175</v>
      </c>
      <c r="T37" s="408"/>
      <c r="U37" s="408"/>
      <c r="V37" s="408"/>
      <c r="W37" s="408"/>
      <c r="X37" s="408"/>
      <c r="Y37" s="408"/>
      <c r="Z37" s="408"/>
      <c r="AA37" s="408"/>
      <c r="AB37" s="408" t="s">
        <v>176</v>
      </c>
      <c r="AC37" s="408"/>
      <c r="AD37" s="408"/>
      <c r="AE37" s="408"/>
      <c r="AF37" s="408"/>
      <c r="AG37" s="408"/>
      <c r="AH37" s="408"/>
      <c r="AI37" s="408"/>
      <c r="AJ37" s="418"/>
      <c r="AK37" s="443">
        <v>89</v>
      </c>
      <c r="AL37" s="444"/>
      <c r="AM37" s="444"/>
      <c r="AN37" s="444"/>
      <c r="AO37" s="459"/>
      <c r="AP37" s="443">
        <v>89</v>
      </c>
      <c r="AQ37" s="444"/>
      <c r="AR37" s="444"/>
      <c r="AS37" s="444"/>
      <c r="AT37" s="459"/>
      <c r="AU37" s="443">
        <v>89</v>
      </c>
      <c r="AV37" s="444"/>
      <c r="AW37" s="444"/>
      <c r="AX37" s="444"/>
      <c r="AY37" s="459"/>
      <c r="AZ37" s="443">
        <v>89</v>
      </c>
      <c r="BA37" s="444"/>
      <c r="BB37" s="444"/>
      <c r="BC37" s="444"/>
      <c r="BD37" s="459"/>
      <c r="BE37" s="443">
        <v>89</v>
      </c>
      <c r="BF37" s="444"/>
      <c r="BG37" s="444"/>
      <c r="BH37" s="444"/>
      <c r="BI37" s="459"/>
      <c r="BJ37" s="443">
        <v>89</v>
      </c>
      <c r="BK37" s="444"/>
      <c r="BL37" s="444"/>
      <c r="BM37" s="444"/>
      <c r="BN37" s="444"/>
      <c r="BO37" s="475">
        <f t="shared" ref="BO37:BO43" si="2">IFERROR(AK37/AZ37,"")</f>
        <v>1</v>
      </c>
      <c r="BP37" s="476"/>
      <c r="BQ37" s="476"/>
      <c r="BR37" s="476"/>
      <c r="BS37" s="486"/>
      <c r="BT37" s="487">
        <f t="shared" si="0"/>
        <v>1</v>
      </c>
      <c r="BU37" s="476"/>
      <c r="BV37" s="476"/>
      <c r="BW37" s="476"/>
      <c r="BX37" s="494"/>
      <c r="BY37" s="475">
        <f t="shared" si="1"/>
        <v>1</v>
      </c>
      <c r="BZ37" s="476"/>
      <c r="CA37" s="476"/>
      <c r="CB37" s="476"/>
      <c r="CC37" s="501"/>
    </row>
    <row r="38" spans="3:81">
      <c r="C38" s="340">
        <v>3</v>
      </c>
      <c r="D38" s="341"/>
      <c r="E38" s="377"/>
      <c r="F38" s="377"/>
      <c r="G38" s="378"/>
      <c r="H38" s="379" t="s">
        <v>177</v>
      </c>
      <c r="I38" s="399"/>
      <c r="J38" s="399"/>
      <c r="K38" s="399"/>
      <c r="L38" s="399"/>
      <c r="M38" s="408" t="s">
        <v>178</v>
      </c>
      <c r="N38" s="408"/>
      <c r="O38" s="408"/>
      <c r="P38" s="408"/>
      <c r="Q38" s="408"/>
      <c r="R38" s="408"/>
      <c r="S38" s="408" t="s">
        <v>179</v>
      </c>
      <c r="T38" s="408"/>
      <c r="U38" s="408"/>
      <c r="V38" s="408"/>
      <c r="W38" s="408"/>
      <c r="X38" s="408"/>
      <c r="Y38" s="408"/>
      <c r="Z38" s="408"/>
      <c r="AA38" s="408"/>
      <c r="AB38" s="408" t="s">
        <v>180</v>
      </c>
      <c r="AC38" s="408"/>
      <c r="AD38" s="408"/>
      <c r="AE38" s="408"/>
      <c r="AF38" s="408"/>
      <c r="AG38" s="408"/>
      <c r="AH38" s="408"/>
      <c r="AI38" s="408"/>
      <c r="AJ38" s="418"/>
      <c r="AK38" s="443">
        <v>89</v>
      </c>
      <c r="AL38" s="444"/>
      <c r="AM38" s="444"/>
      <c r="AN38" s="444"/>
      <c r="AO38" s="459"/>
      <c r="AP38" s="443">
        <v>89</v>
      </c>
      <c r="AQ38" s="444"/>
      <c r="AR38" s="444"/>
      <c r="AS38" s="444"/>
      <c r="AT38" s="459"/>
      <c r="AU38" s="443">
        <v>89</v>
      </c>
      <c r="AV38" s="444"/>
      <c r="AW38" s="444"/>
      <c r="AX38" s="444"/>
      <c r="AY38" s="459"/>
      <c r="AZ38" s="468" t="s">
        <v>181</v>
      </c>
      <c r="BA38" s="469"/>
      <c r="BB38" s="469"/>
      <c r="BC38" s="469"/>
      <c r="BD38" s="470"/>
      <c r="BE38" s="468" t="s">
        <v>181</v>
      </c>
      <c r="BF38" s="469"/>
      <c r="BG38" s="469"/>
      <c r="BH38" s="469"/>
      <c r="BI38" s="470"/>
      <c r="BJ38" s="468" t="s">
        <v>181</v>
      </c>
      <c r="BK38" s="469"/>
      <c r="BL38" s="469"/>
      <c r="BM38" s="469"/>
      <c r="BN38" s="469"/>
      <c r="BO38" s="477">
        <f>AK38</f>
        <v>89</v>
      </c>
      <c r="BP38" s="478"/>
      <c r="BQ38" s="478"/>
      <c r="BR38" s="478"/>
      <c r="BS38" s="488"/>
      <c r="BT38" s="477">
        <f>AP38</f>
        <v>89</v>
      </c>
      <c r="BU38" s="478"/>
      <c r="BV38" s="478"/>
      <c r="BW38" s="478"/>
      <c r="BX38" s="488"/>
      <c r="BY38" s="497">
        <f>AU38</f>
        <v>89</v>
      </c>
      <c r="BZ38" s="498"/>
      <c r="CA38" s="498"/>
      <c r="CB38" s="498"/>
      <c r="CC38" s="502"/>
    </row>
    <row r="39" spans="3:81">
      <c r="C39" s="340">
        <v>4</v>
      </c>
      <c r="D39" s="342"/>
      <c r="E39" s="380"/>
      <c r="F39" s="380"/>
      <c r="G39" s="381"/>
      <c r="H39" s="379" t="s">
        <v>177</v>
      </c>
      <c r="I39" s="399"/>
      <c r="J39" s="399"/>
      <c r="K39" s="399"/>
      <c r="L39" s="399"/>
      <c r="M39" s="408" t="s">
        <v>182</v>
      </c>
      <c r="N39" s="408"/>
      <c r="O39" s="408"/>
      <c r="P39" s="408"/>
      <c r="Q39" s="408"/>
      <c r="R39" s="408"/>
      <c r="S39" s="408" t="s">
        <v>183</v>
      </c>
      <c r="T39" s="408"/>
      <c r="U39" s="408"/>
      <c r="V39" s="408"/>
      <c r="W39" s="408"/>
      <c r="X39" s="408"/>
      <c r="Y39" s="408"/>
      <c r="Z39" s="408"/>
      <c r="AA39" s="408"/>
      <c r="AB39" s="408" t="s">
        <v>184</v>
      </c>
      <c r="AC39" s="408"/>
      <c r="AD39" s="408"/>
      <c r="AE39" s="408"/>
      <c r="AF39" s="408"/>
      <c r="AG39" s="408"/>
      <c r="AH39" s="408"/>
      <c r="AI39" s="408"/>
      <c r="AJ39" s="419"/>
      <c r="AK39" s="443">
        <v>89</v>
      </c>
      <c r="AL39" s="444"/>
      <c r="AM39" s="444"/>
      <c r="AN39" s="444"/>
      <c r="AO39" s="459"/>
      <c r="AP39" s="443">
        <v>89</v>
      </c>
      <c r="AQ39" s="444"/>
      <c r="AR39" s="444"/>
      <c r="AS39" s="444"/>
      <c r="AT39" s="459"/>
      <c r="AU39" s="443">
        <v>89</v>
      </c>
      <c r="AV39" s="444"/>
      <c r="AW39" s="444"/>
      <c r="AX39" s="444"/>
      <c r="AY39" s="459"/>
      <c r="AZ39" s="443">
        <v>89</v>
      </c>
      <c r="BA39" s="444"/>
      <c r="BB39" s="444"/>
      <c r="BC39" s="444"/>
      <c r="BD39" s="459"/>
      <c r="BE39" s="443">
        <v>89</v>
      </c>
      <c r="BF39" s="444"/>
      <c r="BG39" s="444"/>
      <c r="BH39" s="444"/>
      <c r="BI39" s="459"/>
      <c r="BJ39" s="443">
        <v>89</v>
      </c>
      <c r="BK39" s="444"/>
      <c r="BL39" s="444"/>
      <c r="BM39" s="444"/>
      <c r="BN39" s="444"/>
      <c r="BO39" s="475">
        <f t="shared" si="2"/>
        <v>1</v>
      </c>
      <c r="BP39" s="476"/>
      <c r="BQ39" s="476"/>
      <c r="BR39" s="476"/>
      <c r="BS39" s="486"/>
      <c r="BT39" s="487">
        <f t="shared" si="0"/>
        <v>1</v>
      </c>
      <c r="BU39" s="476"/>
      <c r="BV39" s="476"/>
      <c r="BW39" s="476"/>
      <c r="BX39" s="494"/>
      <c r="BY39" s="475">
        <f t="shared" si="1"/>
        <v>1</v>
      </c>
      <c r="BZ39" s="476"/>
      <c r="CA39" s="476"/>
      <c r="CB39" s="476"/>
      <c r="CC39" s="501"/>
    </row>
    <row r="40" spans="3:81">
      <c r="C40" s="340">
        <v>5</v>
      </c>
      <c r="D40" s="343" t="s">
        <v>185</v>
      </c>
      <c r="E40" s="382"/>
      <c r="F40" s="382"/>
      <c r="G40" s="383"/>
      <c r="H40" s="384" t="s">
        <v>170</v>
      </c>
      <c r="I40" s="400"/>
      <c r="J40" s="400"/>
      <c r="K40" s="400"/>
      <c r="L40" s="401"/>
      <c r="M40" s="409" t="s">
        <v>186</v>
      </c>
      <c r="N40" s="409"/>
      <c r="O40" s="409"/>
      <c r="P40" s="409"/>
      <c r="Q40" s="409"/>
      <c r="R40" s="409"/>
      <c r="S40" s="409" t="s">
        <v>187</v>
      </c>
      <c r="T40" s="409"/>
      <c r="U40" s="409"/>
      <c r="V40" s="409"/>
      <c r="W40" s="409"/>
      <c r="X40" s="409"/>
      <c r="Y40" s="409"/>
      <c r="Z40" s="409"/>
      <c r="AA40" s="409"/>
      <c r="AB40" s="409" t="s">
        <v>188</v>
      </c>
      <c r="AC40" s="409"/>
      <c r="AD40" s="409"/>
      <c r="AE40" s="409"/>
      <c r="AF40" s="409"/>
      <c r="AG40" s="409"/>
      <c r="AH40" s="409"/>
      <c r="AI40" s="409"/>
      <c r="AJ40" s="420"/>
      <c r="AK40" s="443">
        <v>89</v>
      </c>
      <c r="AL40" s="444"/>
      <c r="AM40" s="444"/>
      <c r="AN40" s="444"/>
      <c r="AO40" s="459"/>
      <c r="AP40" s="443">
        <v>89</v>
      </c>
      <c r="AQ40" s="444"/>
      <c r="AR40" s="444"/>
      <c r="AS40" s="444"/>
      <c r="AT40" s="459"/>
      <c r="AU40" s="443">
        <v>89</v>
      </c>
      <c r="AV40" s="444"/>
      <c r="AW40" s="444"/>
      <c r="AX40" s="444"/>
      <c r="AY40" s="459"/>
      <c r="AZ40" s="443">
        <v>89</v>
      </c>
      <c r="BA40" s="444"/>
      <c r="BB40" s="444"/>
      <c r="BC40" s="444"/>
      <c r="BD40" s="459"/>
      <c r="BE40" s="443">
        <v>89</v>
      </c>
      <c r="BF40" s="444"/>
      <c r="BG40" s="444"/>
      <c r="BH40" s="444"/>
      <c r="BI40" s="459"/>
      <c r="BJ40" s="443">
        <v>89</v>
      </c>
      <c r="BK40" s="444"/>
      <c r="BL40" s="444"/>
      <c r="BM40" s="444"/>
      <c r="BN40" s="444"/>
      <c r="BO40" s="479">
        <f t="shared" si="2"/>
        <v>1</v>
      </c>
      <c r="BP40" s="480"/>
      <c r="BQ40" s="480"/>
      <c r="BR40" s="480"/>
      <c r="BS40" s="489"/>
      <c r="BT40" s="490">
        <f t="shared" si="0"/>
        <v>1</v>
      </c>
      <c r="BU40" s="480"/>
      <c r="BV40" s="480"/>
      <c r="BW40" s="480"/>
      <c r="BX40" s="495"/>
      <c r="BY40" s="479">
        <f t="shared" si="1"/>
        <v>1</v>
      </c>
      <c r="BZ40" s="480"/>
      <c r="CA40" s="480"/>
      <c r="CB40" s="480"/>
      <c r="CC40" s="503"/>
    </row>
    <row r="41" spans="3:81">
      <c r="C41" s="340">
        <v>6</v>
      </c>
      <c r="D41" s="344"/>
      <c r="E41" s="385"/>
      <c r="F41" s="385"/>
      <c r="G41" s="386"/>
      <c r="H41" s="387" t="s">
        <v>170</v>
      </c>
      <c r="I41" s="402"/>
      <c r="J41" s="402"/>
      <c r="K41" s="402"/>
      <c r="L41" s="402"/>
      <c r="M41" s="409" t="s">
        <v>189</v>
      </c>
      <c r="N41" s="409"/>
      <c r="O41" s="409"/>
      <c r="P41" s="409"/>
      <c r="Q41" s="409"/>
      <c r="R41" s="409"/>
      <c r="S41" s="409" t="s">
        <v>190</v>
      </c>
      <c r="T41" s="409"/>
      <c r="U41" s="409"/>
      <c r="V41" s="409"/>
      <c r="W41" s="409"/>
      <c r="X41" s="409"/>
      <c r="Y41" s="409"/>
      <c r="Z41" s="409"/>
      <c r="AA41" s="409"/>
      <c r="AB41" s="409" t="s">
        <v>191</v>
      </c>
      <c r="AC41" s="409"/>
      <c r="AD41" s="409"/>
      <c r="AE41" s="409"/>
      <c r="AF41" s="409"/>
      <c r="AG41" s="409"/>
      <c r="AH41" s="409"/>
      <c r="AI41" s="409"/>
      <c r="AJ41" s="420"/>
      <c r="AK41" s="443">
        <v>89</v>
      </c>
      <c r="AL41" s="444"/>
      <c r="AM41" s="444"/>
      <c r="AN41" s="444"/>
      <c r="AO41" s="459"/>
      <c r="AP41" s="443">
        <v>89</v>
      </c>
      <c r="AQ41" s="444"/>
      <c r="AR41" s="444"/>
      <c r="AS41" s="444"/>
      <c r="AT41" s="459"/>
      <c r="AU41" s="443">
        <v>89</v>
      </c>
      <c r="AV41" s="444"/>
      <c r="AW41" s="444"/>
      <c r="AX41" s="444"/>
      <c r="AY41" s="459"/>
      <c r="AZ41" s="443">
        <v>89</v>
      </c>
      <c r="BA41" s="444"/>
      <c r="BB41" s="444"/>
      <c r="BC41" s="444"/>
      <c r="BD41" s="459"/>
      <c r="BE41" s="443">
        <v>89</v>
      </c>
      <c r="BF41" s="444"/>
      <c r="BG41" s="444"/>
      <c r="BH41" s="444"/>
      <c r="BI41" s="459"/>
      <c r="BJ41" s="443">
        <v>89</v>
      </c>
      <c r="BK41" s="444"/>
      <c r="BL41" s="444"/>
      <c r="BM41" s="444"/>
      <c r="BN41" s="444"/>
      <c r="BO41" s="479">
        <f t="shared" si="2"/>
        <v>1</v>
      </c>
      <c r="BP41" s="480"/>
      <c r="BQ41" s="480"/>
      <c r="BR41" s="480"/>
      <c r="BS41" s="489"/>
      <c r="BT41" s="490">
        <f t="shared" si="0"/>
        <v>1</v>
      </c>
      <c r="BU41" s="480"/>
      <c r="BV41" s="480"/>
      <c r="BW41" s="480"/>
      <c r="BX41" s="495"/>
      <c r="BY41" s="479">
        <f t="shared" si="1"/>
        <v>1</v>
      </c>
      <c r="BZ41" s="480"/>
      <c r="CA41" s="480"/>
      <c r="CB41" s="480"/>
      <c r="CC41" s="503"/>
    </row>
    <row r="42" spans="3:81">
      <c r="C42" s="340">
        <v>7</v>
      </c>
      <c r="D42" s="344"/>
      <c r="E42" s="385"/>
      <c r="F42" s="385"/>
      <c r="G42" s="386"/>
      <c r="H42" s="387" t="s">
        <v>177</v>
      </c>
      <c r="I42" s="402"/>
      <c r="J42" s="402"/>
      <c r="K42" s="402"/>
      <c r="L42" s="402"/>
      <c r="M42" s="409" t="s">
        <v>192</v>
      </c>
      <c r="N42" s="409"/>
      <c r="O42" s="409"/>
      <c r="P42" s="409"/>
      <c r="Q42" s="409"/>
      <c r="R42" s="409"/>
      <c r="S42" s="409" t="s">
        <v>193</v>
      </c>
      <c r="T42" s="409"/>
      <c r="U42" s="409"/>
      <c r="V42" s="409"/>
      <c r="W42" s="409"/>
      <c r="X42" s="409"/>
      <c r="Y42" s="409"/>
      <c r="Z42" s="409"/>
      <c r="AA42" s="409"/>
      <c r="AB42" s="409" t="s">
        <v>194</v>
      </c>
      <c r="AC42" s="409"/>
      <c r="AD42" s="409"/>
      <c r="AE42" s="409"/>
      <c r="AF42" s="409"/>
      <c r="AG42" s="409"/>
      <c r="AH42" s="409"/>
      <c r="AI42" s="409"/>
      <c r="AJ42" s="420"/>
      <c r="AK42" s="443">
        <v>89</v>
      </c>
      <c r="AL42" s="444"/>
      <c r="AM42" s="444"/>
      <c r="AN42" s="444"/>
      <c r="AO42" s="459"/>
      <c r="AP42" s="443">
        <v>89</v>
      </c>
      <c r="AQ42" s="444"/>
      <c r="AR42" s="444"/>
      <c r="AS42" s="444"/>
      <c r="AT42" s="459"/>
      <c r="AU42" s="443">
        <v>89</v>
      </c>
      <c r="AV42" s="444"/>
      <c r="AW42" s="444"/>
      <c r="AX42" s="444"/>
      <c r="AY42" s="459"/>
      <c r="AZ42" s="443">
        <v>89</v>
      </c>
      <c r="BA42" s="444"/>
      <c r="BB42" s="444"/>
      <c r="BC42" s="444"/>
      <c r="BD42" s="459"/>
      <c r="BE42" s="443">
        <v>89</v>
      </c>
      <c r="BF42" s="444"/>
      <c r="BG42" s="444"/>
      <c r="BH42" s="444"/>
      <c r="BI42" s="459"/>
      <c r="BJ42" s="443">
        <v>89</v>
      </c>
      <c r="BK42" s="444"/>
      <c r="BL42" s="444"/>
      <c r="BM42" s="444"/>
      <c r="BN42" s="444"/>
      <c r="BO42" s="479">
        <f t="shared" si="2"/>
        <v>1</v>
      </c>
      <c r="BP42" s="480"/>
      <c r="BQ42" s="480"/>
      <c r="BR42" s="480"/>
      <c r="BS42" s="489"/>
      <c r="BT42" s="490">
        <f t="shared" si="0"/>
        <v>1</v>
      </c>
      <c r="BU42" s="480"/>
      <c r="BV42" s="480"/>
      <c r="BW42" s="480"/>
      <c r="BX42" s="495"/>
      <c r="BY42" s="479">
        <f t="shared" si="1"/>
        <v>1</v>
      </c>
      <c r="BZ42" s="480"/>
      <c r="CA42" s="480"/>
      <c r="CB42" s="480"/>
      <c r="CC42" s="503"/>
    </row>
    <row r="43" ht="15" spans="3:81">
      <c r="C43" s="345">
        <v>8</v>
      </c>
      <c r="D43" s="346"/>
      <c r="E43" s="388"/>
      <c r="F43" s="388"/>
      <c r="G43" s="389"/>
      <c r="H43" s="390" t="s">
        <v>177</v>
      </c>
      <c r="I43" s="403"/>
      <c r="J43" s="403"/>
      <c r="K43" s="403"/>
      <c r="L43" s="403"/>
      <c r="M43" s="410" t="s">
        <v>195</v>
      </c>
      <c r="N43" s="410"/>
      <c r="O43" s="410"/>
      <c r="P43" s="410"/>
      <c r="Q43" s="410"/>
      <c r="R43" s="410"/>
      <c r="S43" s="410" t="s">
        <v>196</v>
      </c>
      <c r="T43" s="410"/>
      <c r="U43" s="410"/>
      <c r="V43" s="410"/>
      <c r="W43" s="410"/>
      <c r="X43" s="410"/>
      <c r="Y43" s="410"/>
      <c r="Z43" s="410"/>
      <c r="AA43" s="410"/>
      <c r="AB43" s="410" t="s">
        <v>197</v>
      </c>
      <c r="AC43" s="410"/>
      <c r="AD43" s="410"/>
      <c r="AE43" s="410"/>
      <c r="AF43" s="410"/>
      <c r="AG43" s="410"/>
      <c r="AH43" s="410"/>
      <c r="AI43" s="410"/>
      <c r="AJ43" s="421"/>
      <c r="AK43" s="445">
        <v>89</v>
      </c>
      <c r="AL43" s="446"/>
      <c r="AM43" s="446"/>
      <c r="AN43" s="446"/>
      <c r="AO43" s="460"/>
      <c r="AP43" s="461">
        <v>89</v>
      </c>
      <c r="AQ43" s="446"/>
      <c r="AR43" s="446"/>
      <c r="AS43" s="446"/>
      <c r="AT43" s="460"/>
      <c r="AU43" s="461">
        <v>89</v>
      </c>
      <c r="AV43" s="446"/>
      <c r="AW43" s="446"/>
      <c r="AX43" s="446"/>
      <c r="AY43" s="460"/>
      <c r="AZ43" s="461">
        <v>89</v>
      </c>
      <c r="BA43" s="446"/>
      <c r="BB43" s="446"/>
      <c r="BC43" s="446"/>
      <c r="BD43" s="460"/>
      <c r="BE43" s="461">
        <v>89</v>
      </c>
      <c r="BF43" s="446"/>
      <c r="BG43" s="446"/>
      <c r="BH43" s="446"/>
      <c r="BI43" s="460"/>
      <c r="BJ43" s="461">
        <v>89</v>
      </c>
      <c r="BK43" s="446"/>
      <c r="BL43" s="446"/>
      <c r="BM43" s="446"/>
      <c r="BN43" s="481"/>
      <c r="BO43" s="482">
        <f t="shared" si="2"/>
        <v>1</v>
      </c>
      <c r="BP43" s="483"/>
      <c r="BQ43" s="483"/>
      <c r="BR43" s="483"/>
      <c r="BS43" s="491"/>
      <c r="BT43" s="492">
        <f t="shared" si="0"/>
        <v>1</v>
      </c>
      <c r="BU43" s="483"/>
      <c r="BV43" s="483"/>
      <c r="BW43" s="483"/>
      <c r="BX43" s="496"/>
      <c r="BY43" s="482">
        <f t="shared" si="1"/>
        <v>1</v>
      </c>
      <c r="BZ43" s="483"/>
      <c r="CA43" s="483"/>
      <c r="CB43" s="483"/>
      <c r="CC43" s="504"/>
    </row>
  </sheetData>
  <mergeCells count="221">
    <mergeCell ref="C1:AY1"/>
    <mergeCell ref="C2:AY2"/>
    <mergeCell ref="E4:AW4"/>
    <mergeCell ref="AK7:AO7"/>
    <mergeCell ref="AP7:AT7"/>
    <mergeCell ref="AU7:AY7"/>
    <mergeCell ref="AK9:AO9"/>
    <mergeCell ref="AP9:AT9"/>
    <mergeCell ref="AU9:AY9"/>
    <mergeCell ref="AK10:AO10"/>
    <mergeCell ref="AP10:AT10"/>
    <mergeCell ref="AU10:AY10"/>
    <mergeCell ref="AK11:AO11"/>
    <mergeCell ref="AP11:AT11"/>
    <mergeCell ref="AU11:AY11"/>
    <mergeCell ref="AK12:AO12"/>
    <mergeCell ref="AP12:AT12"/>
    <mergeCell ref="AU12:AY12"/>
    <mergeCell ref="AK13:AO13"/>
    <mergeCell ref="AP13:AT13"/>
    <mergeCell ref="AU13:AY13"/>
    <mergeCell ref="AK14:AO14"/>
    <mergeCell ref="AP14:AT14"/>
    <mergeCell ref="AU14:AY14"/>
    <mergeCell ref="D16:AY16"/>
    <mergeCell ref="D19:G19"/>
    <mergeCell ref="H19:M19"/>
    <mergeCell ref="N19:AB19"/>
    <mergeCell ref="AC19:AJ19"/>
    <mergeCell ref="AK19:AO19"/>
    <mergeCell ref="AP19:AT19"/>
    <mergeCell ref="AU19:AY19"/>
    <mergeCell ref="D21:G21"/>
    <mergeCell ref="H21:M21"/>
    <mergeCell ref="N21:AB21"/>
    <mergeCell ref="AC21:AJ21"/>
    <mergeCell ref="AK21:AO21"/>
    <mergeCell ref="AP21:AT21"/>
    <mergeCell ref="AU21:AY21"/>
    <mergeCell ref="D22:G22"/>
    <mergeCell ref="H22:M22"/>
    <mergeCell ref="N22:AB22"/>
    <mergeCell ref="AC22:AJ22"/>
    <mergeCell ref="AK22:AO22"/>
    <mergeCell ref="AP22:AT22"/>
    <mergeCell ref="AU22:AY22"/>
    <mergeCell ref="H23:M23"/>
    <mergeCell ref="N23:AB23"/>
    <mergeCell ref="AC23:AJ23"/>
    <mergeCell ref="AK23:AO23"/>
    <mergeCell ref="AP23:AT23"/>
    <mergeCell ref="AU23:AY23"/>
    <mergeCell ref="H24:M24"/>
    <mergeCell ref="N24:AB24"/>
    <mergeCell ref="AC24:AJ24"/>
    <mergeCell ref="AK24:AO24"/>
    <mergeCell ref="AP24:AT24"/>
    <mergeCell ref="AU24:AY24"/>
    <mergeCell ref="H25:M25"/>
    <mergeCell ref="N25:AB25"/>
    <mergeCell ref="AC25:AJ25"/>
    <mergeCell ref="AK25:AO25"/>
    <mergeCell ref="AP25:AT25"/>
    <mergeCell ref="AU25:AY25"/>
    <mergeCell ref="H26:M26"/>
    <mergeCell ref="N26:AB26"/>
    <mergeCell ref="AC26:AJ26"/>
    <mergeCell ref="AK26:AO26"/>
    <mergeCell ref="AP26:AT26"/>
    <mergeCell ref="AU26:AY26"/>
    <mergeCell ref="H27:M27"/>
    <mergeCell ref="N27:AB27"/>
    <mergeCell ref="AC27:AJ27"/>
    <mergeCell ref="AK27:AO27"/>
    <mergeCell ref="AP27:AT27"/>
    <mergeCell ref="AU27:AY27"/>
    <mergeCell ref="H28:M28"/>
    <mergeCell ref="N28:AB28"/>
    <mergeCell ref="AC28:AJ28"/>
    <mergeCell ref="AK28:AO28"/>
    <mergeCell ref="AP28:AT28"/>
    <mergeCell ref="AU28:AY28"/>
    <mergeCell ref="H29:M29"/>
    <mergeCell ref="N29:AB29"/>
    <mergeCell ref="AC29:AJ29"/>
    <mergeCell ref="AK29:AO29"/>
    <mergeCell ref="AP29:AT29"/>
    <mergeCell ref="AU29:AY29"/>
    <mergeCell ref="H30:M30"/>
    <mergeCell ref="N30:AB30"/>
    <mergeCell ref="AC30:AJ30"/>
    <mergeCell ref="AK30:AO30"/>
    <mergeCell ref="AP30:AT30"/>
    <mergeCell ref="AU30:AY30"/>
    <mergeCell ref="AK33:AY33"/>
    <mergeCell ref="AZ33:BN33"/>
    <mergeCell ref="BO33:CC33"/>
    <mergeCell ref="AK34:AO34"/>
    <mergeCell ref="AP34:AT34"/>
    <mergeCell ref="AU34:AY34"/>
    <mergeCell ref="AZ34:BD34"/>
    <mergeCell ref="BE34:BI34"/>
    <mergeCell ref="BJ34:BN34"/>
    <mergeCell ref="BO34:BS34"/>
    <mergeCell ref="BT34:BX34"/>
    <mergeCell ref="BY34:CC34"/>
    <mergeCell ref="H36:L36"/>
    <mergeCell ref="M36:R36"/>
    <mergeCell ref="S36:AA36"/>
    <mergeCell ref="AB36:AJ36"/>
    <mergeCell ref="AK36:AO36"/>
    <mergeCell ref="AP36:AT36"/>
    <mergeCell ref="AU36:AY36"/>
    <mergeCell ref="AZ36:BD36"/>
    <mergeCell ref="BE36:BI36"/>
    <mergeCell ref="BJ36:BN36"/>
    <mergeCell ref="BO36:BS36"/>
    <mergeCell ref="BT36:BX36"/>
    <mergeCell ref="BY36:CC36"/>
    <mergeCell ref="H37:L37"/>
    <mergeCell ref="M37:R37"/>
    <mergeCell ref="S37:AA37"/>
    <mergeCell ref="AB37:AJ37"/>
    <mergeCell ref="AK37:AO37"/>
    <mergeCell ref="AP37:AT37"/>
    <mergeCell ref="AU37:AY37"/>
    <mergeCell ref="AZ37:BD37"/>
    <mergeCell ref="BE37:BI37"/>
    <mergeCell ref="BJ37:BN37"/>
    <mergeCell ref="BO37:BS37"/>
    <mergeCell ref="BT37:BX37"/>
    <mergeCell ref="BY37:CC37"/>
    <mergeCell ref="H38:L38"/>
    <mergeCell ref="M38:R38"/>
    <mergeCell ref="S38:AA38"/>
    <mergeCell ref="AB38:AJ38"/>
    <mergeCell ref="AK38:AO38"/>
    <mergeCell ref="AP38:AT38"/>
    <mergeCell ref="AU38:AY38"/>
    <mergeCell ref="AZ38:BD38"/>
    <mergeCell ref="BE38:BI38"/>
    <mergeCell ref="BJ38:BN38"/>
    <mergeCell ref="BO38:BS38"/>
    <mergeCell ref="BT38:BX38"/>
    <mergeCell ref="BY38:CC38"/>
    <mergeCell ref="H39:L39"/>
    <mergeCell ref="M39:R39"/>
    <mergeCell ref="S39:AA39"/>
    <mergeCell ref="AB39:AJ39"/>
    <mergeCell ref="AK39:AO39"/>
    <mergeCell ref="AP39:AT39"/>
    <mergeCell ref="AU39:AY39"/>
    <mergeCell ref="AZ39:BD39"/>
    <mergeCell ref="BE39:BI39"/>
    <mergeCell ref="BJ39:BN39"/>
    <mergeCell ref="BO39:BS39"/>
    <mergeCell ref="BT39:BX39"/>
    <mergeCell ref="BY39:CC39"/>
    <mergeCell ref="H40:L40"/>
    <mergeCell ref="M40:R40"/>
    <mergeCell ref="S40:AA40"/>
    <mergeCell ref="AB40:AJ40"/>
    <mergeCell ref="AK40:AO40"/>
    <mergeCell ref="AP40:AT40"/>
    <mergeCell ref="AU40:AY40"/>
    <mergeCell ref="AZ40:BD40"/>
    <mergeCell ref="BE40:BI40"/>
    <mergeCell ref="BJ40:BN40"/>
    <mergeCell ref="BO40:BS40"/>
    <mergeCell ref="BT40:BX40"/>
    <mergeCell ref="BY40:CC40"/>
    <mergeCell ref="H41:L41"/>
    <mergeCell ref="M41:R41"/>
    <mergeCell ref="S41:AA41"/>
    <mergeCell ref="AB41:AJ41"/>
    <mergeCell ref="AK41:AO41"/>
    <mergeCell ref="AP41:AT41"/>
    <mergeCell ref="AU41:AY41"/>
    <mergeCell ref="AZ41:BD41"/>
    <mergeCell ref="BE41:BI41"/>
    <mergeCell ref="BJ41:BN41"/>
    <mergeCell ref="BO41:BS41"/>
    <mergeCell ref="BT41:BX41"/>
    <mergeCell ref="BY41:CC41"/>
    <mergeCell ref="H42:L42"/>
    <mergeCell ref="M42:R42"/>
    <mergeCell ref="S42:AA42"/>
    <mergeCell ref="AB42:AJ42"/>
    <mergeCell ref="AK42:AO42"/>
    <mergeCell ref="AP42:AT42"/>
    <mergeCell ref="AU42:AY42"/>
    <mergeCell ref="AZ42:BD42"/>
    <mergeCell ref="BE42:BI42"/>
    <mergeCell ref="BJ42:BN42"/>
    <mergeCell ref="BO42:BS42"/>
    <mergeCell ref="BT42:BX42"/>
    <mergeCell ref="BY42:CC42"/>
    <mergeCell ref="H43:L43"/>
    <mergeCell ref="M43:R43"/>
    <mergeCell ref="S43:AA43"/>
    <mergeCell ref="AB43:AJ43"/>
    <mergeCell ref="AK43:AO43"/>
    <mergeCell ref="AP43:AT43"/>
    <mergeCell ref="AU43:AY43"/>
    <mergeCell ref="AZ43:BD43"/>
    <mergeCell ref="BE43:BI43"/>
    <mergeCell ref="BJ43:BN43"/>
    <mergeCell ref="BO43:BS43"/>
    <mergeCell ref="BT43:BX43"/>
    <mergeCell ref="BY43:CC43"/>
    <mergeCell ref="C33:C34"/>
    <mergeCell ref="D23:G25"/>
    <mergeCell ref="D26:G27"/>
    <mergeCell ref="D33:G34"/>
    <mergeCell ref="H33:L34"/>
    <mergeCell ref="M33:R34"/>
    <mergeCell ref="S33:AA34"/>
    <mergeCell ref="AB33:AJ34"/>
    <mergeCell ref="D28:G30"/>
    <mergeCell ref="D36:G39"/>
    <mergeCell ref="D40:G43"/>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8"/>
  <sheetViews>
    <sheetView tabSelected="1" topLeftCell="A59" workbookViewId="0">
      <selection activeCell="C85" sqref="C85"/>
    </sheetView>
  </sheetViews>
  <sheetFormatPr defaultColWidth="9" defaultRowHeight="12.75" outlineLevelCol="5"/>
  <cols>
    <col min="1" max="1" width="3.28571428571429" style="1" customWidth="1"/>
    <col min="2" max="2" width="39.4285714285714" style="1" customWidth="1"/>
    <col min="3" max="5" width="21" style="1" customWidth="1"/>
    <col min="6" max="6" width="135" style="1" customWidth="1"/>
    <col min="7" max="16384" width="9.14285714285714" style="1"/>
  </cols>
  <sheetData>
    <row r="1" ht="13.5" spans="1:6">
      <c r="A1" s="184"/>
      <c r="B1" s="185"/>
      <c r="C1" s="186">
        <v>1</v>
      </c>
      <c r="D1" s="186">
        <v>2</v>
      </c>
      <c r="E1" s="186">
        <v>3</v>
      </c>
      <c r="F1" s="234" t="s">
        <v>198</v>
      </c>
    </row>
    <row r="2" spans="1:6">
      <c r="A2" s="187" t="s">
        <v>199</v>
      </c>
      <c r="B2" s="188" t="s">
        <v>200</v>
      </c>
      <c r="C2" s="189"/>
      <c r="D2" s="189"/>
      <c r="E2" s="189"/>
      <c r="F2" s="235" t="s">
        <v>201</v>
      </c>
    </row>
    <row r="3" spans="1:6">
      <c r="A3" s="190"/>
      <c r="B3" s="191" t="s">
        <v>202</v>
      </c>
      <c r="C3" s="192">
        <f>'Profit&amp;Loss'!C4</f>
        <v>101500</v>
      </c>
      <c r="D3" s="192">
        <f>'Profit&amp;Loss'!D4</f>
        <v>122000</v>
      </c>
      <c r="E3" s="192">
        <f>'Profit&amp;Loss'!E4</f>
        <v>196700</v>
      </c>
      <c r="F3" s="236"/>
    </row>
    <row r="4" spans="1:6">
      <c r="A4" s="190"/>
      <c r="B4" s="191" t="s">
        <v>203</v>
      </c>
      <c r="C4" s="192">
        <f>'Profit&amp;Loss'!C5</f>
        <v>37500</v>
      </c>
      <c r="D4" s="192">
        <f>'Profit&amp;Loss'!D5</f>
        <v>46000</v>
      </c>
      <c r="E4" s="192">
        <f>'Profit&amp;Loss'!E5</f>
        <v>56000</v>
      </c>
      <c r="F4" s="237"/>
    </row>
    <row r="5" spans="1:6">
      <c r="A5" s="190"/>
      <c r="B5" s="191"/>
      <c r="C5" s="193"/>
      <c r="D5" s="193"/>
      <c r="E5" s="193"/>
      <c r="F5" s="236" t="s">
        <v>204</v>
      </c>
    </row>
    <row r="6" spans="1:6">
      <c r="A6" s="190"/>
      <c r="B6" s="194" t="s">
        <v>205</v>
      </c>
      <c r="C6" s="195">
        <f>IF(C3,(C3-C4)/C3,"")</f>
        <v>0.630541871921182</v>
      </c>
      <c r="D6" s="195">
        <f t="shared" ref="D6:E6" si="0">IF(D3,(D3-D4)/D3,"")</f>
        <v>0.622950819672131</v>
      </c>
      <c r="E6" s="195">
        <f t="shared" si="0"/>
        <v>0.715302491103203</v>
      </c>
      <c r="F6" s="238"/>
    </row>
    <row r="7" spans="1:6">
      <c r="A7" s="190"/>
      <c r="B7" s="196" t="s">
        <v>206</v>
      </c>
      <c r="C7" s="197"/>
      <c r="D7" s="197"/>
      <c r="E7" s="197"/>
      <c r="F7" s="239" t="s">
        <v>207</v>
      </c>
    </row>
    <row r="8" spans="1:6">
      <c r="A8" s="190"/>
      <c r="B8" s="191" t="s">
        <v>208</v>
      </c>
      <c r="C8" s="192">
        <f>'Profit&amp;Loss'!C8</f>
        <v>-1694787.99358974</v>
      </c>
      <c r="D8" s="192">
        <f>'Profit&amp;Loss'!D8</f>
        <v>-1707025.57692308</v>
      </c>
      <c r="E8" s="192">
        <f>'Profit&amp;Loss'!E8</f>
        <v>-1634472.07692308</v>
      </c>
      <c r="F8" s="236"/>
    </row>
    <row r="9" spans="1:6">
      <c r="A9" s="190"/>
      <c r="B9" s="191" t="s">
        <v>202</v>
      </c>
      <c r="C9" s="192">
        <f>'Profit&amp;Loss'!C4</f>
        <v>101500</v>
      </c>
      <c r="D9" s="192">
        <f>'Profit&amp;Loss'!D4</f>
        <v>122000</v>
      </c>
      <c r="E9" s="192">
        <f>'Profit&amp;Loss'!E4</f>
        <v>196700</v>
      </c>
      <c r="F9" s="237"/>
    </row>
    <row r="10" spans="1:6">
      <c r="A10" s="190"/>
      <c r="B10" s="198"/>
      <c r="C10" s="199"/>
      <c r="D10" s="199"/>
      <c r="E10" s="199"/>
      <c r="F10" s="236" t="s">
        <v>209</v>
      </c>
    </row>
    <row r="11" spans="1:6">
      <c r="A11" s="190"/>
      <c r="B11" s="194" t="s">
        <v>210</v>
      </c>
      <c r="C11" s="195">
        <f>IF(C8,C9/C8,"")</f>
        <v>-0.0598894967299196</v>
      </c>
      <c r="D11" s="195">
        <f t="shared" ref="D11:E11" si="1">IF(D8,D9/D8,"")</f>
        <v>-0.0714693450697474</v>
      </c>
      <c r="E11" s="195">
        <f t="shared" si="1"/>
        <v>-0.120344668334923</v>
      </c>
      <c r="F11" s="238"/>
    </row>
    <row r="12" spans="1:6">
      <c r="A12" s="190"/>
      <c r="B12" s="196" t="s">
        <v>211</v>
      </c>
      <c r="C12" s="197"/>
      <c r="D12" s="197"/>
      <c r="E12" s="197"/>
      <c r="F12" s="239" t="s">
        <v>212</v>
      </c>
    </row>
    <row r="13" spans="1:6">
      <c r="A13" s="190"/>
      <c r="B13" s="191" t="s">
        <v>213</v>
      </c>
      <c r="C13" s="192">
        <f>'Profit&amp;Loss'!C11</f>
        <v>-1880931.99358974</v>
      </c>
      <c r="D13" s="192">
        <f>'Profit&amp;Loss'!D11</f>
        <v>-1893169.57692308</v>
      </c>
      <c r="E13" s="192">
        <f>'Profit&amp;Loss'!E11</f>
        <v>-1820616.07692308</v>
      </c>
      <c r="F13" s="236"/>
    </row>
    <row r="14" spans="1:6">
      <c r="A14" s="190"/>
      <c r="B14" s="191" t="s">
        <v>202</v>
      </c>
      <c r="C14" s="192">
        <f>'Profit&amp;Loss'!C4</f>
        <v>101500</v>
      </c>
      <c r="D14" s="192">
        <f>'Profit&amp;Loss'!D4</f>
        <v>122000</v>
      </c>
      <c r="E14" s="192">
        <f>'Profit&amp;Loss'!E4</f>
        <v>196700</v>
      </c>
      <c r="F14" s="240"/>
    </row>
    <row r="15" spans="1:6">
      <c r="A15" s="190"/>
      <c r="B15" s="191"/>
      <c r="C15" s="200"/>
      <c r="D15" s="200"/>
      <c r="E15" s="200"/>
      <c r="F15" s="236" t="s">
        <v>214</v>
      </c>
    </row>
    <row r="16" spans="1:6">
      <c r="A16" s="190"/>
      <c r="B16" s="194" t="s">
        <v>215</v>
      </c>
      <c r="C16" s="195">
        <f>IF(C14,C13/C14,"")</f>
        <v>-18.5313496905394</v>
      </c>
      <c r="D16" s="195">
        <f>IF(D14,D13/D14,"")</f>
        <v>-15.5177834174023</v>
      </c>
      <c r="E16" s="195">
        <f>IF(E14,E13/E14,"")</f>
        <v>-9.25580110281178</v>
      </c>
      <c r="F16" s="238"/>
    </row>
    <row r="17" spans="1:6">
      <c r="A17" s="201"/>
      <c r="B17" s="202" t="s">
        <v>216</v>
      </c>
      <c r="C17" s="197"/>
      <c r="D17" s="197"/>
      <c r="E17" s="197"/>
      <c r="F17" s="239" t="s">
        <v>217</v>
      </c>
    </row>
    <row r="18" spans="1:6">
      <c r="A18" s="201"/>
      <c r="B18" s="203" t="s">
        <v>213</v>
      </c>
      <c r="C18" s="192">
        <f>'Profit&amp;Loss'!C11</f>
        <v>-1880931.99358974</v>
      </c>
      <c r="D18" s="192">
        <f>'Profit&amp;Loss'!D11</f>
        <v>-1893169.57692308</v>
      </c>
      <c r="E18" s="192">
        <f>'Profit&amp;Loss'!E11</f>
        <v>-1820616.07692308</v>
      </c>
      <c r="F18" s="236"/>
    </row>
    <row r="19" spans="1:6">
      <c r="A19" s="201"/>
      <c r="B19" s="203" t="s">
        <v>12</v>
      </c>
      <c r="C19" s="192">
        <f>'Profit&amp;Loss'!C14</f>
        <v>11700</v>
      </c>
      <c r="D19" s="192">
        <f>'Profit&amp;Loss'!D14</f>
        <v>11700</v>
      </c>
      <c r="E19" s="192">
        <f>'Profit&amp;Loss'!E14</f>
        <v>11600</v>
      </c>
      <c r="F19" s="240"/>
    </row>
    <row r="20" spans="1:6">
      <c r="A20" s="190"/>
      <c r="B20" s="191"/>
      <c r="C20" s="200"/>
      <c r="D20" s="200"/>
      <c r="E20" s="200"/>
      <c r="F20" s="241" t="s">
        <v>218</v>
      </c>
    </row>
    <row r="21" spans="1:6">
      <c r="A21" s="190"/>
      <c r="B21" s="194" t="s">
        <v>219</v>
      </c>
      <c r="C21" s="195">
        <f>IF(C19,C18/C19,"")</f>
        <v>-160.763418255534</v>
      </c>
      <c r="D21" s="195">
        <f>IF(D19,D18/D19,"")</f>
        <v>-161.809365548981</v>
      </c>
      <c r="E21" s="195">
        <f>IF(E19,E18/E19,"")</f>
        <v>-156.949661803714</v>
      </c>
      <c r="F21" s="242"/>
    </row>
    <row r="22" spans="1:6">
      <c r="A22" s="190"/>
      <c r="B22" s="196" t="s">
        <v>220</v>
      </c>
      <c r="C22" s="197"/>
      <c r="D22" s="197"/>
      <c r="E22" s="197"/>
      <c r="F22" s="243" t="s">
        <v>221</v>
      </c>
    </row>
    <row r="23" spans="1:6">
      <c r="A23" s="190"/>
      <c r="B23" s="191" t="s">
        <v>213</v>
      </c>
      <c r="C23" s="192">
        <f>'Profit&amp;Loss'!C11</f>
        <v>-1880931.99358974</v>
      </c>
      <c r="D23" s="192">
        <f>'Profit&amp;Loss'!D11</f>
        <v>-1893169.57692308</v>
      </c>
      <c r="E23" s="192">
        <f>'Profit&amp;Loss'!E11</f>
        <v>-1820616.07692308</v>
      </c>
      <c r="F23" s="237"/>
    </row>
    <row r="24" spans="1:6">
      <c r="A24" s="190"/>
      <c r="B24" s="191" t="s">
        <v>34</v>
      </c>
      <c r="C24" s="192">
        <f>'Profit&amp;Loss'!C26</f>
        <v>10000</v>
      </c>
      <c r="D24" s="192">
        <f>'Profit&amp;Loss'!D26</f>
        <v>10000</v>
      </c>
      <c r="E24" s="192">
        <f>'Profit&amp;Loss'!E26</f>
        <v>10000</v>
      </c>
      <c r="F24" s="240"/>
    </row>
    <row r="25" spans="1:6">
      <c r="A25" s="190"/>
      <c r="B25" s="191"/>
      <c r="C25" s="200"/>
      <c r="D25" s="200"/>
      <c r="E25" s="200"/>
      <c r="F25" s="237" t="s">
        <v>222</v>
      </c>
    </row>
    <row r="26" spans="1:6">
      <c r="A26" s="190"/>
      <c r="B26" s="194" t="s">
        <v>223</v>
      </c>
      <c r="C26" s="195">
        <f>IF(C24,C23/C24,"")</f>
        <v>-188.093199358974</v>
      </c>
      <c r="D26" s="195">
        <f>IF(D24,D23/D24,"")</f>
        <v>-189.316957692308</v>
      </c>
      <c r="E26" s="195">
        <f>IF(E24,E23/E24,"")</f>
        <v>-182.061607692308</v>
      </c>
      <c r="F26" s="244"/>
    </row>
    <row r="27" spans="1:6">
      <c r="A27" s="190"/>
      <c r="B27" s="196" t="s">
        <v>224</v>
      </c>
      <c r="C27" s="197"/>
      <c r="D27" s="197"/>
      <c r="E27" s="197"/>
      <c r="F27" s="243" t="s">
        <v>225</v>
      </c>
    </row>
    <row r="28" spans="1:6">
      <c r="A28" s="190"/>
      <c r="B28" s="191" t="s">
        <v>226</v>
      </c>
      <c r="C28" s="192">
        <f>'Profit&amp;Loss'!C11</f>
        <v>-1880931.99358974</v>
      </c>
      <c r="D28" s="192">
        <f>'Profit&amp;Loss'!D11</f>
        <v>-1893169.57692308</v>
      </c>
      <c r="E28" s="192">
        <f>'Profit&amp;Loss'!E11</f>
        <v>-1820616.07692308</v>
      </c>
      <c r="F28" s="237"/>
    </row>
    <row r="29" spans="1:6">
      <c r="A29" s="190"/>
      <c r="B29" s="191" t="s">
        <v>38</v>
      </c>
      <c r="C29" s="192">
        <f>'Profit&amp;Loss'!C28</f>
        <v>0</v>
      </c>
      <c r="D29" s="192">
        <f>'Profit&amp;Loss'!D28</f>
        <v>0</v>
      </c>
      <c r="E29" s="192">
        <f>'Profit&amp;Loss'!E28</f>
        <v>0</v>
      </c>
      <c r="F29" s="240"/>
    </row>
    <row r="30" spans="1:6">
      <c r="A30" s="190"/>
      <c r="B30" s="198"/>
      <c r="C30" s="199"/>
      <c r="D30" s="199"/>
      <c r="E30" s="199"/>
      <c r="F30" s="237" t="s">
        <v>227</v>
      </c>
    </row>
    <row r="31" spans="1:6">
      <c r="A31" s="190"/>
      <c r="B31" s="194" t="s">
        <v>228</v>
      </c>
      <c r="C31" s="204" t="str">
        <f>IF(C29,C28/C29,"")</f>
        <v/>
      </c>
      <c r="D31" s="204" t="str">
        <f t="shared" ref="D31:E31" si="2">IF(D29,D28/D29,"")</f>
        <v/>
      </c>
      <c r="E31" s="204" t="str">
        <f t="shared" si="2"/>
        <v/>
      </c>
      <c r="F31" s="244"/>
    </row>
    <row r="32" spans="1:6">
      <c r="A32" s="190"/>
      <c r="B32" s="196" t="s">
        <v>229</v>
      </c>
      <c r="C32" s="197"/>
      <c r="D32" s="197"/>
      <c r="E32" s="197"/>
      <c r="F32" s="243" t="s">
        <v>230</v>
      </c>
    </row>
    <row r="33" spans="1:6">
      <c r="A33" s="190"/>
      <c r="B33" s="205" t="s">
        <v>231</v>
      </c>
      <c r="C33" s="192">
        <f>'Profit&amp;Loss'!C6</f>
        <v>982038.615384615</v>
      </c>
      <c r="D33" s="192">
        <f>'Profit&amp;Loss'!D6</f>
        <v>984238.615384615</v>
      </c>
      <c r="E33" s="192">
        <f>'Profit&amp;Loss'!E6</f>
        <v>985538.615384615</v>
      </c>
      <c r="F33" s="237"/>
    </row>
    <row r="34" spans="1:6">
      <c r="A34" s="190"/>
      <c r="B34" s="191" t="s">
        <v>232</v>
      </c>
      <c r="C34" s="192">
        <f>'Profit&amp;Loss'!C4</f>
        <v>101500</v>
      </c>
      <c r="D34" s="192">
        <f>'Profit&amp;Loss'!D4</f>
        <v>122000</v>
      </c>
      <c r="E34" s="192">
        <f>'Profit&amp;Loss'!E4</f>
        <v>196700</v>
      </c>
      <c r="F34" s="240"/>
    </row>
    <row r="35" spans="1:6">
      <c r="A35" s="190"/>
      <c r="B35" s="191"/>
      <c r="C35" s="200"/>
      <c r="D35" s="200"/>
      <c r="E35" s="200"/>
      <c r="F35" s="240"/>
    </row>
    <row r="36" ht="13.5" spans="1:6">
      <c r="A36" s="190"/>
      <c r="B36" s="206" t="s">
        <v>233</v>
      </c>
      <c r="C36" s="207">
        <f>IFERROR(ROUND(C33/C34,1),"")</f>
        <v>9.7</v>
      </c>
      <c r="D36" s="207">
        <f>IFERROR(ROUND(D33/D34,1),"")</f>
        <v>8.1</v>
      </c>
      <c r="E36" s="207">
        <f>IFERROR(ROUND(E33/E34,1),"")</f>
        <v>5</v>
      </c>
      <c r="F36" s="245" t="s">
        <v>234</v>
      </c>
    </row>
    <row r="37" ht="13.5" spans="1:6">
      <c r="A37" s="208"/>
      <c r="B37" s="206" t="s">
        <v>233</v>
      </c>
      <c r="C37" s="209">
        <f>IFERROR(ROUND(C33/C34,1),"")</f>
        <v>9.7</v>
      </c>
      <c r="D37" s="209">
        <f>IFERROR(ROUND(D33/D34,1),"")</f>
        <v>8.1</v>
      </c>
      <c r="E37" s="209">
        <f>IFERROR(ROUND(E33/E34,1),"")</f>
        <v>5</v>
      </c>
      <c r="F37" s="246"/>
    </row>
    <row r="38" ht="13.5" spans="1:6">
      <c r="A38" s="184"/>
      <c r="B38" s="191"/>
      <c r="C38" s="210"/>
      <c r="D38" s="210"/>
      <c r="E38" s="210"/>
      <c r="F38" s="247"/>
    </row>
    <row r="39" spans="1:6">
      <c r="A39" s="211" t="s">
        <v>235</v>
      </c>
      <c r="B39" s="212" t="s">
        <v>236</v>
      </c>
      <c r="C39" s="213"/>
      <c r="D39" s="213"/>
      <c r="E39" s="213"/>
      <c r="F39" s="248" t="s">
        <v>237</v>
      </c>
    </row>
    <row r="40" spans="1:6">
      <c r="A40" s="214"/>
      <c r="B40" s="205" t="s">
        <v>238</v>
      </c>
      <c r="C40" s="192">
        <f>'Profit&amp;Loss'!C15</f>
        <v>10700</v>
      </c>
      <c r="D40" s="192">
        <f>'Profit&amp;Loss'!D15</f>
        <v>10700</v>
      </c>
      <c r="E40" s="192">
        <f>'Profit&amp;Loss'!E15</f>
        <v>10600</v>
      </c>
      <c r="F40" s="249"/>
    </row>
    <row r="41" spans="1:6">
      <c r="A41" s="214"/>
      <c r="B41" s="205" t="s">
        <v>239</v>
      </c>
      <c r="C41" s="192">
        <f>'Profit&amp;Loss'!C22</f>
        <v>1700</v>
      </c>
      <c r="D41" s="192">
        <f>'Profit&amp;Loss'!D22</f>
        <v>1700</v>
      </c>
      <c r="E41" s="192">
        <f>'Profit&amp;Loss'!E22</f>
        <v>1600</v>
      </c>
      <c r="F41" s="250"/>
    </row>
    <row r="42" spans="1:6">
      <c r="A42" s="214"/>
      <c r="B42" s="191"/>
      <c r="C42" s="200"/>
      <c r="D42" s="200"/>
      <c r="E42" s="200"/>
      <c r="F42" s="249" t="s">
        <v>240</v>
      </c>
    </row>
    <row r="43" spans="1:6">
      <c r="A43" s="214"/>
      <c r="B43" s="191"/>
      <c r="C43" s="207" t="s">
        <v>241</v>
      </c>
      <c r="D43" s="207" t="s">
        <v>241</v>
      </c>
      <c r="E43" s="207" t="s">
        <v>241</v>
      </c>
      <c r="F43" s="249"/>
    </row>
    <row r="44" spans="1:6">
      <c r="A44" s="214"/>
      <c r="B44" s="215" t="s">
        <v>242</v>
      </c>
      <c r="C44" s="207">
        <f>IFERROR(ROUND(C40/C41,1),"")</f>
        <v>6.3</v>
      </c>
      <c r="D44" s="207">
        <f>IFERROR(ROUND(D40/D41,1),"")</f>
        <v>6.3</v>
      </c>
      <c r="E44" s="207">
        <f>IFERROR(ROUND(E40/E41,1),"")</f>
        <v>6.6</v>
      </c>
      <c r="F44" s="249"/>
    </row>
    <row r="45" spans="1:6">
      <c r="A45" s="214"/>
      <c r="B45" s="196" t="s">
        <v>243</v>
      </c>
      <c r="C45" s="197"/>
      <c r="D45" s="197"/>
      <c r="E45" s="197"/>
      <c r="F45" s="251" t="s">
        <v>244</v>
      </c>
    </row>
    <row r="46" spans="1:6">
      <c r="A46" s="214"/>
      <c r="B46" s="205" t="s">
        <v>245</v>
      </c>
      <c r="C46" s="192">
        <f>'Profit&amp;Loss'!C16</f>
        <v>8700</v>
      </c>
      <c r="D46" s="192">
        <f>'Profit&amp;Loss'!D16</f>
        <v>8550</v>
      </c>
      <c r="E46" s="192">
        <f>'Profit&amp;Loss'!E16</f>
        <v>8900</v>
      </c>
      <c r="F46" s="249"/>
    </row>
    <row r="47" spans="1:6">
      <c r="A47" s="214"/>
      <c r="B47" s="205" t="s">
        <v>239</v>
      </c>
      <c r="C47" s="192">
        <f>'Profit&amp;Loss'!C22</f>
        <v>1700</v>
      </c>
      <c r="D47" s="192">
        <f>'Profit&amp;Loss'!D22</f>
        <v>1700</v>
      </c>
      <c r="E47" s="192">
        <f>'Profit&amp;Loss'!E22</f>
        <v>1600</v>
      </c>
      <c r="F47" s="250"/>
    </row>
    <row r="48" spans="1:6">
      <c r="A48" s="214"/>
      <c r="B48" s="191"/>
      <c r="C48" s="200"/>
      <c r="D48" s="200"/>
      <c r="E48" s="200"/>
      <c r="F48" s="250"/>
    </row>
    <row r="49" spans="1:6">
      <c r="A49" s="214"/>
      <c r="B49" s="191"/>
      <c r="C49" s="216" t="s">
        <v>246</v>
      </c>
      <c r="D49" s="216" t="s">
        <v>246</v>
      </c>
      <c r="E49" s="216" t="s">
        <v>246</v>
      </c>
      <c r="F49" s="249" t="s">
        <v>247</v>
      </c>
    </row>
    <row r="50" spans="1:6">
      <c r="A50" s="214"/>
      <c r="B50" s="215" t="s">
        <v>248</v>
      </c>
      <c r="C50" s="207">
        <f>IFERROR(ROUND(C46/C47,1),"")</f>
        <v>5.1</v>
      </c>
      <c r="D50" s="207">
        <f>IFERROR(ROUND(D46/D47,1),"")</f>
        <v>5</v>
      </c>
      <c r="E50" s="207">
        <f>IFERROR(ROUND(E46/E47,1),"")</f>
        <v>5.6</v>
      </c>
      <c r="F50" s="249"/>
    </row>
    <row r="51" spans="1:6">
      <c r="A51" s="214"/>
      <c r="B51" s="217" t="s">
        <v>249</v>
      </c>
      <c r="C51" s="197"/>
      <c r="D51" s="197"/>
      <c r="E51" s="197"/>
      <c r="F51" s="252"/>
    </row>
    <row r="52" spans="1:6">
      <c r="A52" s="214"/>
      <c r="B52" s="218" t="s">
        <v>250</v>
      </c>
      <c r="C52" s="219">
        <f>'Profit&amp;Loss'!C15</f>
        <v>10700</v>
      </c>
      <c r="D52" s="219">
        <f>'Profit&amp;Loss'!D15</f>
        <v>10700</v>
      </c>
      <c r="E52" s="219">
        <f>'Profit&amp;Loss'!E15</f>
        <v>10600</v>
      </c>
      <c r="F52" s="253"/>
    </row>
    <row r="53" spans="1:6">
      <c r="A53" s="214"/>
      <c r="B53" s="218" t="s">
        <v>251</v>
      </c>
      <c r="C53" s="219">
        <f>'Profit&amp;Loss'!C22</f>
        <v>1700</v>
      </c>
      <c r="D53" s="219">
        <f>'Profit&amp;Loss'!D22</f>
        <v>1700</v>
      </c>
      <c r="E53" s="219">
        <f>'Profit&amp;Loss'!E22</f>
        <v>1600</v>
      </c>
      <c r="F53" s="253"/>
    </row>
    <row r="54" spans="1:6">
      <c r="A54" s="214"/>
      <c r="B54" s="218" t="s">
        <v>252</v>
      </c>
      <c r="C54" s="219">
        <v>1.5</v>
      </c>
      <c r="D54" s="219">
        <v>1.5</v>
      </c>
      <c r="E54" s="219">
        <v>1.5</v>
      </c>
      <c r="F54" s="254"/>
    </row>
    <row r="55" spans="1:6">
      <c r="A55" s="214"/>
      <c r="B55" s="218"/>
      <c r="C55" s="220"/>
      <c r="D55" s="220"/>
      <c r="E55" s="220"/>
      <c r="F55" s="254"/>
    </row>
    <row r="56" spans="1:6">
      <c r="A56" s="214"/>
      <c r="B56" s="221" t="s">
        <v>253</v>
      </c>
      <c r="C56" s="222">
        <f>C52-C53</f>
        <v>9000</v>
      </c>
      <c r="D56" s="222">
        <f>D52-D53</f>
        <v>9000</v>
      </c>
      <c r="E56" s="222">
        <f>E52-E53</f>
        <v>9000</v>
      </c>
      <c r="F56" s="253"/>
    </row>
    <row r="57" spans="1:6">
      <c r="A57" s="214"/>
      <c r="B57" s="221" t="s">
        <v>254</v>
      </c>
      <c r="C57" s="222">
        <f>C53*C54-C53</f>
        <v>850</v>
      </c>
      <c r="D57" s="222">
        <f>D53*D54-D53</f>
        <v>850</v>
      </c>
      <c r="E57" s="222">
        <f>E53*E54-E53</f>
        <v>800</v>
      </c>
      <c r="F57" s="253"/>
    </row>
    <row r="58" spans="1:6">
      <c r="A58" s="214"/>
      <c r="B58" s="218"/>
      <c r="C58" s="223"/>
      <c r="D58" s="223"/>
      <c r="E58" s="223"/>
      <c r="F58" s="255"/>
    </row>
    <row r="59" spans="1:6">
      <c r="A59" s="224"/>
      <c r="B59" s="225" t="s">
        <v>255</v>
      </c>
      <c r="C59" s="226">
        <f>IFERROR('Profit&amp;Loss'!C4/C56,"")</f>
        <v>11.2777777777778</v>
      </c>
      <c r="D59" s="226">
        <f>IFERROR('Profit&amp;Loss'!D4/D56,"")</f>
        <v>13.5555555555556</v>
      </c>
      <c r="E59" s="226">
        <f>IFERROR('Profit&amp;Loss'!E4/E56,"")</f>
        <v>21.8555555555556</v>
      </c>
      <c r="F59" s="256"/>
    </row>
    <row r="60" spans="1:6">
      <c r="A60" s="184"/>
      <c r="B60" s="184"/>
      <c r="C60" s="184"/>
      <c r="D60" s="184"/>
      <c r="E60" s="184"/>
      <c r="F60" s="247"/>
    </row>
    <row r="61" spans="1:6">
      <c r="A61" s="227" t="s">
        <v>256</v>
      </c>
      <c r="B61" s="228" t="s">
        <v>257</v>
      </c>
      <c r="C61" s="229"/>
      <c r="D61" s="229"/>
      <c r="E61" s="229"/>
      <c r="F61" s="257" t="s">
        <v>258</v>
      </c>
    </row>
    <row r="62" spans="1:6">
      <c r="A62" s="230"/>
      <c r="B62" s="191" t="s">
        <v>232</v>
      </c>
      <c r="C62" s="231">
        <f>'Profit&amp;Loss'!C4</f>
        <v>101500</v>
      </c>
      <c r="D62" s="231">
        <f>'Profit&amp;Loss'!D4</f>
        <v>122000</v>
      </c>
      <c r="E62" s="231">
        <f>'Profit&amp;Loss'!E4</f>
        <v>196700</v>
      </c>
      <c r="F62" s="258"/>
    </row>
    <row r="63" spans="1:6">
      <c r="A63" s="230"/>
      <c r="B63" s="218" t="s">
        <v>259</v>
      </c>
      <c r="C63" s="231"/>
      <c r="D63" s="231">
        <f>AVERAGE('Profit&amp;Loss'!C17:D17)</f>
        <v>1350</v>
      </c>
      <c r="E63" s="231">
        <f>AVERAGE('Profit&amp;Loss'!D17:E17)</f>
        <v>1250</v>
      </c>
      <c r="F63" s="258"/>
    </row>
    <row r="64" spans="1:6">
      <c r="A64" s="230"/>
      <c r="B64" s="232" t="s">
        <v>260</v>
      </c>
      <c r="C64" s="233">
        <f>IFERROR(C62/C63,0)</f>
        <v>0</v>
      </c>
      <c r="D64" s="233">
        <f>IFERROR(D62/D63,0)</f>
        <v>90.3703703703704</v>
      </c>
      <c r="E64" s="233">
        <f>IFERROR(E62/E63,0)</f>
        <v>157.36</v>
      </c>
      <c r="F64" s="259"/>
    </row>
    <row r="65" spans="1:6">
      <c r="A65" s="230"/>
      <c r="B65" s="218"/>
      <c r="C65" s="220"/>
      <c r="D65" s="220"/>
      <c r="E65" s="220"/>
      <c r="F65" s="258" t="s">
        <v>261</v>
      </c>
    </row>
    <row r="66" spans="1:6">
      <c r="A66" s="230"/>
      <c r="B66" s="260" t="s">
        <v>262</v>
      </c>
      <c r="C66" s="261" t="str">
        <f>IFERROR(365/C64,"")</f>
        <v/>
      </c>
      <c r="D66" s="261">
        <f>IFERROR(365/D64,"")</f>
        <v>4.03893442622951</v>
      </c>
      <c r="E66" s="261">
        <f>IFERROR(365/E64,"")</f>
        <v>2.31952211489578</v>
      </c>
      <c r="F66" s="284"/>
    </row>
    <row r="67" spans="1:6">
      <c r="A67" s="230"/>
      <c r="B67" s="262"/>
      <c r="C67" s="263"/>
      <c r="D67" s="263"/>
      <c r="E67" s="263"/>
      <c r="F67" s="285"/>
    </row>
    <row r="68" spans="1:6">
      <c r="A68" s="230"/>
      <c r="B68" s="264" t="s">
        <v>263</v>
      </c>
      <c r="C68" s="265"/>
      <c r="D68" s="265"/>
      <c r="E68" s="265"/>
      <c r="F68" s="286" t="s">
        <v>264</v>
      </c>
    </row>
    <row r="69" spans="1:6">
      <c r="A69" s="230"/>
      <c r="B69" s="203" t="s">
        <v>265</v>
      </c>
      <c r="C69" s="231">
        <f>'Profit&amp;Loss'!C5</f>
        <v>37500</v>
      </c>
      <c r="D69" s="231">
        <f>'Profit&amp;Loss'!D5</f>
        <v>46000</v>
      </c>
      <c r="E69" s="231">
        <f>'Profit&amp;Loss'!E5</f>
        <v>56000</v>
      </c>
      <c r="F69" s="258"/>
    </row>
    <row r="70" spans="1:6">
      <c r="A70" s="230"/>
      <c r="B70" s="218" t="s">
        <v>266</v>
      </c>
      <c r="C70" s="231"/>
      <c r="D70" s="231">
        <f>AVERAGE('Profit&amp;Loss'!C23:D23)</f>
        <v>1150</v>
      </c>
      <c r="E70" s="231">
        <f>AVERAGE('Profit&amp;Loss'!D23:E23)</f>
        <v>1125</v>
      </c>
      <c r="F70" s="258"/>
    </row>
    <row r="71" spans="1:6">
      <c r="A71" s="230"/>
      <c r="B71" s="232" t="s">
        <v>267</v>
      </c>
      <c r="C71" s="233">
        <f>IFERROR(C69/C70,0)</f>
        <v>0</v>
      </c>
      <c r="D71" s="233">
        <f>IFERROR(D69/D70,0)</f>
        <v>40</v>
      </c>
      <c r="E71" s="233">
        <f>IFERROR(E69/E70,0)</f>
        <v>49.7777777777778</v>
      </c>
      <c r="F71" s="259"/>
    </row>
    <row r="72" spans="1:6">
      <c r="A72" s="230"/>
      <c r="B72" s="218"/>
      <c r="C72" s="220"/>
      <c r="D72" s="220"/>
      <c r="E72" s="220"/>
      <c r="F72" s="258" t="s">
        <v>268</v>
      </c>
    </row>
    <row r="73" spans="1:6">
      <c r="A73" s="230"/>
      <c r="B73" s="260" t="s">
        <v>269</v>
      </c>
      <c r="C73" s="261" t="str">
        <f>IFERROR(365/C71,"")</f>
        <v/>
      </c>
      <c r="D73" s="261">
        <f>IFERROR(365/D71,"")</f>
        <v>9.125</v>
      </c>
      <c r="E73" s="261">
        <f>IFERROR(365/E71,"")</f>
        <v>7.33258928571429</v>
      </c>
      <c r="F73" s="284"/>
    </row>
    <row r="74" spans="1:6">
      <c r="A74" s="230"/>
      <c r="B74" s="262"/>
      <c r="C74" s="263"/>
      <c r="D74" s="263"/>
      <c r="E74" s="263"/>
      <c r="F74" s="285"/>
    </row>
    <row r="75" spans="1:6">
      <c r="A75" s="230"/>
      <c r="B75" s="217" t="s">
        <v>270</v>
      </c>
      <c r="C75" s="265"/>
      <c r="D75" s="265"/>
      <c r="E75" s="265"/>
      <c r="F75" s="287" t="s">
        <v>271</v>
      </c>
    </row>
    <row r="76" spans="1:6">
      <c r="A76" s="230"/>
      <c r="B76" s="191" t="s">
        <v>232</v>
      </c>
      <c r="C76" s="231">
        <f>'Profit&amp;Loss'!C4</f>
        <v>101500</v>
      </c>
      <c r="D76" s="231">
        <f>'Profit&amp;Loss'!D4</f>
        <v>122000</v>
      </c>
      <c r="E76" s="231">
        <f>'Profit&amp;Loss'!E4</f>
        <v>196700</v>
      </c>
      <c r="F76" s="259"/>
    </row>
    <row r="77" spans="1:6">
      <c r="A77" s="230"/>
      <c r="B77" s="191" t="s">
        <v>12</v>
      </c>
      <c r="C77" s="231">
        <f>'Profit&amp;Loss'!C14</f>
        <v>11700</v>
      </c>
      <c r="D77" s="231">
        <f>'Profit&amp;Loss'!D14</f>
        <v>11700</v>
      </c>
      <c r="E77" s="231">
        <f>'Profit&amp;Loss'!E14</f>
        <v>11600</v>
      </c>
      <c r="F77" s="259" t="s">
        <v>272</v>
      </c>
    </row>
    <row r="78" spans="1:6">
      <c r="A78" s="230"/>
      <c r="B78" s="260" t="s">
        <v>273</v>
      </c>
      <c r="C78" s="233">
        <f>IFERROR(C76/C77,"")</f>
        <v>8.67521367521367</v>
      </c>
      <c r="D78" s="233">
        <f>IFERROR(D76/D77,"")</f>
        <v>10.4273504273504</v>
      </c>
      <c r="E78" s="233">
        <f>IFERROR(E76/E77,"")</f>
        <v>16.9568965517241</v>
      </c>
      <c r="F78" s="288"/>
    </row>
    <row r="79" spans="1:6">
      <c r="A79" s="230"/>
      <c r="B79" s="218"/>
      <c r="C79" s="220"/>
      <c r="D79" s="220"/>
      <c r="E79" s="220"/>
      <c r="F79" s="289"/>
    </row>
    <row r="80" spans="1:6">
      <c r="A80" s="230"/>
      <c r="B80" s="217" t="s">
        <v>274</v>
      </c>
      <c r="C80" s="265"/>
      <c r="D80" s="265"/>
      <c r="E80" s="265"/>
      <c r="F80" s="287" t="s">
        <v>275</v>
      </c>
    </row>
    <row r="81" spans="1:6">
      <c r="A81" s="230"/>
      <c r="B81" s="191" t="s">
        <v>232</v>
      </c>
      <c r="C81" s="231">
        <f>'Profit&amp;Loss'!C4</f>
        <v>101500</v>
      </c>
      <c r="D81" s="231">
        <f>'Profit&amp;Loss'!D4</f>
        <v>122000</v>
      </c>
      <c r="E81" s="231">
        <f>'Profit&amp;Loss'!E4</f>
        <v>196700</v>
      </c>
      <c r="F81" s="259"/>
    </row>
    <row r="82" spans="1:6">
      <c r="A82" s="230"/>
      <c r="B82" s="218" t="s">
        <v>276</v>
      </c>
      <c r="C82" s="231">
        <f>'Profit&amp;Loss'!C18</f>
        <v>800</v>
      </c>
      <c r="D82" s="231">
        <f>'Profit&amp;Loss'!D18</f>
        <v>650</v>
      </c>
      <c r="E82" s="231">
        <f>'Profit&amp;Loss'!E18</f>
        <v>700</v>
      </c>
      <c r="F82" s="259" t="s">
        <v>277</v>
      </c>
    </row>
    <row r="83" spans="1:6">
      <c r="A83" s="266"/>
      <c r="B83" s="267" t="s">
        <v>278</v>
      </c>
      <c r="C83" s="268">
        <f>IFERROR(C81/C82,"")</f>
        <v>126.875</v>
      </c>
      <c r="D83" s="268">
        <f>IFERROR(D81/D82,"")</f>
        <v>187.692307692308</v>
      </c>
      <c r="E83" s="268">
        <f>IFERROR(E81/E82,"")</f>
        <v>281</v>
      </c>
      <c r="F83" s="290"/>
    </row>
    <row r="84" ht="13.5" spans="1:6">
      <c r="A84" s="184"/>
      <c r="B84" s="184"/>
      <c r="C84" s="184"/>
      <c r="D84" s="184"/>
      <c r="E84" s="184"/>
      <c r="F84" s="247"/>
    </row>
    <row r="85" spans="1:6">
      <c r="A85" s="269" t="s">
        <v>279</v>
      </c>
      <c r="B85" s="270" t="s">
        <v>280</v>
      </c>
      <c r="C85" s="271"/>
      <c r="D85" s="271"/>
      <c r="E85" s="271"/>
      <c r="F85" s="291" t="s">
        <v>281</v>
      </c>
    </row>
    <row r="86" spans="1:6">
      <c r="A86" s="272"/>
      <c r="B86" s="191" t="s">
        <v>25</v>
      </c>
      <c r="C86" s="273">
        <f>'Profit&amp;Loss'!C21</f>
        <v>11700</v>
      </c>
      <c r="D86" s="273">
        <f>'Profit&amp;Loss'!D21</f>
        <v>11700</v>
      </c>
      <c r="E86" s="273">
        <f>'Profit&amp;Loss'!E21</f>
        <v>11600</v>
      </c>
      <c r="F86" s="292"/>
    </row>
    <row r="87" spans="1:6">
      <c r="A87" s="272"/>
      <c r="B87" s="191" t="s">
        <v>282</v>
      </c>
      <c r="C87" s="274">
        <f>'Profit&amp;Loss'!C26</f>
        <v>10000</v>
      </c>
      <c r="D87" s="274">
        <f>'Profit&amp;Loss'!D26</f>
        <v>10000</v>
      </c>
      <c r="E87" s="274">
        <f>'Profit&amp;Loss'!E26</f>
        <v>10000</v>
      </c>
      <c r="F87" s="293" t="s">
        <v>283</v>
      </c>
    </row>
    <row r="88" spans="1:6">
      <c r="A88" s="272"/>
      <c r="B88" s="275" t="s">
        <v>284</v>
      </c>
      <c r="C88" s="276">
        <f>IFERROR(C86/C87,"")</f>
        <v>1.17</v>
      </c>
      <c r="D88" s="276">
        <f>IFERROR(D86/D87,"")</f>
        <v>1.17</v>
      </c>
      <c r="E88" s="276">
        <f>IFERROR(E86/E87,"")</f>
        <v>1.16</v>
      </c>
      <c r="F88" s="294"/>
    </row>
    <row r="89" spans="1:6">
      <c r="A89" s="272"/>
      <c r="B89" s="191"/>
      <c r="C89" s="277"/>
      <c r="D89" s="277"/>
      <c r="E89" s="277"/>
      <c r="F89" s="295"/>
    </row>
    <row r="90" spans="1:6">
      <c r="A90" s="272"/>
      <c r="B90" s="185" t="s">
        <v>285</v>
      </c>
      <c r="C90" s="278"/>
      <c r="D90" s="278"/>
      <c r="E90" s="278"/>
      <c r="F90" s="296" t="s">
        <v>286</v>
      </c>
    </row>
    <row r="91" spans="1:6">
      <c r="A91" s="272"/>
      <c r="B91" s="191" t="s">
        <v>25</v>
      </c>
      <c r="C91" s="273">
        <f>'Profit&amp;Loss'!C21</f>
        <v>11700</v>
      </c>
      <c r="D91" s="273">
        <f>'Profit&amp;Loss'!D21</f>
        <v>11700</v>
      </c>
      <c r="E91" s="273">
        <f>'Profit&amp;Loss'!E21</f>
        <v>11600</v>
      </c>
      <c r="F91" s="297"/>
    </row>
    <row r="92" spans="1:6">
      <c r="A92" s="272"/>
      <c r="B92" s="191" t="s">
        <v>12</v>
      </c>
      <c r="C92" s="274">
        <f>'Profit&amp;Loss'!C14</f>
        <v>11700</v>
      </c>
      <c r="D92" s="274">
        <f>'Profit&amp;Loss'!D14</f>
        <v>11700</v>
      </c>
      <c r="E92" s="274">
        <f>'Profit&amp;Loss'!E14</f>
        <v>11600</v>
      </c>
      <c r="F92" s="298" t="s">
        <v>287</v>
      </c>
    </row>
    <row r="93" spans="1:6">
      <c r="A93" s="279"/>
      <c r="B93" s="280" t="s">
        <v>288</v>
      </c>
      <c r="C93" s="281">
        <f>IFERROR(C91/C92,"")</f>
        <v>1</v>
      </c>
      <c r="D93" s="281">
        <f>IFERROR(D91/D92,"")</f>
        <v>1</v>
      </c>
      <c r="E93" s="281">
        <f>IFERROR(E91/E92,"")</f>
        <v>1</v>
      </c>
      <c r="F93" s="299"/>
    </row>
    <row r="94" spans="1:6">
      <c r="A94" s="184"/>
      <c r="B94" s="184"/>
      <c r="C94" s="282"/>
      <c r="D94" s="282"/>
      <c r="E94" s="282"/>
      <c r="F94" s="247"/>
    </row>
    <row r="95" spans="1:6">
      <c r="A95" s="269" t="s">
        <v>289</v>
      </c>
      <c r="B95" s="270" t="s">
        <v>147</v>
      </c>
      <c r="C95" s="271"/>
      <c r="D95" s="271"/>
      <c r="E95" s="271"/>
      <c r="F95" s="291" t="s">
        <v>281</v>
      </c>
    </row>
    <row r="96" spans="1:6">
      <c r="A96" s="272"/>
      <c r="B96" s="283" t="s">
        <v>290</v>
      </c>
      <c r="C96" s="273">
        <f>FS_inputs!AC55</f>
        <v>21830</v>
      </c>
      <c r="D96" s="273">
        <f>FS_inputs!AI55</f>
        <v>31630</v>
      </c>
      <c r="E96" s="273">
        <f>FS_inputs!AO55</f>
        <v>95030</v>
      </c>
      <c r="F96" s="292"/>
    </row>
    <row r="97" spans="1:6">
      <c r="A97" s="272"/>
      <c r="B97" s="283" t="s">
        <v>291</v>
      </c>
      <c r="C97" s="274">
        <f>PD2_inputs!AC34</f>
        <v>1036510</v>
      </c>
      <c r="D97" s="274">
        <f>PD2_inputs!AI34</f>
        <v>784521</v>
      </c>
      <c r="E97" s="274">
        <f>PD2_inputs!AO34</f>
        <v>1018191</v>
      </c>
      <c r="F97" s="293" t="s">
        <v>283</v>
      </c>
    </row>
    <row r="98" spans="1:6">
      <c r="A98" s="279"/>
      <c r="B98" s="280" t="s">
        <v>292</v>
      </c>
      <c r="C98" s="281">
        <f>C96/C97</f>
        <v>0.0210610606747644</v>
      </c>
      <c r="D98" s="281">
        <f>D96/D97</f>
        <v>0.0403175950675635</v>
      </c>
      <c r="E98" s="281">
        <f>E96/E97</f>
        <v>0.0933321940578929</v>
      </c>
      <c r="F98" s="299"/>
    </row>
  </sheetData>
  <mergeCells count="32">
    <mergeCell ref="A2:A37"/>
    <mergeCell ref="A39:A59"/>
    <mergeCell ref="A61:A83"/>
    <mergeCell ref="A85:A93"/>
    <mergeCell ref="A95:A98"/>
    <mergeCell ref="F2:F3"/>
    <mergeCell ref="F5:F6"/>
    <mergeCell ref="F7:F8"/>
    <mergeCell ref="F10:F11"/>
    <mergeCell ref="F12:F13"/>
    <mergeCell ref="F15:F16"/>
    <mergeCell ref="F17:F18"/>
    <mergeCell ref="F20:F21"/>
    <mergeCell ref="F22:F23"/>
    <mergeCell ref="F25:F26"/>
    <mergeCell ref="F27:F28"/>
    <mergeCell ref="F30:F31"/>
    <mergeCell ref="F32:F33"/>
    <mergeCell ref="F36:F37"/>
    <mergeCell ref="F39:F40"/>
    <mergeCell ref="F42:F43"/>
    <mergeCell ref="F45:F46"/>
    <mergeCell ref="F49:F50"/>
    <mergeCell ref="F51:F53"/>
    <mergeCell ref="F56:F58"/>
    <mergeCell ref="F61:F63"/>
    <mergeCell ref="F65:F66"/>
    <mergeCell ref="F68:F70"/>
    <mergeCell ref="F72:F73"/>
    <mergeCell ref="F85:F86"/>
    <mergeCell ref="F92:F93"/>
    <mergeCell ref="F95:F96"/>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43"/>
  <sheetViews>
    <sheetView showGridLines="0" topLeftCell="A7" workbookViewId="0">
      <selection activeCell="H16" sqref="H16"/>
    </sheetView>
  </sheetViews>
  <sheetFormatPr defaultColWidth="9" defaultRowHeight="12.75" outlineLevelCol="5"/>
  <cols>
    <col min="1" max="1" width="2.14285714285714" customWidth="1"/>
    <col min="3" max="3" width="19.7142857142857" customWidth="1"/>
    <col min="4" max="6" width="17.1428571428571" customWidth="1"/>
  </cols>
  <sheetData>
    <row r="2" ht="18" spans="2:6">
      <c r="B2" s="114" t="s">
        <v>293</v>
      </c>
      <c r="C2" s="114"/>
      <c r="D2" s="114"/>
      <c r="E2" s="114"/>
      <c r="F2" s="114"/>
    </row>
    <row r="3" spans="2:6">
      <c r="B3" s="115"/>
      <c r="C3" s="116"/>
      <c r="D3" s="116"/>
      <c r="E3" s="116"/>
      <c r="F3" s="116"/>
    </row>
    <row r="4" ht="14.25" spans="2:6">
      <c r="B4" s="117"/>
      <c r="C4" s="118"/>
      <c r="D4" s="119" t="str">
        <f>[2]Ratios!$D$6</f>
        <v>Year 1</v>
      </c>
      <c r="E4" s="119" t="str">
        <f>[2]Ratios!$F$6</f>
        <v>Year 2</v>
      </c>
      <c r="F4" s="160" t="str">
        <f>[2]Ratios!$H$6</f>
        <v>Year 3 
(most recent)</v>
      </c>
    </row>
    <row r="5" ht="15" spans="2:6">
      <c r="B5" s="117"/>
      <c r="C5" s="118"/>
      <c r="D5" s="120"/>
      <c r="E5" s="120"/>
      <c r="F5" s="161"/>
    </row>
    <row r="6" ht="14.25" spans="2:6">
      <c r="B6" s="121"/>
      <c r="C6" s="121"/>
      <c r="D6" s="121"/>
      <c r="E6" s="121"/>
      <c r="F6" s="121"/>
    </row>
    <row r="7" ht="15.75" spans="2:6">
      <c r="B7" s="122" t="str">
        <f>PD3_inputs!C9</f>
        <v>Value added</v>
      </c>
      <c r="C7" s="123"/>
      <c r="D7" s="124">
        <f>PD3_inputs!AK9</f>
        <v>21830</v>
      </c>
      <c r="E7" s="162">
        <f>PD3_inputs!AP9</f>
        <v>31630</v>
      </c>
      <c r="F7" s="163">
        <f>PD3_inputs!AU9</f>
        <v>95030</v>
      </c>
    </row>
    <row r="8" ht="15" spans="2:6">
      <c r="B8" s="125" t="str">
        <f>PD3_inputs!C10</f>
        <v>Number of employees</v>
      </c>
      <c r="C8" s="126"/>
      <c r="D8" s="127">
        <f>PD3_inputs!AK10</f>
        <v>30</v>
      </c>
      <c r="E8" s="164">
        <f>PD3_inputs!AP10</f>
        <v>30</v>
      </c>
      <c r="F8" s="165">
        <f>PD3_inputs!AU10</f>
        <v>30</v>
      </c>
    </row>
    <row r="9" ht="15" spans="2:6">
      <c r="B9" s="128" t="str">
        <f>PD3_inputs!C11</f>
        <v>Sales</v>
      </c>
      <c r="C9" s="129"/>
      <c r="D9" s="130">
        <f>PD3_inputs!AK11</f>
        <v>100000</v>
      </c>
      <c r="E9" s="166">
        <f>PD3_inputs!AP11</f>
        <v>125000</v>
      </c>
      <c r="F9" s="167">
        <f>PD3_inputs!AU11</f>
        <v>200000</v>
      </c>
    </row>
    <row r="10" customHeight="1" spans="2:6">
      <c r="B10" s="131" t="str">
        <f>PD3_inputs!C12</f>
        <v>Operating Profit (before interest &amp; tax)</v>
      </c>
      <c r="C10" s="132"/>
      <c r="D10" s="133">
        <f>PD3_inputs!AK12</f>
        <v>83184</v>
      </c>
      <c r="E10" s="168">
        <f>PD3_inputs!AP12</f>
        <v>308354</v>
      </c>
      <c r="F10" s="169">
        <f>PD3_inputs!AU12</f>
        <v>242318</v>
      </c>
    </row>
    <row r="11" ht="15" spans="2:6">
      <c r="B11" s="128" t="str">
        <f>PD3_inputs!C13</f>
        <v>Labour cost</v>
      </c>
      <c r="C11" s="129"/>
      <c r="D11" s="130">
        <f>PD3_inputs!AK13</f>
        <v>1036510</v>
      </c>
      <c r="E11" s="166">
        <f>PD3_inputs!AP13</f>
        <v>784521</v>
      </c>
      <c r="F11" s="167">
        <f>PD3_inputs!AU13</f>
        <v>1018191</v>
      </c>
    </row>
    <row r="12" ht="13.5" customHeight="1" spans="2:6">
      <c r="B12" s="134" t="str">
        <f>PD3_inputs!C14</f>
        <v>Fixed Assets at Net Book Value</v>
      </c>
      <c r="C12" s="135"/>
      <c r="D12" s="136">
        <f>PD3_inputs!AK14</f>
        <v>1000</v>
      </c>
      <c r="E12" s="170">
        <f>PD3_inputs!AP14</f>
        <v>1000</v>
      </c>
      <c r="F12" s="171">
        <f>PD3_inputs!AU14</f>
        <v>1000</v>
      </c>
    </row>
    <row r="13" ht="15.75" spans="2:6">
      <c r="B13" s="137"/>
      <c r="C13" s="137"/>
      <c r="D13" s="137"/>
      <c r="E13" s="137"/>
      <c r="F13" s="137"/>
    </row>
    <row r="14" ht="13.5" customHeight="1" spans="2:6">
      <c r="B14" s="138" t="str">
        <f>PD3_inputs!H21</f>
        <v>Labour Productivity</v>
      </c>
      <c r="C14" s="139"/>
      <c r="D14" s="140">
        <f>PD3_inputs!AK21</f>
        <v>727.666666666667</v>
      </c>
      <c r="E14" s="172">
        <f>PD3_inputs!AP21</f>
        <v>1054.33333333333</v>
      </c>
      <c r="F14" s="173">
        <f>PD3_inputs!AU21</f>
        <v>3167.66666666667</v>
      </c>
    </row>
    <row r="15" ht="13.5" customHeight="1" spans="2:6">
      <c r="B15" s="141"/>
      <c r="C15" s="142"/>
      <c r="D15" s="143" t="str">
        <f>PD3_inputs!N21</f>
        <v>This measures the efficiency &amp; effectiveness of employees in generating value added (VA)</v>
      </c>
      <c r="E15" s="143"/>
      <c r="F15" s="174"/>
    </row>
    <row r="16" ht="15" spans="2:6">
      <c r="B16" s="144"/>
      <c r="C16" s="145"/>
      <c r="D16" s="146"/>
      <c r="E16" s="146"/>
      <c r="F16" s="175"/>
    </row>
    <row r="17" customHeight="1" spans="2:6">
      <c r="B17" s="147" t="str">
        <f>PD3_inputs!H22</f>
        <v>Sales per Employee</v>
      </c>
      <c r="C17" s="148"/>
      <c r="D17" s="149">
        <f>PD3_inputs!AK22</f>
        <v>3333.33333333333</v>
      </c>
      <c r="E17" s="149">
        <f>PD3_inputs!AP22</f>
        <v>4166.66666666667</v>
      </c>
      <c r="F17" s="149">
        <f>PD3_inputs!AU22</f>
        <v>6666.66666666667</v>
      </c>
    </row>
    <row r="18" ht="13.5" customHeight="1" spans="2:6">
      <c r="B18" s="150"/>
      <c r="C18" s="151"/>
      <c r="D18" s="152" t="str">
        <f>PD3_inputs!N22</f>
        <v>This measures the efficiency &amp; effectiveness of organisation's marketing strategy</v>
      </c>
      <c r="E18" s="152"/>
      <c r="F18" s="176"/>
    </row>
    <row r="19" ht="15" spans="2:6">
      <c r="B19" s="153"/>
      <c r="C19" s="154"/>
      <c r="D19" s="155"/>
      <c r="E19" s="155"/>
      <c r="F19" s="177"/>
    </row>
    <row r="20" customHeight="1" spans="2:6">
      <c r="B20" s="147" t="str">
        <f>PD3_inputs!H23</f>
        <v>Value Added-to-Sales ratio</v>
      </c>
      <c r="C20" s="148"/>
      <c r="D20" s="156">
        <f>PD3_inputs!AK23</f>
        <v>0.2183</v>
      </c>
      <c r="E20" s="178">
        <f>PD3_inputs!AP23</f>
        <v>0.25304</v>
      </c>
      <c r="F20" s="179">
        <f>PD3_inputs!AU23</f>
        <v>0.47515</v>
      </c>
    </row>
    <row r="21" ht="13.5" customHeight="1" spans="2:6">
      <c r="B21" s="150"/>
      <c r="C21" s="151"/>
      <c r="D21" s="152" t="str">
        <f>PD3_inputs!N23</f>
        <v>This measures the proportion of sales created by the organisation over &amp; above purchased materials and services</v>
      </c>
      <c r="E21" s="152"/>
      <c r="F21" s="176"/>
    </row>
    <row r="22" ht="15" spans="2:6">
      <c r="B22" s="153"/>
      <c r="C22" s="154"/>
      <c r="D22" s="155"/>
      <c r="E22" s="155"/>
      <c r="F22" s="177"/>
    </row>
    <row r="23" customHeight="1" spans="2:6">
      <c r="B23" s="147" t="str">
        <f>PD3_inputs!H24</f>
        <v>Profit Margin</v>
      </c>
      <c r="C23" s="148"/>
      <c r="D23" s="156">
        <f>PD3_inputs!AK24</f>
        <v>0.83184</v>
      </c>
      <c r="E23" s="178">
        <f>PD3_inputs!AP24</f>
        <v>2.466832</v>
      </c>
      <c r="F23" s="179">
        <f>PD3_inputs!AU24</f>
        <v>1.21159</v>
      </c>
    </row>
    <row r="24" ht="13.5" customHeight="1" spans="2:6">
      <c r="B24" s="150"/>
      <c r="C24" s="151"/>
      <c r="D24" s="152" t="str">
        <f>PD3_inputs!N24</f>
        <v>This measures the proportion of sales after deducting all costs</v>
      </c>
      <c r="E24" s="152"/>
      <c r="F24" s="176"/>
    </row>
    <row r="25" ht="15" spans="2:6">
      <c r="B25" s="153"/>
      <c r="C25" s="154"/>
      <c r="D25" s="155"/>
      <c r="E25" s="155"/>
      <c r="F25" s="177"/>
    </row>
    <row r="26" customHeight="1" spans="2:6">
      <c r="B26" s="157" t="str">
        <f>PD3_inputs!H25</f>
        <v>Profit-to-Value Added ratio</v>
      </c>
      <c r="C26" s="158"/>
      <c r="D26" s="156">
        <f>PD3_inputs!AK25</f>
        <v>3.8105359596885</v>
      </c>
      <c r="E26" s="178">
        <f>PD3_inputs!AP25</f>
        <v>9.74878280113816</v>
      </c>
      <c r="F26" s="179">
        <f>PD3_inputs!AU25</f>
        <v>2.54991055456172</v>
      </c>
    </row>
    <row r="27" ht="13.5" customHeight="1" spans="2:6">
      <c r="B27" s="150"/>
      <c r="C27" s="151"/>
      <c r="D27" s="159" t="str">
        <f>PD3_inputs!N25</f>
        <v>This indicates the portion of operating profit allocated to the capital providers as a proportion of VA</v>
      </c>
      <c r="E27" s="159"/>
      <c r="F27" s="180"/>
    </row>
    <row r="28" ht="15" spans="2:6">
      <c r="B28" s="153"/>
      <c r="C28" s="154"/>
      <c r="D28" s="155"/>
      <c r="E28" s="155"/>
      <c r="F28" s="177"/>
    </row>
    <row r="29" customHeight="1" spans="2:6">
      <c r="B29" s="157" t="str">
        <f>PD3_inputs!H26</f>
        <v>Labour Cost Competitiveness</v>
      </c>
      <c r="C29" s="158"/>
      <c r="D29" s="156">
        <f>PD3_inputs!AK26</f>
        <v>0.0210610606747644</v>
      </c>
      <c r="E29" s="178">
        <f>PD3_inputs!AP26</f>
        <v>0.0403175950675635</v>
      </c>
      <c r="F29" s="179">
        <f>PD3_inputs!AU26</f>
        <v>0.0933321940578929</v>
      </c>
    </row>
    <row r="30" ht="13.5" customHeight="1" spans="2:6">
      <c r="B30" s="150"/>
      <c r="C30" s="151"/>
      <c r="D30" s="159" t="str">
        <f>PD3_inputs!N26</f>
        <v>This measures the efficiency &amp; effectiveness of the organisation in terms of its labour cost</v>
      </c>
      <c r="E30" s="159"/>
      <c r="F30" s="180"/>
    </row>
    <row r="31" ht="15" spans="2:6">
      <c r="B31" s="153"/>
      <c r="C31" s="154"/>
      <c r="D31" s="155"/>
      <c r="E31" s="155"/>
      <c r="F31" s="177"/>
    </row>
    <row r="32" customHeight="1" spans="2:6">
      <c r="B32" s="157" t="str">
        <f>PD3_inputs!H27</f>
        <v>Labour Cost per Employee</v>
      </c>
      <c r="C32" s="158"/>
      <c r="D32" s="149">
        <f>PD3_inputs!AK27</f>
        <v>34550.3333333333</v>
      </c>
      <c r="E32" s="181">
        <f>PD3_inputs!AP27</f>
        <v>26150.7</v>
      </c>
      <c r="F32" s="182">
        <f>PD3_inputs!AU27</f>
        <v>33939.7</v>
      </c>
    </row>
    <row r="33" ht="13.5" customHeight="1" spans="2:6">
      <c r="B33" s="150"/>
      <c r="C33" s="151"/>
      <c r="D33" s="159" t="str">
        <f>PD3_inputs!N27</f>
        <v>This indicates average remuneration per employee</v>
      </c>
      <c r="E33" s="159"/>
      <c r="F33" s="180"/>
    </row>
    <row r="34" ht="15" spans="2:6">
      <c r="B34" s="153"/>
      <c r="C34" s="154"/>
      <c r="D34" s="155"/>
      <c r="E34" s="155"/>
      <c r="F34" s="177"/>
    </row>
    <row r="35" customHeight="1" spans="2:6">
      <c r="B35" s="157" t="str">
        <f>PD3_inputs!H28</f>
        <v>Sales per Dollar of Capital</v>
      </c>
      <c r="C35" s="158"/>
      <c r="D35" s="156">
        <f>PD3_inputs!AK28</f>
        <v>100</v>
      </c>
      <c r="E35" s="178">
        <f>PD3_inputs!AP28</f>
        <v>125</v>
      </c>
      <c r="F35" s="179">
        <f>PD3_inputs!AU28</f>
        <v>200</v>
      </c>
    </row>
    <row r="36" ht="13.5" customHeight="1" spans="2:6">
      <c r="B36" s="150"/>
      <c r="C36" s="151"/>
      <c r="D36" s="159" t="str">
        <f>PD3_inputs!N28</f>
        <v>This measures the efficiency &amp; effectiveness of fixed assets in the generation of sales</v>
      </c>
      <c r="E36" s="159"/>
      <c r="F36" s="180"/>
    </row>
    <row r="37" ht="15" spans="2:6">
      <c r="B37" s="153"/>
      <c r="C37" s="154"/>
      <c r="D37" s="155"/>
      <c r="E37" s="155"/>
      <c r="F37" s="177"/>
    </row>
    <row r="38" customHeight="1" spans="2:6">
      <c r="B38" s="157" t="str">
        <f>PD3_inputs!H29</f>
        <v>Capital Intensity</v>
      </c>
      <c r="C38" s="158"/>
      <c r="D38" s="149">
        <f>PD3_inputs!AK29</f>
        <v>33.3333333333333</v>
      </c>
      <c r="E38" s="181">
        <f>PD3_inputs!AP29</f>
        <v>33.3333333333333</v>
      </c>
      <c r="F38" s="182">
        <f>PD3_inputs!AU29</f>
        <v>33.3333333333333</v>
      </c>
    </row>
    <row r="39" ht="13.5" customHeight="1" spans="2:6">
      <c r="B39" s="150"/>
      <c r="C39" s="151"/>
      <c r="D39" s="159" t="str">
        <f>PD3_inputs!N29</f>
        <v>This indicates the extent to which organisation is capital intensive</v>
      </c>
      <c r="E39" s="159"/>
      <c r="F39" s="180"/>
    </row>
    <row r="40" ht="15" spans="2:6">
      <c r="B40" s="153"/>
      <c r="C40" s="154"/>
      <c r="D40" s="155"/>
      <c r="E40" s="155"/>
      <c r="F40" s="177"/>
    </row>
    <row r="41" customHeight="1" spans="2:6">
      <c r="B41" s="157" t="str">
        <f>PD3_inputs!H30</f>
        <v>Capital Productivity</v>
      </c>
      <c r="C41" s="158"/>
      <c r="D41" s="156">
        <f>PD3_inputs!AK30</f>
        <v>21.83</v>
      </c>
      <c r="E41" s="183">
        <f>PD3_inputs!AP30</f>
        <v>31.63</v>
      </c>
      <c r="F41" s="179">
        <f>PD3_inputs!AU30</f>
        <v>95.03</v>
      </c>
    </row>
    <row r="42" ht="13.5" customHeight="1" spans="2:6">
      <c r="B42" s="150"/>
      <c r="C42" s="151"/>
      <c r="D42" s="159" t="str">
        <f>PD3_inputs!N30</f>
        <v>This measures the efficiency &amp; effectiveness of fixed assets in the generation of VA</v>
      </c>
      <c r="E42" s="159"/>
      <c r="F42" s="180"/>
    </row>
    <row r="43" ht="13.5"/>
  </sheetData>
  <mergeCells count="30">
    <mergeCell ref="B2:F2"/>
    <mergeCell ref="B7:C7"/>
    <mergeCell ref="B8:C8"/>
    <mergeCell ref="B9:C9"/>
    <mergeCell ref="B10:C10"/>
    <mergeCell ref="B11:C11"/>
    <mergeCell ref="B12:C12"/>
    <mergeCell ref="B14:C14"/>
    <mergeCell ref="D15:F15"/>
    <mergeCell ref="B17:C17"/>
    <mergeCell ref="D18:F18"/>
    <mergeCell ref="B20:C20"/>
    <mergeCell ref="D21:F21"/>
    <mergeCell ref="B23:C23"/>
    <mergeCell ref="D24:F24"/>
    <mergeCell ref="B26:C26"/>
    <mergeCell ref="D27:F27"/>
    <mergeCell ref="B29:C29"/>
    <mergeCell ref="D30:F30"/>
    <mergeCell ref="B32:C32"/>
    <mergeCell ref="D33:F33"/>
    <mergeCell ref="B35:C35"/>
    <mergeCell ref="D36:F36"/>
    <mergeCell ref="B38:C38"/>
    <mergeCell ref="D39:F39"/>
    <mergeCell ref="B41:C41"/>
    <mergeCell ref="D42:F42"/>
    <mergeCell ref="D4:D5"/>
    <mergeCell ref="E4:E5"/>
    <mergeCell ref="F4:F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8"/>
  <sheetViews>
    <sheetView showGridLines="0" workbookViewId="0">
      <selection activeCell="G17" sqref="G17"/>
    </sheetView>
  </sheetViews>
  <sheetFormatPr defaultColWidth="9" defaultRowHeight="12.75" outlineLevelCol="4"/>
  <cols>
    <col min="1" max="1" width="2.57142857142857" style="1" customWidth="1"/>
    <col min="2" max="2" width="31" style="1" customWidth="1"/>
    <col min="3" max="4" width="16.5714285714286" style="82" customWidth="1"/>
    <col min="5" max="5" width="22.4285714285714" style="82" customWidth="1"/>
    <col min="6" max="16384" width="9.14285714285714" style="1"/>
  </cols>
  <sheetData>
    <row r="1" ht="13.5" customHeight="1" spans="2:5">
      <c r="B1" s="83"/>
      <c r="C1" s="84" t="str">
        <f>[1]Ratios!D6</f>
        <v>Year 1</v>
      </c>
      <c r="D1" s="84" t="str">
        <f>[1]Ratios!F6</f>
        <v>Year 2</v>
      </c>
      <c r="E1" s="84" t="str">
        <f>[1]Ratios!H6</f>
        <v>Year 3 
(most recent)</v>
      </c>
    </row>
    <row r="2" ht="6" customHeight="1" spans="2:5">
      <c r="B2" s="83"/>
      <c r="C2" s="84"/>
      <c r="D2" s="85"/>
      <c r="E2" s="85"/>
    </row>
    <row r="3" ht="13.5" customHeight="1" spans="2:5">
      <c r="B3" s="86" t="s">
        <v>294</v>
      </c>
      <c r="C3" s="87"/>
      <c r="D3" s="87"/>
      <c r="E3" s="110"/>
    </row>
    <row r="4" ht="14.25" spans="2:5">
      <c r="B4" s="88" t="s">
        <v>202</v>
      </c>
      <c r="C4" s="89">
        <f>FS_inputs!$AC$14</f>
        <v>101500</v>
      </c>
      <c r="D4" s="89">
        <f>FS_inputs!$AI$14</f>
        <v>122000</v>
      </c>
      <c r="E4" s="111">
        <f>FS_inputs!$AO$14</f>
        <v>196700</v>
      </c>
    </row>
    <row r="5" ht="14.25" spans="2:5">
      <c r="B5" s="90" t="s">
        <v>203</v>
      </c>
      <c r="C5" s="91">
        <f>FS_inputs!$AC$20</f>
        <v>37500</v>
      </c>
      <c r="D5" s="91">
        <f>FS_inputs!$AI$20</f>
        <v>46000</v>
      </c>
      <c r="E5" s="112">
        <f>FS_inputs!$AO$20</f>
        <v>56000</v>
      </c>
    </row>
    <row r="6" ht="14.25" spans="2:5">
      <c r="B6" s="92" t="s">
        <v>231</v>
      </c>
      <c r="C6" s="91">
        <f>FS_inputs!AC31+FS_inputs!AC69+FS_inputs!AC51</f>
        <v>982038.615384615</v>
      </c>
      <c r="D6" s="91">
        <f>FS_inputs!AI31+FS_inputs!AI69+FS_inputs!AI51</f>
        <v>984238.615384615</v>
      </c>
      <c r="E6" s="112">
        <f>FS_inputs!AO31+FS_inputs!AO69+FS_inputs!AO51</f>
        <v>985538.615384615</v>
      </c>
    </row>
    <row r="7" ht="14.25" spans="2:5">
      <c r="B7" s="92" t="s">
        <v>295</v>
      </c>
      <c r="C7" s="91">
        <f>FS_inputs!AC105+FS_inputs!AC88</f>
        <v>776749.378205129</v>
      </c>
      <c r="D7" s="91">
        <f>FS_inputs!AI105+FS_inputs!AI88</f>
        <v>798786.961538461</v>
      </c>
      <c r="E7" s="112">
        <f>FS_inputs!AO105+FS_inputs!AO88</f>
        <v>789633.461538461</v>
      </c>
    </row>
    <row r="8" ht="14.25" spans="2:5">
      <c r="B8" s="90" t="s">
        <v>208</v>
      </c>
      <c r="C8" s="91">
        <f>C4-C5-C6-C7</f>
        <v>-1694787.99358974</v>
      </c>
      <c r="D8" s="91">
        <f>D4-D5-D6-D7</f>
        <v>-1707025.57692308</v>
      </c>
      <c r="E8" s="112">
        <f>E4-E5-E6-E7</f>
        <v>-1634472.07692308</v>
      </c>
    </row>
    <row r="9" ht="13.5" customHeight="1" spans="2:5">
      <c r="B9" s="90" t="s">
        <v>296</v>
      </c>
      <c r="C9" s="91">
        <f>FS_inputs!AC75</f>
        <v>179869</v>
      </c>
      <c r="D9" s="91">
        <f>FS_inputs!AI75</f>
        <v>179869</v>
      </c>
      <c r="E9" s="112">
        <f>FS_inputs!AO75</f>
        <v>179869</v>
      </c>
    </row>
    <row r="10" ht="14.25" spans="2:5">
      <c r="B10" s="90" t="s">
        <v>297</v>
      </c>
      <c r="C10" s="91">
        <f>FS_inputs!AC95</f>
        <v>6275</v>
      </c>
      <c r="D10" s="91">
        <f>FS_inputs!AI95</f>
        <v>6275</v>
      </c>
      <c r="E10" s="112">
        <f>FS_inputs!AO95</f>
        <v>6275</v>
      </c>
    </row>
    <row r="11" ht="15" spans="2:5">
      <c r="B11" s="93" t="s">
        <v>213</v>
      </c>
      <c r="C11" s="94">
        <f>C8-C9-C10</f>
        <v>-1880931.99358974</v>
      </c>
      <c r="D11" s="94">
        <f>D8-D9-D10</f>
        <v>-1893169.57692308</v>
      </c>
      <c r="E11" s="113">
        <f>E8-E9-E10</f>
        <v>-1820616.07692308</v>
      </c>
    </row>
    <row r="12" ht="15" spans="2:5">
      <c r="B12" s="95"/>
      <c r="C12" s="85"/>
      <c r="D12" s="85"/>
      <c r="E12" s="85"/>
    </row>
    <row r="13" ht="15" spans="2:5">
      <c r="B13" s="96" t="s">
        <v>10</v>
      </c>
      <c r="C13" s="97"/>
      <c r="D13" s="97"/>
      <c r="E13" s="97"/>
    </row>
    <row r="14" ht="14.25" spans="2:5">
      <c r="B14" s="98" t="s">
        <v>12</v>
      </c>
      <c r="C14" s="99">
        <f>C15+C20</f>
        <v>11700</v>
      </c>
      <c r="D14" s="99">
        <f>D15+D20</f>
        <v>11700</v>
      </c>
      <c r="E14" s="99">
        <f>E15+E20</f>
        <v>11600</v>
      </c>
    </row>
    <row r="15" ht="14.25" spans="2:5">
      <c r="B15" s="100" t="s">
        <v>14</v>
      </c>
      <c r="C15" s="101">
        <f>SUM(C16:C19)</f>
        <v>10700</v>
      </c>
      <c r="D15" s="101">
        <f>SUM(D16:D19)</f>
        <v>10700</v>
      </c>
      <c r="E15" s="101">
        <f>SUM(E16:E19)</f>
        <v>10600</v>
      </c>
    </row>
    <row r="16" ht="14.25" spans="2:5">
      <c r="B16" s="102" t="s">
        <v>16</v>
      </c>
      <c r="C16" s="103">
        <f>FS_inputs!BI13</f>
        <v>8700</v>
      </c>
      <c r="D16" s="103">
        <f>FS_inputs!BO13</f>
        <v>8550</v>
      </c>
      <c r="E16" s="103">
        <f>FS_inputs!BU13</f>
        <v>8900</v>
      </c>
    </row>
    <row r="17" ht="14.25" spans="2:5">
      <c r="B17" s="102" t="s">
        <v>18</v>
      </c>
      <c r="C17" s="103">
        <f>FS_inputs!BI14</f>
        <v>1200</v>
      </c>
      <c r="D17" s="103">
        <f>FS_inputs!BO14</f>
        <v>1500</v>
      </c>
      <c r="E17" s="103">
        <f>FS_inputs!BU14</f>
        <v>1000</v>
      </c>
    </row>
    <row r="18" ht="14.25" spans="2:5">
      <c r="B18" s="102" t="s">
        <v>19</v>
      </c>
      <c r="C18" s="103">
        <f>FS_inputs!BI15</f>
        <v>800</v>
      </c>
      <c r="D18" s="103">
        <f>FS_inputs!BO15</f>
        <v>650</v>
      </c>
      <c r="E18" s="103">
        <f>FS_inputs!BU15</f>
        <v>700</v>
      </c>
    </row>
    <row r="19" ht="14.25" spans="2:5">
      <c r="B19" s="102" t="s">
        <v>21</v>
      </c>
      <c r="C19" s="103">
        <f>FS_inputs!BI16</f>
        <v>0</v>
      </c>
      <c r="D19" s="103">
        <f>FS_inputs!BO16</f>
        <v>0</v>
      </c>
      <c r="E19" s="103">
        <f>FS_inputs!BU16</f>
        <v>0</v>
      </c>
    </row>
    <row r="20" ht="14.25" spans="2:5">
      <c r="B20" s="100" t="s">
        <v>23</v>
      </c>
      <c r="C20" s="101">
        <f>FS_inputs!BI17</f>
        <v>1000</v>
      </c>
      <c r="D20" s="101">
        <f>FS_inputs!BO17</f>
        <v>1000</v>
      </c>
      <c r="E20" s="101">
        <f>FS_inputs!BU17</f>
        <v>1000</v>
      </c>
    </row>
    <row r="21" ht="14.25" spans="2:5">
      <c r="B21" s="104" t="s">
        <v>25</v>
      </c>
      <c r="C21" s="105">
        <f>C22+C25</f>
        <v>11700</v>
      </c>
      <c r="D21" s="105">
        <f>D22+D25</f>
        <v>11700</v>
      </c>
      <c r="E21" s="105">
        <f>E22+E25</f>
        <v>11600</v>
      </c>
    </row>
    <row r="22" ht="14.25" spans="2:5">
      <c r="B22" s="100" t="s">
        <v>27</v>
      </c>
      <c r="C22" s="101">
        <f>SUM(C23:C24)</f>
        <v>1700</v>
      </c>
      <c r="D22" s="101">
        <f>SUM(D23:D24)</f>
        <v>1700</v>
      </c>
      <c r="E22" s="101">
        <f>SUM(E23:E24)</f>
        <v>1600</v>
      </c>
    </row>
    <row r="23" ht="14.25" spans="2:5">
      <c r="B23" s="102" t="s">
        <v>29</v>
      </c>
      <c r="C23" s="103">
        <f>FS_inputs!BI20</f>
        <v>1200</v>
      </c>
      <c r="D23" s="103">
        <f>FS_inputs!BO20</f>
        <v>1100</v>
      </c>
      <c r="E23" s="103">
        <f>FS_inputs!BU20</f>
        <v>1150</v>
      </c>
    </row>
    <row r="24" ht="14.25" spans="2:5">
      <c r="B24" s="102" t="s">
        <v>30</v>
      </c>
      <c r="C24" s="103">
        <f>FS_inputs!BI21</f>
        <v>500</v>
      </c>
      <c r="D24" s="103">
        <f>FS_inputs!BO21</f>
        <v>600</v>
      </c>
      <c r="E24" s="103">
        <f>FS_inputs!BU21</f>
        <v>450</v>
      </c>
    </row>
    <row r="25" ht="14.25" spans="2:5">
      <c r="B25" s="100" t="s">
        <v>32</v>
      </c>
      <c r="C25" s="101">
        <f>SUM(C26:C28)</f>
        <v>10000</v>
      </c>
      <c r="D25" s="101">
        <f>SUM(D26:D28)</f>
        <v>10000</v>
      </c>
      <c r="E25" s="101">
        <f>SUM(E26:E28)</f>
        <v>10000</v>
      </c>
    </row>
    <row r="26" ht="14.25" spans="2:5">
      <c r="B26" s="106" t="s">
        <v>34</v>
      </c>
      <c r="C26" s="107">
        <f>FS_inputs!BI23</f>
        <v>10000</v>
      </c>
      <c r="D26" s="107">
        <f>FS_inputs!BO23</f>
        <v>10000</v>
      </c>
      <c r="E26" s="107">
        <f>FS_inputs!BU23</f>
        <v>10000</v>
      </c>
    </row>
    <row r="27" ht="14.25" spans="2:5">
      <c r="B27" s="106" t="s">
        <v>36</v>
      </c>
      <c r="C27" s="107">
        <f>FS_inputs!BI24</f>
        <v>0</v>
      </c>
      <c r="D27" s="107">
        <f>FS_inputs!BO24</f>
        <v>0</v>
      </c>
      <c r="E27" s="107">
        <f>FS_inputs!BU24</f>
        <v>0</v>
      </c>
    </row>
    <row r="28" ht="15" spans="2:5">
      <c r="B28" s="108" t="s">
        <v>38</v>
      </c>
      <c r="C28" s="109">
        <f>FS_inputs!BI25</f>
        <v>0</v>
      </c>
      <c r="D28" s="109">
        <f>FS_inputs!BO25</f>
        <v>0</v>
      </c>
      <c r="E28" s="109">
        <f>FS_inputs!BU25</f>
        <v>0</v>
      </c>
    </row>
  </sheetData>
  <mergeCells count="2">
    <mergeCell ref="B3:E3"/>
    <mergeCell ref="B13:E1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73"/>
  <sheetViews>
    <sheetView showGridLines="0" workbookViewId="0">
      <selection activeCell="BD34" sqref="BD34"/>
    </sheetView>
  </sheetViews>
  <sheetFormatPr defaultColWidth="9" defaultRowHeight="12.75"/>
  <cols>
    <col min="1" max="7" width="2.71428571428571" style="1" customWidth="1"/>
    <col min="8" max="8" width="3.71428571428571" style="1" customWidth="1"/>
    <col min="9" max="9" width="8" style="1" customWidth="1"/>
    <col min="10" max="25" width="3.71428571428571" style="1" customWidth="1"/>
    <col min="26" max="34" width="2.71428571428571" style="1" customWidth="1"/>
    <col min="35" max="47" width="3.71428571428571" style="1" customWidth="1"/>
    <col min="48" max="49" width="2.28571428571429" style="1" customWidth="1"/>
    <col min="50" max="52" width="2.42857142857143" style="1" customWidth="1"/>
    <col min="53" max="53" width="1.85714285714286" style="1" customWidth="1"/>
    <col min="54" max="54" width="18.1428571428571" style="2" customWidth="1"/>
    <col min="55" max="55" width="9.14285714285714" style="1"/>
    <col min="56" max="56" width="11.4285714285714" style="1" customWidth="1"/>
    <col min="57" max="16384" width="9.14285714285714" style="1"/>
  </cols>
  <sheetData>
    <row r="1" ht="18" customHeight="1" spans="1:62">
      <c r="A1" s="3"/>
      <c r="B1" s="4"/>
      <c r="C1" s="4"/>
      <c r="D1" s="4"/>
      <c r="E1" s="4"/>
      <c r="F1" s="4"/>
      <c r="G1" s="4"/>
      <c r="H1" s="4"/>
      <c r="I1" s="4"/>
      <c r="J1" s="4"/>
      <c r="K1" s="4"/>
      <c r="L1" s="4"/>
      <c r="M1" s="4"/>
      <c r="N1" s="4"/>
      <c r="O1" s="33"/>
      <c r="P1" s="33"/>
      <c r="Q1" s="34" t="s">
        <v>298</v>
      </c>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73"/>
      <c r="AV1" s="74"/>
      <c r="AW1" s="74"/>
      <c r="AX1" s="74"/>
      <c r="AY1" s="74"/>
      <c r="AZ1" s="33"/>
      <c r="BD1" s="78"/>
      <c r="BI1" s="80" t="s">
        <v>299</v>
      </c>
      <c r="BJ1" s="80"/>
    </row>
    <row r="2" spans="60:63">
      <c r="BH2" s="79" t="s">
        <v>300</v>
      </c>
      <c r="BI2" s="79"/>
      <c r="BJ2" s="79"/>
      <c r="BK2" s="79"/>
    </row>
    <row r="3" spans="55:63">
      <c r="BC3" s="2" t="s">
        <v>301</v>
      </c>
      <c r="BD3" s="2" t="s">
        <v>302</v>
      </c>
      <c r="BE3" s="2" t="s">
        <v>303</v>
      </c>
      <c r="BF3" s="2" t="s">
        <v>304</v>
      </c>
      <c r="BI3" s="2" t="str">
        <f>BC3</f>
        <v>OVERALL</v>
      </c>
      <c r="BJ3" s="2" t="str">
        <f>BD3</f>
        <v>Y3-y2</v>
      </c>
      <c r="BK3" s="2" t="str">
        <f>BE3</f>
        <v>y2-y1</v>
      </c>
    </row>
    <row r="4" spans="54:63">
      <c r="BB4" s="2" t="str">
        <f>H18</f>
        <v>Gross Margin</v>
      </c>
      <c r="BC4" s="1" t="str">
        <f>IF(H19="","",IF((H21-H19)/H19&gt;0,IF((H21-H19)/H19&gt;$BI$4,"Overall gross margin trend reflected significant improvements.","Overall gross margin trend reflected improvements."),IF((H21-H19)/H19&lt;-$BI$4,"Overall gross profit trend has seen significant decline over the years.","Overall gross profit trend has seen a decline over the years.")))</f>
        <v>Overall gross margin trend reflected improvements.</v>
      </c>
      <c r="BD4" s="1" t="str">
        <f>IF(AND(H19="",(H21-H20)&gt;0),IF((H21-H20)&gt;$BJ$4,"Overall trend in gross profit margin reflected significant improvements by "&amp;ABS(ROUND((H21-H20)*100,2))&amp;"% .","Overall trend in gross profit margin reflected some improvements by "&amp;ABS(ROUND((H21-H20)*100,2))&amp;"% ."),IF(AND(H19="",(H21-H20)&lt;0),IF((H21-H20)&lt;-$BJ$4,"Overall gross profit has seen a significant decline by "&amp;ABS(ROUND((H21-H20)*100,2))&amp;"% over the years.","Overall gross profit has seen a decline by "&amp;ABS(ROUND((H21-H20)*100,2))&amp;"% over the years."),IF(H21&gt;H20,"An increase of "&amp;ABS(ROUND((H21-H20)*100,2))&amp;"% was recorded from the recent year to the previous year.","A decrease by "&amp;ABS(ROUND((H21-H20)*100,2))&amp;"% was recorded from the recent year to the previous year.")))</f>
        <v>An increase of 9.24% was recorded from the recent year to the previous year.</v>
      </c>
      <c r="BE4" s="1" t="str">
        <f>IF(H20&gt;H19,IF((H20-H19)&gt;$BK$4,"Records have also indicated that gross profits saw a significant year on year increase by "&amp;ABS(ROUND((H20-H19)*100,2))&amp;"% from "&amp;$D$19&amp;" to "&amp;$D$20&amp;".","Records have also indicated that gross profits experienced a year on year increase by "&amp;ABS(ROUND((H20-H19)*100,2))&amp;"% from "&amp;$D$19&amp;" to "&amp;$D$20&amp;"."),IF(H20&lt;H19,IF((H20-H19)&lt;-$BK$4,"Records have also indicated that gross profits experienced a significant year on year decrease by "&amp;ABS(ROUND((H20-H19)*100,2))&amp;"% from "&amp;$D$19&amp;" to "&amp;$D$20&amp;".","Records have also indicated that gross profits experienced a year on year decrease by "&amp;ABS(ROUND((H20-H19)*100,2))&amp;"% from "&amp;$D$19&amp;" to "&amp;$D$20&amp;".")))</f>
        <v>Records have also indicated that gross profits experienced a year on year decrease by 0.76% from Year 1 to Year 2.</v>
      </c>
      <c r="BF4" s="1" t="str">
        <f t="shared" ref="BF4:BF9" si="0">IF($AI$43="",BD4,IF(BC4="","",BC4)&amp;IF(BD4="","","  ||  "&amp;BD4)&amp;IF(BE4="","","  ||  "&amp;BE4))</f>
        <v>Overall gross margin trend reflected improvements.  ||  An increase of 9.24% was recorded from the recent year to the previous year.  ||  Records have also indicated that gross profits experienced a year on year decrease by 0.76% from Year 1 to Year 2.</v>
      </c>
      <c r="BG4" s="1" t="s">
        <v>305</v>
      </c>
      <c r="BH4" s="1" t="str">
        <f t="shared" ref="BH4:BH9" si="1">BB4</f>
        <v>Gross Margin</v>
      </c>
      <c r="BI4" s="81">
        <v>0.3</v>
      </c>
      <c r="BJ4" s="1">
        <v>0.08</v>
      </c>
      <c r="BK4" s="1">
        <v>0.08</v>
      </c>
    </row>
    <row r="5" spans="54:63">
      <c r="BB5" s="2" t="str">
        <f>K18</f>
        <v>Operating Margin</v>
      </c>
      <c r="BC5" s="1" t="str">
        <f>IF(K19="","",IF((K21-K19)/K19&gt;0,IF((K21-K19)/K19&gt;$BI$5,"Overall operating margin reflected a significant increasing trend.","Overall operating margin reflected an increasing trend."),IF((K21-K19)/K19&lt;-$BI$5,"Overall operating profit has seen a significant decline over the years.","Overall operating profit has seen a decline over the years.")))</f>
        <v>Overall operating margin reflected a significant increasing trend.</v>
      </c>
      <c r="BD5" s="1" t="str">
        <f>IF(AND(K19="",(K21-K20)&gt;0),IF((K21-K20)&gt;$BJ$5,"Overall operating profit margin reflected a significant increasing trend by "&amp;ABS(ROUND((K21-K20)*100,2))&amp;"% .","Overall operating profit margin reflected an increasing trend by "&amp;ABS(ROUND((K21-K20)*100,2))&amp;"% ."),IF(AND(K19="",(K21-K20)&lt;0),IF((K21-K20)&lt;-$BJ$5,"Overall operating profit has seen a significant decline by "&amp;ABS(ROUND((K21-K20)*100,2))&amp;"% over the years.","Overall operating profit has seen a decline by "&amp;ABS(ROUND((K21-K20)*100,2))&amp;"% over the years."),IF(K21&gt;K20,"Recent year saw an increase of "&amp;ABS(ROUND((K21-K20)*100,2))&amp;"% from the previous year.","Recent year saw a decrease of "&amp;ABS(ROUND((K21-K20)*100,2))&amp;"% from the previous year.")))</f>
        <v>Recent year saw a decrease of 4.89% from the previous year.</v>
      </c>
      <c r="BE5" s="1" t="str">
        <f>IF(K20&gt;K19,IF((K20-K19)&gt;$BK$5,"Records have also indicated that operating profits saw a significant year on year increase by "&amp;ABS(ROUND((K20-K19)*100,2))&amp;"% from "&amp;$D$19&amp;" to "&amp;$D$20&amp;".","Records have also indicated that operating profits experienced a year on year increase by "&amp;ABS(ROUND((K20-K19)*100,2))&amp;"% from "&amp;$D$19&amp;" to "&amp;$D$20&amp;"."),IF(K20&lt;K19,IF((K20-K19)&lt;-$BK$5,"Records have also indicated that operating profits experienced a significant year on year decrease by "&amp;ABS(ROUND((K20-K19)*100,2))&amp;"% from "&amp;$D$19&amp;" to "&amp;$D$20&amp;".","Records have also indicated that operating profits experienced a year on year decrease by "&amp;ABS(ROUND((K20-K19)*100,2))&amp;"% from "&amp;$D$19&amp;" to "&amp;$D$20&amp;".")))</f>
        <v>Records have also indicated that operating profits experienced a year on year decrease by 1.16% from Year 1 to Year 2.</v>
      </c>
      <c r="BF5" s="1" t="str">
        <f t="shared" si="0"/>
        <v>Overall operating margin reflected a significant increasing trend.  ||  Recent year saw a decrease of 4.89% from the previous year.  ||  Records have also indicated that operating profits experienced a year on year decrease by 1.16% from Year 1 to Year 2.</v>
      </c>
      <c r="BG5" s="1" t="s">
        <v>305</v>
      </c>
      <c r="BH5" s="1" t="str">
        <f t="shared" si="1"/>
        <v>Operating Margin</v>
      </c>
      <c r="BI5" s="81">
        <v>0.3</v>
      </c>
      <c r="BJ5" s="1">
        <v>0.05</v>
      </c>
      <c r="BK5" s="1">
        <v>0.05</v>
      </c>
    </row>
    <row r="6" spans="54:63">
      <c r="BB6" s="2" t="str">
        <f>N18</f>
        <v>Net Margin after Tax</v>
      </c>
      <c r="BC6" s="1" t="str">
        <f>IF(N19="","",IF((N21-N19)/N19&gt;0,IF((N21-N19)/N19&gt;$BI$6,"Overall net margin reflected a significant increasing trend.","Overall net margin reflected an increasing trend."),IF((N21-N19)/N19&lt;-$BI$6,"Overall net profit has seen a significant decline over the years.","Overall net profit has seen a decline over the years.")))</f>
        <v>Overall net profit has seen a significant decline over the years.</v>
      </c>
      <c r="BD6" s="1" t="str">
        <f>IF(AND(N19="",(N21-N20)&gt;0),IF((N21-N20)&gt;$BJ$6," Overall net gross profit margin improved, reflecting a significant increasing trend by "&amp;ABS(ROUND((N21-N20)*100,2))&amp;"%.","Overall net gross profit margin, improved, reflecting an increasing trend by "&amp;ABS(ROUND((N21-N20)*100,2))&amp;"%."),IF(AND(N19="",(N21-N20)&lt;0),IF((N21-N20)&lt;-$BJ$6,"Overall net profit took a dip, a significant decline by "&amp;ABS(ROUND((N21-N20)*100,2))&amp;"% over the years.","Overall net profit took a dip, declining by "&amp;ABS(ROUND((N21-N20)*100,2))&amp;"% over the years."),IF(N21&gt;N20,"Recent year experienced an increase by "&amp;ABS(ROUND((N21-N20)*100,2))&amp;"% compared to the previous year."," Recent year experienced a decrease of "&amp;ABS(ROUND((N21-N20)*100,2))&amp;"% when compared to the previous year.")))</f>
        <v>Recent year experienced an increase by 626.2% compared to the previous year.</v>
      </c>
      <c r="BE6" s="1" t="str">
        <f>IF(N20&gt;N19,IF((N20-N19)&gt;$BK$6,"Records have also indicated that net profits saw a significant year on year increase by "&amp;ABS(ROUND((N20-N19)*100,2))&amp;"% from "&amp;$D$19&amp;" to "&amp;$D$20&amp;".","Records have also indicated that net profits experienced a year on year increase by "&amp;ABS(ROUND((N20-N19)*100,2))&amp;"% from "&amp;$D$19&amp;" to "&amp;$D$20&amp;"."),IF(N20&lt;N19,IF((N20-N19)&lt;-$BK$6,"Records have also indicated that net profits experienced a significant year on year decrease by "&amp;ABS(ROUND((N20-N19)*100,2))&amp;"% from "&amp;$D$19&amp;" to "&amp;$D$20&amp;".","Records have also indicated that net profits experienced a year on year decrease by "&amp;ABS(ROUND((N20-N19)*100,2))&amp;"% from "&amp;$D$19&amp;" to "&amp;$D$20&amp;".")))</f>
        <v>Records have also indicated that net profits saw a significant year on year increase by 301.36% from Year 1 to Year 2.</v>
      </c>
      <c r="BF6" s="1" t="str">
        <f t="shared" si="0"/>
        <v>Overall net profit has seen a significant decline over the years.  ||  Recent year experienced an increase by 626.2% compared to the previous year.  ||  Records have also indicated that net profits saw a significant year on year increase by 301.36% from Year 1 to Year 2.</v>
      </c>
      <c r="BG6" s="1" t="s">
        <v>305</v>
      </c>
      <c r="BH6" s="1" t="str">
        <f t="shared" si="1"/>
        <v>Net Margin after Tax</v>
      </c>
      <c r="BI6" s="81">
        <v>0.3</v>
      </c>
      <c r="BJ6" s="1">
        <v>0.03</v>
      </c>
      <c r="BK6" s="1">
        <v>0.03</v>
      </c>
    </row>
    <row r="7" spans="54:63">
      <c r="BB7" s="2" t="str">
        <f>Q18</f>
        <v>ROA</v>
      </c>
      <c r="BC7" s="1" t="str">
        <f>IF(Q19="","",IF((Q21-Q19)/Q19&gt;0,IF((Q21-Q19)/Q19&gt;$BI$7,"Overall return on asset (ROA) reflected a significant increasing trend.","Overall return on asset (ROA) reflected an increasing trend."),IF((Q21-Q19)/Q19&lt;-$BI$7,"Overall return on asset (ROA) has seen a significant decline over the years.","Overall return on asset (ROA) has seen a decline over the years.")))</f>
        <v>Overall return on asset (ROA) has seen a decline over the years.</v>
      </c>
      <c r="BD7" s="1" t="str">
        <f>IF(AND(Q19="",(Q21-Q20)&gt;0),IF((Q21-Q20)&gt;$BJ$7,"Overall return on assets reflected a significant increasing trend by "&amp;ABS(ROUND((Q21-Q20)*100,2))&amp;"%.","Overall return on assets reflected an increasing trend by "&amp;ABS(ROUND((Q21-Q20)*100,2))&amp;"%."),IF(AND(Q19="",(Q21-Q20)&lt;0),IF((Q21-Q20)&lt;-$BJ$7,"Overall return on assets has seen a significant decline by "&amp;ABS(ROUND((Q21-Q20)*100,2))&amp;"% over the years.","Overall return on assets has seen a decline by "&amp;ABS(ROUND((Q21-Q20)*100,2))&amp;"% over the years."),IF(Q21&gt;Q20,"A "&amp;ABS(ROUND((Q21-Q20)*100,2))&amp;"% increase was recorded from the recent year to the previous year.","A "&amp;ABS(ROUND((Q21-Q20)*100,2))&amp;"% decrease was recorded from the recent year to the previous year.")))</f>
        <v>A 485.97% increase was recorded from the recent year to the previous year.</v>
      </c>
      <c r="BE7" s="1" t="str">
        <f>IF(Q20&gt;Q19,IF((Q20-Q19)&gt;$BK$7,"Records have also indicated that the ROA saw a significant year on year increase by "&amp;ABS(ROUND((Q20-Q19)*100,2))&amp;"% from "&amp;$D$19&amp;" to "&amp;$D$20&amp;".","Records have also indicated that the ROA experienced a year on year increase by "&amp;ABS(ROUND((Q20-Q19)*100,2))&amp;"% from "&amp;$D$19&amp;" to "&amp;$D$20&amp;"."),IF(Q20&lt;Q19,IF((Q20-Q19)&lt;-$BK$7,"Records have also indicated that the ROA experienced a significant year on year decrease by "&amp;ABS(ROUND((Q20-Q19)*100,2))&amp;"% from "&amp;$D$19&amp;" to "&amp;$D$20&amp;".","Records have also indicated that the ROA experienced a year on year decrease by "&amp;ABS(ROUND((Q20-Q19)*100,2))&amp;"% from "&amp;$D$19&amp;" to "&amp;$D$20&amp;".")))</f>
        <v>Records have also indicated that the ROA experienced a significant year on year decrease by 104.59% from Year 1 to Year 2.</v>
      </c>
      <c r="BF7" s="1" t="str">
        <f t="shared" si="0"/>
        <v>Overall return on asset (ROA) has seen a decline over the years.  ||  A 485.97% increase was recorded from the recent year to the previous year.  ||  Records have also indicated that the ROA experienced a significant year on year decrease by 104.59% from Year 1 to Year 2.</v>
      </c>
      <c r="BG7" s="1" t="s">
        <v>305</v>
      </c>
      <c r="BH7" s="1" t="str">
        <f t="shared" si="1"/>
        <v>ROA</v>
      </c>
      <c r="BI7" s="81">
        <v>0.3</v>
      </c>
      <c r="BJ7" s="1">
        <v>0.08</v>
      </c>
      <c r="BK7" s="1">
        <v>0.08</v>
      </c>
    </row>
    <row r="8" spans="54:63">
      <c r="BB8" s="2" t="str">
        <f>T18</f>
        <v>ROE</v>
      </c>
      <c r="BC8" s="1" t="str">
        <f>IF(T19="","",IF((T21-T19)/T19&gt;0,IF((T21-T19)/T19&gt;$BI$8,"Overall return on equity (ROE) reflected a significant increasing trend","Overall return on equity (ROE) reflected an increasing trend"),IF((T21-T19)/T19&lt;-$BI$8,"Overall return on equity (ROE) has seen a significant decline over the years","Overall return on equity (ROE) has seen a decline over the years")))</f>
        <v>Overall return on equity (ROE) has seen a decline over the years</v>
      </c>
      <c r="BD8" s="1" t="str">
        <f>IF(AND(T19="",(T21-T20)&gt;0),IF((T21-T20)&gt;$BJ$8,"Overall return on equity reflected a significant increasing trend by "&amp;ABS(ROUND((T21-T20)*100,2))&amp;"%.","Overall return on equity reflected an increasing trend by "&amp;ABS(ROUND((T21-T20)*100,2))&amp;"%."),IF(AND(T19="",(T21-T20)&lt;0),IF((T21-T20)&lt;-$BJ$8,"Overall return on equity has seen a significant decline by "&amp;ABS(ROUND((T21-T20)*100,2))&amp;"% over the years.","Overall return on equity has seen a decline by "&amp;ABS(ROUND((T21-T20)*100,2))&amp;"% over the years."),IF(T21&gt;T20,"ROE increased by "&amp;ABS(ROUND((T21-T20)*100,2))&amp;"% from the recent year to the previous year.","ROE decreased by "&amp;ABS(ROUND((T21-T20)*100,2))&amp;"% from the recent year to the previous year.")))</f>
        <v>ROE increased by 725.54% from the recent year to the previous year.</v>
      </c>
      <c r="BE8" s="1" t="str">
        <f>IF(T20&gt;T19,IF((T20-T19)&gt;$BK$8,"Records have also indicated that the ROE saw a significant year on year increase by "&amp;ABS(ROUND((T20-T19)*100,2))&amp;"% from "&amp;$D$19&amp;" to "&amp;$D$20&amp;".","Records have also indicated that the ROE experienced a year on year increase by "&amp;ABS(ROUND((T20-T19)*100,2))&amp;"% from "&amp;$D$19&amp;" to "&amp;$D$20&amp;"."),IF(T20&lt;T19,IF((T20-T19)&lt;-$BK$8,"Records have also indicated that the ROE experienced a significant year on year decrease by "&amp;ABS(ROUND((T20-T19)*100,2))&amp;"% from "&amp;$D$19&amp;" to "&amp;$D$20&amp;".","Records have also indicated that the ROE experienced a year on year decrease by "&amp;ABS(ROUND((T20-T19)*100,2))&amp;"% from "&amp;$D$19&amp;" to "&amp;$D$20&amp;".")))</f>
        <v>Records have also indicated that the ROE experienced a significant year on year decrease by 122.38% from Year 1 to Year 2.</v>
      </c>
      <c r="BF8" s="1" t="str">
        <f t="shared" si="0"/>
        <v>Overall return on equity (ROE) has seen a decline over the years  ||  ROE increased by 725.54% from the recent year to the previous year.  ||  Records have also indicated that the ROE experienced a significant year on year decrease by 122.38% from Year 1 to Year 2.</v>
      </c>
      <c r="BG8" s="1" t="s">
        <v>305</v>
      </c>
      <c r="BH8" s="1" t="str">
        <f t="shared" si="1"/>
        <v>ROE</v>
      </c>
      <c r="BI8" s="81">
        <v>0.3</v>
      </c>
      <c r="BJ8" s="1">
        <v>0.08</v>
      </c>
      <c r="BK8" s="1">
        <v>0.08</v>
      </c>
    </row>
    <row r="9" spans="54:63">
      <c r="BB9" s="2" t="str">
        <f>W18</f>
        <v>Op. Ratio</v>
      </c>
      <c r="BC9" s="1" t="str">
        <f>IF(W19="","",IF((W21-W19)/W19&gt;0,IF((W21-W19)/W19&gt;$BI$9,"Overall operating ratio reflected a significant improvements over the years. ","Overall operating ratio reflected improvements over the years."),IF((W21-W19)/W19&lt;-$BI$9,"Overall operating ratio has seen a significant dip over the years.","Overall operating ratio has seen a dip over the years.")))</f>
        <v>Overall operating ratio has seen a significant dip over the years.</v>
      </c>
      <c r="BD9" s="1" t="str">
        <f>IF(AND(W19="",(W21-W20)&gt;0),IF((W21-W20)&gt;$BJ$9,"Overall operating ratio reflected a significant increasing trend by "&amp;ABS(ROUND((W21-W20)*100,2))&amp;"%.","Overall operating ratio reflected an increasing trend by "&amp;ABS(ROUND((W21-W20)*100,2))&amp;"%."),IF(AND(W19="",(W21-W20)&lt;0),IF((W21-W20)&lt;-$BJ$9,"Overall operating ratio has seen a significant decline by "&amp;ABS(ROUND((W21-W20)*100,2))&amp;"% over the years.","Overall operating ratio has seen a decline by "&amp;ABS(ROUND((W21-W20)*100,2))&amp;"% over the years."),IF(W21&gt;W20,"An increase of "&amp;ABS(ROUND((W21-W20)*100,2))&amp;"% was achieved from the recent year to the previous year.","A dip of "&amp;ABS(ROUND((W21-W20)*100,2))&amp;"% was recorded from the recent year to the previous year.")))</f>
        <v>A dip of 306% was recorded from the recent year to the previous year.</v>
      </c>
      <c r="BE9" s="1" t="str">
        <f>IF(W20&gt;W19,IF((W20-W19)&gt;$BK$9,"Records have also indicated that the operating ratio saw a significant year on year increase by "&amp;ABS(ROUND((W20-W19)*100,2))&amp;"% from "&amp;$D$19&amp;" to "&amp;$D$20&amp;".","Records have also indicated that the operating ratio experienced a year on year increase by "&amp;ABS(ROUND((W20-W19)*100,2))&amp;"% from "&amp;$D$19&amp;" to "&amp;$D$20&amp;"."),IF(W20&lt;W19,IF((W20-W19)&lt;-$BK$9,"Records have also indicated that the operating ratio experienced a significant year on year decrease by "&amp;ABS(ROUND((W20-W19)*100,2))&amp;"% from "&amp;$D$19&amp;" to "&amp;$D$20&amp;".","Records have also indicated that the operating ratio experienced a year on year decrease by "&amp;ABS(ROUND((W20-W19)*100,2))&amp;"% from "&amp;$D$19&amp;" to "&amp;$D$20&amp;".")))</f>
        <v>Records have also indicated that the operating ratio experienced a significant year on year decrease by 161% from Year 1 to Year 2.</v>
      </c>
      <c r="BF9" s="1" t="str">
        <f t="shared" si="0"/>
        <v>Overall operating ratio has seen a significant dip over the years.  ||  A dip of 306% was recorded from the recent year to the previous year.  ||  Records have also indicated that the operating ratio experienced a significant year on year decrease by 161% from Year 1 to Year 2.</v>
      </c>
      <c r="BG9" s="1" t="s">
        <v>305</v>
      </c>
      <c r="BH9" s="1" t="str">
        <f t="shared" si="1"/>
        <v>Op. Ratio</v>
      </c>
      <c r="BI9" s="81">
        <v>0.3</v>
      </c>
      <c r="BJ9" s="1">
        <v>0.08</v>
      </c>
      <c r="BK9" s="1">
        <v>0.08</v>
      </c>
    </row>
    <row r="11" spans="55:63">
      <c r="BC11" s="2" t="s">
        <v>301</v>
      </c>
      <c r="BD11" s="2" t="s">
        <v>302</v>
      </c>
      <c r="BE11" s="2" t="s">
        <v>303</v>
      </c>
      <c r="BF11" s="2" t="s">
        <v>304</v>
      </c>
      <c r="BI11" s="2" t="str">
        <f>BC11</f>
        <v>OVERALL</v>
      </c>
      <c r="BJ11" s="2" t="str">
        <f>BD11</f>
        <v>Y3-y2</v>
      </c>
      <c r="BK11" s="2" t="str">
        <f>BE11</f>
        <v>y2-y1</v>
      </c>
    </row>
    <row r="12" spans="54:63">
      <c r="BB12" s="2" t="str">
        <f>AI18</f>
        <v>Current Ratio</v>
      </c>
      <c r="BC12" s="1" t="str">
        <f>IF(AI19="","",IF((AI21-AI19)/AI19&gt;0,IF((AI21-AI19)/AI19&gt;$BI$12,"Overall current ratio recorded significant improvement over the 3 years.","Overall current ratio recorded an improvement over the 3 years."),IF((AI21-AI19)/AI19&lt;-$BI$12,"Overall current ratio has seen a significant downward trend over the years.","Overall current ratio has seen a drop over the years.")))</f>
        <v>Overall current ratio recorded an improvement over the 3 years.</v>
      </c>
      <c r="BD12" s="1" t="str">
        <f>IF(AND(AI19="",(AI21-AI20)&gt;0),IF((AI21-AI20)&gt;$BJ$12,"Overall current ratio reflected a significant increasing trend by "&amp;ABS(ROUND((AI21-AI20)/AI20*100,2))&amp;"%.","Overall current ratio reflected an increasing trend by "&amp;ABS(ROUND((AI21-AI20)/AI20*100,2))&amp;"%."),IF(AND(AI19="",(AI21-AI20)&lt;0),IF((AI21-AI20)&lt;-$BJ$12,"Overall current ratio has seen a significant decline by "&amp;ABS(ROUND((AI21-AI20)/AI20*100,2))&amp;"% over the years.","Overall current ratio has seen a decline by "&amp;ABS(ROUND((AI21-AI20)/AI20*100,2))&amp;"% over the years."),IF(AI21&gt;AI20,Customer!B2&amp;" experienced a year on year increase by "&amp;ABS(ROUND((AI21-AI20)/AI20*100,2))&amp;"% from the recent year to the previous year.",Customer!B2&amp;" experienced a year on year decrease by "&amp;ABS(ROUND((AI21-AI20)/AI20*100,2))&amp;"% from the recent year to the previous year.")))</f>
        <v>CustomerName experienced a year on year increase by 5.26% from the recent year to the previous year.</v>
      </c>
      <c r="BE12" s="1" t="b">
        <f>IF((AI20-AI19)&gt;0,IF((AI20-AI19)&gt;$BK$12,"Records have also shown that current ratio saw a significant year on year increase by "&amp;ABS(ROUND((AI20-AI19)/AI19*100,2))&amp;"% from "&amp;$D$19&amp;" to "&amp;$D$20&amp;".","Records have also shown that current ratio saw a year on year increase by "&amp;ABS(ROUND((AI20-AI19)/AI19*100,2))&amp;"% from "&amp;$D$19&amp;" to "&amp;$D$20&amp;"."),IF((AI20-AI19)&lt;0,IF((AI20-AI19)&lt;-$BK$12,"Records have also shown that current ratio saw a significant year on year decrease by "&amp;ABS(ROUND((AI20-AI19)/AI19*100,2))&amp;"% from "&amp;$D$19&amp;" to "&amp;$D$20&amp;".","Records have also shown that current ratio saw a year on year decrease by "&amp;ABS(ROUND((AI20-AI19)/AI19*100,2))&amp;"% from "&amp;$D$19&amp;" to "&amp;$D$20&amp;".")))</f>
        <v>0</v>
      </c>
      <c r="BF12" s="1" t="str">
        <f t="shared" ref="BF12:BF14" si="2">IF($AI$43="",BD12,IF(BC12="","",BC12)&amp;IF(BD12="","","  ||  "&amp;BD12)&amp;IF(BE12="","","  ||  "&amp;BE12))</f>
        <v>Overall current ratio recorded an improvement over the 3 years.  ||  CustomerName experienced a year on year increase by 5.26% from the recent year to the previous year.  ||  FALSE</v>
      </c>
      <c r="BG12" s="1" t="s">
        <v>305</v>
      </c>
      <c r="BH12" s="1" t="str">
        <f>BB12</f>
        <v>Current Ratio</v>
      </c>
      <c r="BI12" s="81">
        <v>0.3</v>
      </c>
      <c r="BJ12" s="1">
        <v>0.5</v>
      </c>
      <c r="BK12" s="1">
        <v>0.5</v>
      </c>
    </row>
    <row r="13" spans="54:63">
      <c r="BB13" s="2" t="str">
        <f>AM18</f>
        <v>Cash Ratio</v>
      </c>
      <c r="BC13" s="1" t="str">
        <f>IF(AM19="","",IF((AM21-AM19)/AM19&gt;0,IF((AM21-AM19)/AM19&gt;$BI$13,"Overall cash ratio reflected a significant uptrend.","Overall operating margin reflected an uptrend."),IF((AM21-AM19)/AM19&lt;-$BI$13,"Overall cash ratio has seen a significant downtrend over the years.","Overall cash ratio has seen a downtrend over the years.")))</f>
        <v>Overall operating margin reflected an uptrend.</v>
      </c>
      <c r="BD13" s="1" t="str">
        <f>IF(AND(AM19="",(AM21-AM20)&gt;0),IF((AM21-AM20)&gt;$BJ$13,"Overall cash ratio margin reflected a significant increasing trend by "&amp;ABS(ROUND((AM21-AM20)/AM20*100,2))&amp;"%.","Overall cash ratio reflected an increasing trend by "&amp;ABS(ROUND((AM21-AM20)/AM20*100,2))&amp;"%."),IF(AND(AM19="",(AM21-AM20)&lt;0),IF((AM21-AM20)&lt;-$BJ$13,"Overall cash ratio has seen a significant decline by "&amp;ABS(ROUND((AM21-AM20)/AM20*100,2))&amp;"% over the years.","Overall cash ratio has seen a decline by "&amp;ABS(ROUND((AM21-AM20)/AM20*100,2))&amp;"% over the years."),IF(AM21-AM20&gt;0,"Year on year increase of "&amp;ABS(ROUND((AM21-AM20)/AM20*100,2))&amp;"% was recorded from the recent year to the previous year.","Year on year decrease by "&amp;ABS(ROUND((AM21-AM20)/AM20*100,2))&amp;"% was recorded from the recent year to the previous year.")))</f>
        <v>Year on year increase of 10.6% was recorded from the recent year to the previous year.</v>
      </c>
      <c r="BE13" s="1" t="str">
        <f>IF((AM20-AM19)&gt;0,IF((AM20-AM19)&gt;$BK$13,"Records have also shown that cash ratio saw a significant year on year increase by "&amp;ABS(ROUND((AM20-AM19)/AM19*100,2))&amp;"% from "&amp;$D$19&amp;" to "&amp;$D$20&amp;".","Records have also shown that cash ratio experienced a year on year increase by "&amp;ABS(ROUND((AM20-AM19)/AM19*100,2))&amp;"% from "&amp;$D$19&amp;" to "&amp;$D$20&amp;"."),IF((AM20-AM19)&lt;0,IF((AM20-AM19)&lt;-$BK$13,"Records have also shown that cash ratio experienced a significant year on year decrease by "&amp;ABS(ROUND((AM20-AM19)/AM19*100,2))&amp;"% from "&amp;$D$19&amp;" to "&amp;$D$20&amp;".","Records have also shown that cash ratio experienced a year on year decrease by "&amp;ABS(ROUND((AM20-AM19)/AM19*100,2))&amp;"% from "&amp;$D$19&amp;" to "&amp;$D$20&amp;".")))</f>
        <v>Records have also shown that cash ratio experienced a year on year decrease by 1.72% from Year 1 to Year 2.</v>
      </c>
      <c r="BF13" s="1" t="str">
        <f t="shared" si="2"/>
        <v>Overall operating margin reflected an uptrend.  ||  Year on year increase of 10.6% was recorded from the recent year to the previous year.  ||  Records have also shown that cash ratio experienced a year on year decrease by 1.72% from Year 1 to Year 2.</v>
      </c>
      <c r="BG13" s="1" t="s">
        <v>305</v>
      </c>
      <c r="BH13" s="1" t="str">
        <f>BB13</f>
        <v>Cash Ratio</v>
      </c>
      <c r="BI13" s="81">
        <v>0.3</v>
      </c>
      <c r="BJ13" s="1">
        <v>1</v>
      </c>
      <c r="BK13" s="1">
        <v>0.5</v>
      </c>
    </row>
    <row r="14" spans="54:63">
      <c r="BB14" s="2" t="str">
        <f>AQ18</f>
        <v>Working K to Total Assets</v>
      </c>
      <c r="BC14" s="1" t="str">
        <f>IF(AQ19="","",IF((AQ21-AQ19)/AQ19&gt;0,IF((AQ21-AQ19)/AQ19&gt;$BI$14,"Overall working capital has shown positive trend over the 3 years.","Overall working capital has shown positive trend over the 3 years."),IF((AQ21-AQ19)/AQ19&lt;-$BI$14,"Overall working capital has seen a significant slide over the years.","Overall working capital has seen a slide over the years.")))</f>
        <v>Overall working capital has shown positive trend over the 3 years.</v>
      </c>
      <c r="BD14" s="1" t="str">
        <f>IF(AND(AQ19="",(AQ21-AQ20)&gt;0),IF((AQ21-AQ20)&gt;$BJ$14,"Overall, the working capital to total assets reflected a significant increasing trend by "&amp;ABS(ROUND((AQ21-AQ20)/AQ20*100,2))&amp;"%.","Overall, the working capital to total assets reflected an increasing trend by "&amp;ABS(ROUND((AQ21-AQ20)/AQ20*100,2))&amp;"%."),IF(AND(AQ19="",(AQ21-AQ20)&lt;0),IF((AQ21-AQ20)&lt;-$BJ$14,"Overall, the working capital to total assets has seen a significant decline by "&amp;ABS(ROUND((AQ21-AQ20)/AQ20*100,2))&amp;"% over the years.","Overall, the working capital to total assets has seen a decline by "&amp;ABS(ROUND((AQ21-AQ20)/AQ20*100,2))&amp;"% over the years."),IF(AQ21-AQ20&gt;0,"An improvement of "&amp;ABS(ROUND((AQ21-AQ20)/AQ20*100,2))&amp;"% was achieved from the recent year to the previous year.","A decline by "&amp;ABS(ROUND((AQ21-AQ20)/AQ20*100,2))&amp;"% was observed from the recent year to the previous year.")))</f>
        <v>An improvement of 61.23% was achieved from the recent year to the previous year.</v>
      </c>
      <c r="BE14" s="1" t="str">
        <f>IF((AQ20-AQ19)&gt;0,IF((N28-N27)&gt;$BK$14,"Records have also indicated that the working capital to total assets notched a significant year on year increase by "&amp;ABS(ROUND((AQ20-AQ19)/AQ19*100,2))&amp;"% from "&amp;$D$19&amp;" to "&amp;$D$20&amp;".","Records have also indicated that the working capital to total assets notched a year on year increase by "&amp;ABS(ROUND((AQ20-AQ19)/AQ19*100,2))&amp;"% from "&amp;$D$19&amp;" to "&amp;$D$20&amp;"."),IF((AQ20-AQ19)&lt;0,IF((AQ20-AQ19)&lt;-$BK$14,"Records have also indicated that the working capital to total assets notched a significant year on year decrease by "&amp;ABS(ROUND((AQ20-AQ19)/AQ19*100,2))&amp;"% from "&amp;$D$19&amp;" to "&amp;$D$20&amp;".","Records have also indicated that the working capital to total assets notched a year on year decrease by "&amp;ABS(ROUND((AQ20-AQ19)/AQ19*100,2))&amp;"% from "&amp;$D$19&amp;" to "&amp;$D$20&amp;".")))</f>
        <v>Records have also indicated that the working capital to total assets notched a year on year increase by 20.2% from Year 1 to Year 2.</v>
      </c>
      <c r="BF14" s="1" t="str">
        <f t="shared" si="2"/>
        <v>Overall working capital has shown positive trend over the 3 years.  ||  An improvement of 61.23% was achieved from the recent year to the previous year.  ||  Records have also indicated that the working capital to total assets notched a year on year increase by 20.2% from Year 1 to Year 2.</v>
      </c>
      <c r="BG14" s="1" t="s">
        <v>305</v>
      </c>
      <c r="BH14" s="1" t="str">
        <f>BB14</f>
        <v>Working K to Total Assets</v>
      </c>
      <c r="BI14" s="81">
        <v>0.3</v>
      </c>
      <c r="BJ14" s="1">
        <v>8</v>
      </c>
      <c r="BK14" s="1">
        <v>8</v>
      </c>
    </row>
    <row r="16" ht="13.5" spans="4:63">
      <c r="D16" s="5" t="s">
        <v>306</v>
      </c>
      <c r="E16" s="5"/>
      <c r="F16" s="5"/>
      <c r="G16" s="5"/>
      <c r="H16" s="5"/>
      <c r="I16" s="5"/>
      <c r="J16" s="5"/>
      <c r="K16" s="5"/>
      <c r="L16" s="5"/>
      <c r="M16" s="5"/>
      <c r="N16" s="5"/>
      <c r="O16" s="5"/>
      <c r="AE16" s="42" t="s">
        <v>307</v>
      </c>
      <c r="AF16" s="42"/>
      <c r="AG16" s="42"/>
      <c r="AH16" s="42"/>
      <c r="AI16" s="42"/>
      <c r="AJ16" s="42"/>
      <c r="AK16" s="42"/>
      <c r="AL16" s="42"/>
      <c r="AM16" s="65"/>
      <c r="AN16" s="65"/>
      <c r="AO16" s="65"/>
      <c r="AP16" s="65"/>
      <c r="AQ16" s="65"/>
      <c r="AR16" s="65"/>
      <c r="AS16" s="65"/>
      <c r="AT16" s="65"/>
      <c r="BC16" s="2" t="s">
        <v>301</v>
      </c>
      <c r="BD16" s="2" t="s">
        <v>302</v>
      </c>
      <c r="BE16" s="2" t="s">
        <v>303</v>
      </c>
      <c r="BF16" s="2" t="s">
        <v>304</v>
      </c>
      <c r="BI16" s="2" t="str">
        <f>BC16</f>
        <v>OVERALL</v>
      </c>
      <c r="BJ16" s="2" t="str">
        <f>BD16</f>
        <v>Y3-y2</v>
      </c>
      <c r="BK16" s="2" t="str">
        <f>BE16</f>
        <v>y2-y1</v>
      </c>
    </row>
    <row r="17" ht="14.25" spans="31:63">
      <c r="AE17" s="43"/>
      <c r="AF17" s="43"/>
      <c r="AG17" s="43"/>
      <c r="AH17" s="43"/>
      <c r="AI17" s="43"/>
      <c r="AJ17" s="43"/>
      <c r="AK17" s="43"/>
      <c r="BB17" s="2" t="str">
        <f>H42</f>
        <v>Trade Receivables (days)</v>
      </c>
      <c r="BC17" s="1" t="str">
        <f>IF(H43="","",IF((H45-H43)/H43&gt;0,IF((H45-H43)/H43&gt;$BI$17,"Overall trade receivables recorded significant improvement over the 3 years.","Overall trade receivables recorded an improvement over the 3 years."),IF((H45-H43)/H43&lt;-$BI$17,"Overall trade receivables has seen a significant downward trend over the years.","Overall trade receivables has seen a drop over the years.")))</f>
        <v/>
      </c>
      <c r="BD17" s="1" t="str">
        <f>IF(AND(H43="",(H45-H44)/H44&gt;0),IF((H45-H44)/H44&gt;$BJ$17,"Overall trade receivables reflected a significant increasing trend by "&amp;ABS(ROUND((H45-H44)/H44*100,2))&amp;"%.","Overall trade receivables reflected a slightly increasing trend by "&amp;ABS(ROUND((H45-H44)/H44*100,2))&amp;"%."),IF(AND(H32="",(H45-H44)/H44&lt;0),IF((H45-H44)/H44&lt;-$BJ$17,"Overall trade receivables has seen a significant decline by "&amp;ABS(ROUND((H45-H44)/H44*100,2))&amp;"% over the years.","Overall trade receivables has seen a marginal decline by "&amp;ABS(ROUND((H45-H44)/H44*100,2))&amp;"% over the years."),IF(H45&gt;H44,"Experienced a year on year increase by "&amp;ABS(ROUND((H45-H44)/H44*100,2))&amp;"% from the recent year to the previous year.","Experienced a year on year decrease by "&amp;ABS(ROUND((H45-H44)/H44*100,2))&amp;"% from the recent year to the previous year.")))</f>
        <v>Overall trade receivables has seen a marginal decline by 42.57% over the years.</v>
      </c>
      <c r="BE17" s="1" t="str">
        <f>IF(H43="","",IF((H44-H43)&gt;0,IF((H44-H43)&gt;$BK$17,"Records have also indicated that from "&amp;$D$19&amp;" to "&amp;$D$20&amp;", receivables saw a significant year on year increase by "&amp;ABS(ROUND((H44-H43)*100,2))&amp;"%.","Records have also indicated that from "&amp;$D$19&amp;" to "&amp;$D$20&amp;", receivables saw a year on year increase by "&amp;ABS(ROUND((H44-H43)*100,2))&amp;"%."),IF((H44-H43)&lt;0,IF((H44-H43)&lt;-$BK$17,"Records have also indicated that from "&amp;$D$19&amp;" to "&amp;$D$20&amp;", receivables saw a significant year on year decrease by "&amp;ABS(ROUND((H44-H43)*100,2))&amp;"%.","Records have also indicated that from "&amp;$D$19&amp;" to "&amp;$D$20&amp;", receivables saw a year on year decrease by "&amp;ABS(ROUND((H44-H43)*100,2))&amp;"%."))))</f>
        <v/>
      </c>
      <c r="BF17" s="1" t="str">
        <f>IF($AI$43="",BD17,IF(BC17="","",BC17)&amp;IF(BD17="","","  ||  "&amp;BD17)&amp;IF(BE17="","","  ||  "&amp;BE17))</f>
        <v>  ||  Overall trade receivables has seen a marginal decline by 42.57% over the years.</v>
      </c>
      <c r="BG17" s="1" t="s">
        <v>305</v>
      </c>
      <c r="BH17" s="1" t="str">
        <f>BB17</f>
        <v>Trade Receivables (days)</v>
      </c>
      <c r="BI17" s="81">
        <v>0.3</v>
      </c>
      <c r="BJ17" s="1">
        <v>10</v>
      </c>
      <c r="BK17" s="1">
        <v>10</v>
      </c>
    </row>
    <row r="18" ht="18.75" customHeight="1" spans="4:63">
      <c r="D18" s="6"/>
      <c r="E18" s="14"/>
      <c r="F18" s="14"/>
      <c r="G18" s="14"/>
      <c r="H18" s="15" t="s">
        <v>308</v>
      </c>
      <c r="I18" s="15"/>
      <c r="J18" s="15"/>
      <c r="K18" s="15" t="s">
        <v>309</v>
      </c>
      <c r="L18" s="15"/>
      <c r="M18" s="15"/>
      <c r="N18" s="15" t="s">
        <v>310</v>
      </c>
      <c r="O18" s="15"/>
      <c r="P18" s="15"/>
      <c r="Q18" s="15" t="s">
        <v>311</v>
      </c>
      <c r="R18" s="15"/>
      <c r="S18" s="15"/>
      <c r="T18" s="15" t="s">
        <v>312</v>
      </c>
      <c r="U18" s="15"/>
      <c r="V18" s="15"/>
      <c r="W18" s="15" t="s">
        <v>313</v>
      </c>
      <c r="X18" s="15"/>
      <c r="Y18" s="39"/>
      <c r="AE18" s="44"/>
      <c r="AF18" s="45"/>
      <c r="AG18" s="45"/>
      <c r="AH18" s="45"/>
      <c r="AI18" s="55" t="s">
        <v>236</v>
      </c>
      <c r="AJ18" s="55"/>
      <c r="AK18" s="55"/>
      <c r="AL18" s="55"/>
      <c r="AM18" s="55" t="s">
        <v>243</v>
      </c>
      <c r="AN18" s="55"/>
      <c r="AO18" s="55"/>
      <c r="AP18" s="55"/>
      <c r="AQ18" s="55" t="s">
        <v>314</v>
      </c>
      <c r="AR18" s="55"/>
      <c r="AS18" s="55"/>
      <c r="AT18" s="55"/>
      <c r="AU18" s="75"/>
      <c r="BB18" s="2" t="str">
        <f>L42</f>
        <v>Trade Payable (days)</v>
      </c>
      <c r="BC18" s="1" t="str">
        <f>IF(L43="","",IF((L45-L43)/L43&gt;0,IF((L45-L43)/L43&gt;$BI$18,"Overall trade payables recorded significant improvement over the 3 years.","Overall trade payables recorded an improvement over the 3 years."),IF((L45-L43)/L43&lt;-$BI$18,"Overall trade payables has seen a significant downward trend over the years.","Overall trade payables has seen a drop over the years.")))</f>
        <v/>
      </c>
      <c r="BD18" s="1" t="str">
        <f>IF(AND(L43="",(L45-L44)&gt;0),IF((L45-L44)&gt;$BJ$18,"Overall trade payables reflected a significant increasing trend by "&amp;ROUND((L45-L44)/L44*100,2)&amp;"%.","Overall trade payables reflected a slightly increasing trend by "&amp;ROUND((L45-L44)/L44*100,2)&amp;"%."),IF(AND(L43="",(L45-L44)&lt;0),IF((L45-L44)&lt;-$BJ$18,"Overall trade payables has seen a significant decline by "&amp;-ROUND((L45-L44)/L44*100,2)&amp;"% over the years.","Overall trade payables has seen a marginal decline by "&amp;-ROUND((L45-L44)/L44*100,2)&amp;"% over the years."),IF(L45-L44,"Experienced a year on year increase by "&amp;ROUND((L45-L44)/L44*100,2)&amp;"% from the recent year to the previous year.","Experienced a year on year decrease by "&amp;-ROUND((L45-L44)/L44*100,2)&amp;"% from the recent year to the previous year.")))</f>
        <v>Overall trade payables has seen a marginal decline by 19.64% over the years.</v>
      </c>
      <c r="BE18" s="1" t="str">
        <f>IF(L43="","",IF((L44-L43)&gt;0,IF((L44-L43)&gt;10,"Records have also indicated that from "&amp;$D$19&amp;" to "&amp;$D$20&amp;", payables saw a significant year on year increase by "&amp;ROUND((L44-L43)/L43*100,2)&amp;"%.","Records have also indicated that from "&amp;$D$19&amp;" to "&amp;$D$20&amp;", payables saw a year on year increase by "&amp;ROUND((L44-L43)/L43*100,2)&amp;"%."),IF((L44-L43)&lt;0,IF((L44-L43)&lt;-10,"Records have also indicated that from "&amp;$D$19&amp;" to "&amp;$D$20&amp;", payables saw a significant year on year decrease by "&amp;ROUND((L44-L43)/L43*100,2)&amp;"%.","Records have also indicated that from "&amp;$D$19&amp;" to "&amp;$D$20&amp;", payables saw a year on year decrease by "&amp;ROUND((L44-L43)/L43*100,2)&amp;"%."))))</f>
        <v/>
      </c>
      <c r="BF18" s="1" t="str">
        <f t="shared" ref="BF18:BF20" si="3">IF($AI$43="",BD18,IF(BC18="","",BC18)&amp;IF(BD18="","","  ||  "&amp;BD18)&amp;IF(BE18="","","  ||  "&amp;BE18))</f>
        <v>  ||  Overall trade payables has seen a marginal decline by 19.64% over the years.</v>
      </c>
      <c r="BG18" s="1" t="s">
        <v>305</v>
      </c>
      <c r="BH18" s="1" t="str">
        <f>BB18</f>
        <v>Trade Payable (days)</v>
      </c>
      <c r="BI18" s="81">
        <v>0.3</v>
      </c>
      <c r="BJ18" s="1">
        <v>10</v>
      </c>
      <c r="BK18" s="1">
        <v>10</v>
      </c>
    </row>
    <row r="19" spans="4:63">
      <c r="D19" s="7" t="str">
        <f>FS_inputs!$AC$8</f>
        <v>Year 1</v>
      </c>
      <c r="E19" s="16"/>
      <c r="F19" s="16"/>
      <c r="G19" s="17"/>
      <c r="H19" s="18">
        <f>IFERROR(Ratios!C6,"")</f>
        <v>0.630541871921182</v>
      </c>
      <c r="I19" s="26"/>
      <c r="J19" s="27"/>
      <c r="K19" s="18">
        <f>IFERROR(Ratios!C11,"")</f>
        <v>-0.0598894967299196</v>
      </c>
      <c r="L19" s="26"/>
      <c r="M19" s="27"/>
      <c r="N19" s="18">
        <f>IFERROR(Ratios!C16,"")</f>
        <v>-18.5313496905394</v>
      </c>
      <c r="O19" s="26"/>
      <c r="P19" s="27"/>
      <c r="Q19" s="26">
        <f>IFERROR(Ratios!C21,"")</f>
        <v>-160.763418255534</v>
      </c>
      <c r="R19" s="26"/>
      <c r="S19" s="26"/>
      <c r="T19" s="18">
        <f>IFERROR(Ratios!C26,"")</f>
        <v>-188.093199358974</v>
      </c>
      <c r="U19" s="26"/>
      <c r="V19" s="27"/>
      <c r="W19" s="26">
        <f>IFERROR(ROUND(Ratios!C33/Ratios!C34,2),"")</f>
        <v>9.68</v>
      </c>
      <c r="X19" s="26"/>
      <c r="Y19" s="40"/>
      <c r="AE19" s="46" t="str">
        <f>[1]FS_inputs!$AC$8</f>
        <v>Year 1</v>
      </c>
      <c r="AF19" s="16"/>
      <c r="AG19" s="16"/>
      <c r="AH19" s="16"/>
      <c r="AI19" s="56">
        <f>IFERROR(Ratios!C40/Ratios!C41,"")</f>
        <v>6.29411764705882</v>
      </c>
      <c r="AJ19" s="57"/>
      <c r="AK19" s="57"/>
      <c r="AL19" s="57"/>
      <c r="AM19" s="58">
        <f>IFERROR(Ratios!C46/Ratios!C47,"")</f>
        <v>5.11764705882353</v>
      </c>
      <c r="AN19" s="59"/>
      <c r="AO19" s="59"/>
      <c r="AP19" s="59"/>
      <c r="AQ19" s="66">
        <f>IFERROR(Ratios!C59,"")</f>
        <v>11.2777777777778</v>
      </c>
      <c r="AR19" s="67"/>
      <c r="AS19" s="67"/>
      <c r="AT19" s="67"/>
      <c r="AU19" s="76"/>
      <c r="BB19" s="2" t="str">
        <f>P42</f>
        <v>Asset Turnover</v>
      </c>
      <c r="BC19" s="1" t="str">
        <f>IF(P43="","",IF((P45-P43)/P43&gt;0,IF((P45-P43)/P43&gt;$BI$19,"Overall asset turnover recorded significant improvement over the 3 years.","Overall asset turnover recorded an improvement over the 3 years."),IF((P45-P43)/P43&lt;-$BI$19,"Overall asset turnover has seen a significant downward trend over the years.","Overall asset turnover has seen a drop over the years.")))</f>
        <v>Overall asset turnover recorded significant improvement over the 3 years.</v>
      </c>
      <c r="BD19" s="1" t="str">
        <f>IF(AND(P43="",(P45-P44)&gt;0),IF((P45-P44)&gt;$BJ$19," Overall asset turnover reflected a significant increasing trend by "&amp;ABS(ROUND((P45-P44)/P44*100,2))&amp;"%.","Overall asset turnover reflected an increasing trend by "&amp;ABS(ROUND((P45-P44)/P44*100,2))&amp;"%."),IF(AND(P43="",(P45-P44)&lt;0),IF((P45-P44)&lt;-$BJ$19,"Overall asset turnover has seen a significant decline by "&amp;ABS(ROUND((P45-P44)/P44*100,2))&amp;"% over the years.","Overall asset turnover has seen a decline by "&amp;ABS(ROUND((P45-P44)/P44*100,2))&amp;"% over the years."),IF(P45&gt;P44,"An increase of "&amp;ABS(ROUND((P45-P44)/P44*100,2))&amp;"% was recorded from the recent year to the previous year.","A decrease of "&amp;ABS(ROUND((P45-P44)/P44*100,2))&amp;"% was recorded from the recent year to the previous year.")))</f>
        <v>An increase of 62.62% was recorded from the recent year to the previous year.</v>
      </c>
      <c r="BE19" s="1" t="str">
        <f>IF(P43="","",IF((P44-P43)&gt;0,IF((P44-P43)&gt;$BK$19,"Records have also indicated that from "&amp;$D$19&amp;" to "&amp;$D$20&amp;", asset turnover saw a significant year on year increase by "&amp;ABS(ROUND((P44-P43)/P43*100,2))&amp;"%.","Records have also indicated that from "&amp;$D$19&amp;" to "&amp;$D$20&amp;", asset turnover saw a year on year increase by "&amp;ABS(ROUND((P44-P43)/P43*100,2))&amp;"%."),IF((P44-P43)&lt;0,IF((P44-P43)&lt;-$BK$19,"Records have also indicated that from "&amp;$D$19&amp;" to "&amp;$D$20&amp;", asset turnover saw a significant year on year decrease by "&amp;ABS(ROUND((P44-P43)/P43*100,2))&amp;"%.","Records have also indicated that from "&amp;$D$19&amp;" to "&amp;$D$20&amp;", asset turnover saw a year on year decrease by "&amp;ABS(ROUND((P44-P43)/P43*100,2))&amp;"%."))))</f>
        <v>Records have also indicated that from Year 1 to Year 2, asset turnover saw a year on year increase by 20.2%.</v>
      </c>
      <c r="BF19" s="1" t="str">
        <f t="shared" si="3"/>
        <v>Overall asset turnover recorded significant improvement over the 3 years.  ||  An increase of 62.62% was recorded from the recent year to the previous year.  ||  Records have also indicated that from Year 1 to Year 2, asset turnover saw a year on year increase by 20.2%.</v>
      </c>
      <c r="BG19" s="1" t="s">
        <v>305</v>
      </c>
      <c r="BH19" s="1" t="str">
        <f>BB19</f>
        <v>Asset Turnover</v>
      </c>
      <c r="BI19" s="81">
        <v>0.3</v>
      </c>
      <c r="BJ19" s="1">
        <v>5</v>
      </c>
      <c r="BK19" s="1">
        <v>5</v>
      </c>
    </row>
    <row r="20" spans="4:63">
      <c r="D20" s="7" t="str">
        <f>FS_inputs!$AI$8</f>
        <v>Year 2</v>
      </c>
      <c r="E20" s="16"/>
      <c r="F20" s="16"/>
      <c r="G20" s="17"/>
      <c r="H20" s="18">
        <f>IFERROR(Ratios!D6,"")</f>
        <v>0.622950819672131</v>
      </c>
      <c r="I20" s="26"/>
      <c r="J20" s="27"/>
      <c r="K20" s="18">
        <f>IFERROR(Ratios!D11,"")</f>
        <v>-0.0714693450697474</v>
      </c>
      <c r="L20" s="26"/>
      <c r="M20" s="27"/>
      <c r="N20" s="18">
        <f>IFERROR(Ratios!D16,"")</f>
        <v>-15.5177834174023</v>
      </c>
      <c r="O20" s="26"/>
      <c r="P20" s="27"/>
      <c r="Q20" s="26">
        <f>IFERROR(Ratios!D21,"")</f>
        <v>-161.809365548981</v>
      </c>
      <c r="R20" s="26"/>
      <c r="S20" s="26"/>
      <c r="T20" s="18">
        <f>IFERROR(Ratios!D26,"")</f>
        <v>-189.316957692308</v>
      </c>
      <c r="U20" s="26"/>
      <c r="V20" s="27"/>
      <c r="W20" s="26">
        <f>IFERROR(ROUND(Ratios!D33/Ratios!D34,2),"")</f>
        <v>8.07</v>
      </c>
      <c r="X20" s="26"/>
      <c r="Y20" s="40"/>
      <c r="AE20" s="46" t="str">
        <f>[1]FS_inputs!$AI$8</f>
        <v>Year 2</v>
      </c>
      <c r="AF20" s="16"/>
      <c r="AG20" s="16"/>
      <c r="AH20" s="16"/>
      <c r="AI20" s="58">
        <f>IFERROR(Ratios!D40/Ratios!D41,"")</f>
        <v>6.29411764705882</v>
      </c>
      <c r="AJ20" s="59"/>
      <c r="AK20" s="59"/>
      <c r="AL20" s="59"/>
      <c r="AM20" s="58">
        <f>IFERROR(Ratios!D46/Ratios!D47,"")</f>
        <v>5.02941176470588</v>
      </c>
      <c r="AN20" s="59"/>
      <c r="AO20" s="59"/>
      <c r="AP20" s="59"/>
      <c r="AQ20" s="66">
        <f>IFERROR(Ratios!D59,"")</f>
        <v>13.5555555555556</v>
      </c>
      <c r="AR20" s="67"/>
      <c r="AS20" s="67"/>
      <c r="AT20" s="67"/>
      <c r="AU20" s="76"/>
      <c r="BB20" s="2" t="str">
        <f>T42</f>
        <v>Inventory Turnover</v>
      </c>
      <c r="BC20" s="1" t="str">
        <f>IF(T43="","",IF((T45-T43)/T43&gt;0,IF((T45-T43)/T43&gt;$BI$20,"Overall inventory turnover recorded significant improvement over the 3 years.","Overall inventory turnover recorded an improvement over the 3 years."),IF((T45-T43)/T43&lt;-$BI$20,"Overall inventory turnover has seen a significant downward trend over the years.","Overall inventory turnover has seen a drop over the years.")))</f>
        <v>Overall inventory turnover recorded significant improvement over the 3 years.</v>
      </c>
      <c r="BD20" s="1" t="str">
        <f>IF(AND(T43="",(T45-T44)&gt;0),IF((T45-T44)&gt;$BJ$20,"Overall inventory turnover reflected a significant improvement trend, increasing by "&amp;ABS(ROUND((T45-T44)/T44*100,2))&amp;"%.","Overall inventory turnover reflected improvements, increasing by "&amp;ABS(ROUND((T45-T44)/T44*100,2))&amp;"%."),IF(AND(Q32="",(T45-T44)&lt;0),IF((T45-T44)&lt;-$BJ$20,"Overall inventory turnover has seen a significant dip in demand, declining by "&amp;ABS(ROUND((T45-T44)/T44*100,2))&amp;"% over the years.","Overall dip in demand has seen inventory turnover decline by "&amp;ABS(ROUND((T45-T44)/T44*100,2))&amp;"% over the years."),IF(T45&gt;T44,"A "&amp;ABS(ROUND((T45-T44)/T44*100,2))&amp;"% increase was observed from the recent year to the previous year.","A "&amp;ABS(ROUND((T45-T44)/T44*100,2))&amp;"% decrease from the recent year to the previous year was observed.")))</f>
        <v>A 49.71% increase was observed from the recent year to the previous year.</v>
      </c>
      <c r="BE20" s="1" t="str">
        <f>IF(T43="","",IF((T44-T43)&gt;0,IF((T44-T43)&gt;$BK$20,"Records have also indicated that from "&amp;$D$19&amp;" to "&amp;$D$20&amp;", inventory turnover saw a significant year on year increase by "&amp;ABS(ROUND((T44-T43)/T43*100,2))&amp;"%.","Records have also indicated that from "&amp;$D$19&amp;" to "&amp;$D$20&amp;", inventory turnover saw a year on year increase by "&amp;ABS(ROUND((T44-T43)/T43*100,2))&amp;"%."),IF((T44-T43)&lt;0,IF((T44-T43)&lt;-$BK$20,"Records have also indicated that from "&amp;$D$19&amp;" to "&amp;$D$20&amp;", inventory turnover saw a significant year on year decrease by "&amp;ABS(ROUND((T44-T43)/T43*100,2))&amp;"%.","Records have also indicated that from "&amp;$D$19&amp;" to "&amp;$D$20&amp;", inventory turnover saw a year on year decrease by "&amp;ABS(ROUND((T44-T43)/T43*100,2))&amp;"%."))))</f>
        <v>Records have also indicated that from Year 1 to Year 2, inventory turnover saw a significant year on year increase by 47.93%.</v>
      </c>
      <c r="BF20" s="1" t="str">
        <f t="shared" si="3"/>
        <v>Overall inventory turnover recorded significant improvement over the 3 years.  ||  A 49.71% increase was observed from the recent year to the previous year.  ||  Records have also indicated that from Year 1 to Year 2, inventory turnover saw a significant year on year increase by 47.93%.</v>
      </c>
      <c r="BG20" s="1" t="s">
        <v>305</v>
      </c>
      <c r="BH20" s="1" t="str">
        <f>BB20</f>
        <v>Inventory Turnover</v>
      </c>
      <c r="BI20" s="81">
        <v>0.3</v>
      </c>
      <c r="BJ20" s="1">
        <v>5</v>
      </c>
      <c r="BK20" s="1">
        <v>5</v>
      </c>
    </row>
    <row r="21" spans="4:47">
      <c r="D21" s="7" t="str">
        <f>FS_inputs!$AO$8</f>
        <v>Year 3 
(most recent)</v>
      </c>
      <c r="E21" s="16"/>
      <c r="F21" s="16"/>
      <c r="G21" s="17"/>
      <c r="H21" s="18">
        <f>IFERROR(Ratios!E6,"")</f>
        <v>0.715302491103203</v>
      </c>
      <c r="I21" s="26"/>
      <c r="J21" s="27"/>
      <c r="K21" s="18">
        <f>IFERROR(Ratios!E11,"")</f>
        <v>-0.120344668334923</v>
      </c>
      <c r="L21" s="26"/>
      <c r="M21" s="27"/>
      <c r="N21" s="18">
        <f>IFERROR(Ratios!E16,"")</f>
        <v>-9.25580110281178</v>
      </c>
      <c r="O21" s="26"/>
      <c r="P21" s="27"/>
      <c r="Q21" s="26">
        <f>IFERROR(Ratios!E21,"")</f>
        <v>-156.949661803714</v>
      </c>
      <c r="R21" s="26"/>
      <c r="S21" s="26"/>
      <c r="T21" s="18">
        <f>IFERROR(Ratios!E26,"")</f>
        <v>-182.061607692308</v>
      </c>
      <c r="U21" s="26"/>
      <c r="V21" s="27"/>
      <c r="W21" s="26">
        <f>IFERROR(ROUND(Ratios!E33/Ratios!E34,2),"")</f>
        <v>5.01</v>
      </c>
      <c r="X21" s="26"/>
      <c r="Y21" s="40"/>
      <c r="AE21" s="46" t="str">
        <f>[1]FS_inputs!$AO$8</f>
        <v>Year 3 
(most recent)</v>
      </c>
      <c r="AF21" s="16"/>
      <c r="AG21" s="16"/>
      <c r="AH21" s="16"/>
      <c r="AI21" s="58">
        <f>IFERROR(Ratios!E40/Ratios!E41,"")</f>
        <v>6.625</v>
      </c>
      <c r="AJ21" s="59"/>
      <c r="AK21" s="59"/>
      <c r="AL21" s="59"/>
      <c r="AM21" s="58">
        <f>IFERROR(Ratios!E46/Ratios!E47,"")</f>
        <v>5.5625</v>
      </c>
      <c r="AN21" s="59"/>
      <c r="AO21" s="59"/>
      <c r="AP21" s="59"/>
      <c r="AQ21" s="66">
        <f>IFERROR(Ratios!E59,"")</f>
        <v>21.8555555555556</v>
      </c>
      <c r="AR21" s="67"/>
      <c r="AS21" s="67"/>
      <c r="AT21" s="67"/>
      <c r="AU21" s="76"/>
    </row>
    <row r="22" ht="13.5" spans="2:47">
      <c r="B22" s="8"/>
      <c r="D22" s="9" t="s">
        <v>315</v>
      </c>
      <c r="E22" s="19"/>
      <c r="F22" s="19"/>
      <c r="G22" s="20"/>
      <c r="H22" s="21">
        <v>0.2</v>
      </c>
      <c r="I22" s="28"/>
      <c r="J22" s="29"/>
      <c r="K22" s="28">
        <v>0.08</v>
      </c>
      <c r="L22" s="28"/>
      <c r="M22" s="28"/>
      <c r="N22" s="21">
        <v>0.1</v>
      </c>
      <c r="O22" s="28"/>
      <c r="P22" s="29"/>
      <c r="Q22" s="28">
        <v>0.15</v>
      </c>
      <c r="R22" s="28"/>
      <c r="S22" s="28"/>
      <c r="T22" s="21">
        <v>0.1</v>
      </c>
      <c r="U22" s="28"/>
      <c r="V22" s="29"/>
      <c r="W22" s="28">
        <v>0.13</v>
      </c>
      <c r="X22" s="28"/>
      <c r="Y22" s="41"/>
      <c r="AE22" s="47" t="s">
        <v>315</v>
      </c>
      <c r="AF22" s="48"/>
      <c r="AG22" s="48"/>
      <c r="AH22" s="48"/>
      <c r="AI22" s="60">
        <v>1.5</v>
      </c>
      <c r="AJ22" s="60"/>
      <c r="AK22" s="60"/>
      <c r="AL22" s="60"/>
      <c r="AM22" s="60">
        <v>1.2</v>
      </c>
      <c r="AN22" s="60"/>
      <c r="AO22" s="60"/>
      <c r="AP22" s="60"/>
      <c r="AQ22" s="68">
        <v>0.1</v>
      </c>
      <c r="AR22" s="69"/>
      <c r="AS22" s="69"/>
      <c r="AT22" s="69"/>
      <c r="AU22" s="77"/>
    </row>
    <row r="23" ht="13.5" spans="2:63">
      <c r="B23" s="8"/>
      <c r="BC23" s="2" t="s">
        <v>301</v>
      </c>
      <c r="BD23" s="2" t="s">
        <v>302</v>
      </c>
      <c r="BE23" s="2" t="s">
        <v>303</v>
      </c>
      <c r="BF23" s="2" t="s">
        <v>304</v>
      </c>
      <c r="BI23" s="2" t="str">
        <f>BC23</f>
        <v>OVERALL</v>
      </c>
      <c r="BJ23" s="2" t="str">
        <f>BD23</f>
        <v>Y3-y2</v>
      </c>
      <c r="BK23" s="2" t="str">
        <f>BE23</f>
        <v>y2-y1</v>
      </c>
    </row>
    <row r="24" spans="2:63">
      <c r="B24" s="8"/>
      <c r="I24" s="30">
        <f>H19-H21</f>
        <v>-0.0847606191820206</v>
      </c>
      <c r="BB24" s="2" t="str">
        <f>AI42</f>
        <v>Debt to Equity Ratio</v>
      </c>
      <c r="BC24" s="1" t="str">
        <f>IF(AI43="","",IF((AI45-AI43)=0,"Debt to equity did not record any changes over the periods recorded.",IF((AI45-AI43)/AI43&lt;0,IF((AI45-AI43)/AI43&lt;-$BI$24,"Overall debt to equity ratio recorded significant improvement over the 3 years, reducing pressue on equity.","Overall debt to equity ratio recorded an improvement over the 3 years."),IF((AI45-AI43)/AI43&gt;$BI$24,"Overall debt to equity ratio has seen a significant deterioration over the years, increasing pressure on equity to sustain the debt.","Overall debt to equity ratio seemed to have worsened over the years."))))</f>
        <v>Overall debt to equity ratio recorded an improvement over the 3 years.</v>
      </c>
      <c r="BD24" s="1" t="str">
        <f>IF((AI45-AI44)=0,"",IF(AND(AI43="",(AI45-AI44)&lt;0),IF((AI45-AI44)&lt;-$BJ$24,"Overall debt to equity reflected a positive trend, reducing significantly by "&amp;ABS(ROUND((AI45-AI44)/AI44*100,2))&amp;"%, easing pressure off equity.","Overall debt to equity reflected slight improvements, reducing by "&amp;ABS(ROUND((AI45-AI44)/AI44*100,2))&amp;"%, easing some pressure off equity."),IF(AND(AI43="",(AI45-AI44)&gt;0),IF((AI45-AI44)&gt;$BJ$24,"Overall debt to equity showed significant deterioration and increased pressure on equity, increasing by "&amp;ABS(ROUND((AI45-AI44)/AI44*100,2))&amp;"% over the years.","Overall debt to equity has seen a marginal increase by "&amp;ABS(ROUND((AI45-AI44)/AI44*100,2))&amp;"%, a deterioration trend over the years which could lead to increased pressure on equity over the years."),IF(AI45&gt;AI44,"Recent year debt to equity ratio reflected increasing pressure on equity from the previous year, increasing by "&amp;ABS(ROUND((AI45-AI44)/AI44*100,2))&amp;"%.","Recent year debt to equity ratio showed signs of pressure reduction on equity, decreasing by "&amp;ABS(ROUND((AI45-AI44)/AI44*100,2))&amp;"% from the previous year."))))</f>
        <v>Recent year debt to equity ratio showed signs of pressure reduction on equity, decreasing by 0.85% from the previous year.</v>
      </c>
      <c r="BE24" s="1" t="str">
        <f>IF(AI43="","",IF((AI44-AI43)=0,"",IF((AI44-AI43)&lt;0,IF((AI44-AI43)&lt;-$BK$24,"Records have also indicated that from "&amp;$D$19&amp;" to "&amp;$D$20&amp;", debt to equity saw a significant year on year decrease by "&amp;ABS(ROUND((AI44-AI43)/AI43*100,2))&amp;"%.","Records have also indicated that from "&amp;$D$19&amp;" to "&amp;$D$20&amp;", debt to equity saw a year on year decrease by "&amp;ABS(ROUND((AI44-AI43)/AI43*100,2))&amp;"%."),IF((AI44-AI43)&gt;0,IF((AI44-AI43)&gt;$BK$24,"Records have also indicated that from "&amp;$D$19&amp;" to "&amp;$D$20&amp;", debt to equity saw a significant year on year increase by "&amp;ABS(ROUND((AI44-AI43)/AI43*100,2))&amp;"%.","Records have also indicated that from "&amp;$D$19&amp;" to "&amp;$D$20&amp;", debt to equity saw a year on year increase by "&amp;ABS(ROUND((AI44-AI43)/AI43*100,2))&amp;"%.")))))</f>
        <v/>
      </c>
      <c r="BF24" s="1" t="str">
        <f>IF($AI$43="",BD24,IF(BC24="","",BC24)&amp;IF(BD24="","","  ||  "&amp;BD24)&amp;IF(BE24="","","  ||  "&amp;BE24))</f>
        <v>Overall debt to equity ratio recorded an improvement over the 3 years.  ||  Recent year debt to equity ratio showed signs of pressure reduction on equity, decreasing by 0.85% from the previous year.</v>
      </c>
      <c r="BG24" s="1" t="s">
        <v>305</v>
      </c>
      <c r="BH24" s="1" t="str">
        <f>BB24</f>
        <v>Debt to Equity Ratio</v>
      </c>
      <c r="BI24" s="81">
        <v>0.3</v>
      </c>
      <c r="BJ24" s="1">
        <v>0.3</v>
      </c>
      <c r="BK24" s="1">
        <v>0.3</v>
      </c>
    </row>
    <row r="25" spans="2:63">
      <c r="B25" s="8"/>
      <c r="BB25" s="2" t="str">
        <f>AN42</f>
        <v>Debt Ratio</v>
      </c>
      <c r="BC25" s="1" t="str">
        <f>IF(AN43="","",IF((AN45-AN43)/AN43&lt;0,IF((AN45-AN43)/AN43&lt;-$BI$25,"Significant improvements in debt ratio suggest improving assets and liabilities balances observed over the 3 years."," Improvements in debt ratio suggest improving assets and liabilities balances observed over the 3 years."),IF((AN45-AN43)/AN43&gt;$BI$25,"Significant increase in pressure on assets by liabilities is observed based on the debt ratio's downward trend over the years."," Increase in pressure on assets by liabilities is observed based on the debt ratio's downward trend over the years.")))</f>
        <v> Increase in pressure on assets by liabilities is observed based on the debt ratio's downward trend over the years.</v>
      </c>
      <c r="BD25" s="1" t="str">
        <f>IF(AND(AN43="",(AN45-AN44)&lt;0),IF((AN45-AN44)&lt;-$BJ$25,"Overall liabilities and assets balances have improved with debt ratio reflecting a significant improvement trend, decreasing by "&amp;ABS(ROUND((AN45-AN44)/AN44*100,2))&amp;"%.","Overall liabilities and assets balances have improved slightly with debt ratio reducing by "&amp;ABS(ROUND((AN45-AN44)/AN44*100,2))&amp;"%."),IF(AND(AN43="",(AN45-AN44)&gt;0),IF((AN45-AN44)&gt;$BJ$25,"Overall  liabilities and assets balances have worsened with debt ratio increasing significantly by "&amp;ABS(ROUND((AN45-AN44)/AN44*100,2))&amp;"% over the years.","Overall  liabilities and assets balances have somewhat improved with debt ratio recording a marginal decline by "&amp;ABS(ROUND((AN45-AN44)/AN44*100,2))&amp;"% over the years."),IF(AN45&gt;AN44,"Recent year debt ratio has increased by "&amp;ABS(ROUND((AN45-AN44)/AN44*100,2))&amp;"% from the previous year, potentially increasing the burden on assets.","Recent year debt ratio decrease by "&amp;ABS(ROUND((AN45-AN44)/AN44*100,2))&amp;"% from the previous year, potentially reducing burden on assets.")))</f>
        <v>Recent year debt ratio decrease by 0% from the previous year, potentially reducing burden on assets.</v>
      </c>
      <c r="BE25" s="1" t="str">
        <f>IF(AN43="","",IF((AN44-AN43)=0,"",IF((AN44-AN43)&lt;0,IF((AN44-AN43)&lt;-$BK$25,"Records have also indicated that from "&amp;$AE$43&amp;" to "&amp;$AE$44&amp;", debt ratio saw a significant year on year decrease by "&amp;ABS(ROUND((AN44-AN43)/AN43*100,2))&amp;"%.","Records have also indicated that from "&amp;$AE$43&amp;" to "&amp;$AE$44&amp;", debt ratio saw a year on year decrease by "&amp;ABS(ROUND((AN44-AN43)/AN43*100,2))&amp;"%."),IF((AN44-AN43)&gt;0,IF((AN44-AN43)&gt;$BK$25,"Records have also indicated that from "&amp;$AE$43&amp;" to "&amp;$AE$44&amp;", debt ratio saw a significant year on year increase by "&amp;ABS(ROUND((AN44-AN43)/AN43*100,2))&amp;"%.","Records have also indicated that from "&amp;$AE$43&amp;" to "&amp;$AE$44&amp;", debt ratio saw a year on year increase by "&amp;ABS(ROUND((AN44-AN43)/AN43*100,2))&amp;"%.")))))</f>
        <v/>
      </c>
      <c r="BF25" s="1" t="str">
        <f>IF($AI$43="",BD25,IF(BC25="","",BC25)&amp;IF(BD25="","","  ||  "&amp;BD25)&amp;IF(BE25="","","  ||  "&amp;BE25))</f>
        <v> Increase in pressure on assets by liabilities is observed based on the debt ratio's downward trend over the years.  ||  Recent year debt ratio decrease by 0% from the previous year, potentially reducing burden on assets.</v>
      </c>
      <c r="BG25" s="1" t="s">
        <v>305</v>
      </c>
      <c r="BH25" s="1" t="str">
        <f>BB25</f>
        <v>Debt Ratio</v>
      </c>
      <c r="BI25" s="81">
        <v>0.3</v>
      </c>
      <c r="BJ25" s="1">
        <v>0.3</v>
      </c>
      <c r="BK25" s="1">
        <v>0.3</v>
      </c>
    </row>
    <row r="26" spans="2:2">
      <c r="B26" s="8"/>
    </row>
    <row r="27" spans="54:54">
      <c r="BB27" s="2" t="str">
        <f>BF17</f>
        <v>  ||  Overall trade receivables has seen a marginal decline by 42.57% over the years.</v>
      </c>
    </row>
    <row r="29" spans="55:63">
      <c r="BC29" s="2" t="s">
        <v>301</v>
      </c>
      <c r="BD29" s="2" t="s">
        <v>302</v>
      </c>
      <c r="BE29" s="2" t="s">
        <v>303</v>
      </c>
      <c r="BF29" s="2" t="s">
        <v>304</v>
      </c>
      <c r="BI29" s="2" t="str">
        <f>BC29</f>
        <v>OVERALL</v>
      </c>
      <c r="BJ29" s="2" t="str">
        <f>BD29</f>
        <v>Y3-y2</v>
      </c>
      <c r="BK29" s="2" t="str">
        <f>BE29</f>
        <v>y2-y1</v>
      </c>
    </row>
    <row r="30" ht="39.75" customHeight="1" spans="54:63">
      <c r="BB30" s="2" t="str">
        <f>AI68</f>
        <v>Labour Cost Competitiveness</v>
      </c>
      <c r="BC30" s="1" t="str">
        <f>IF(AI69="","",IF((AI71-AI69)&gt;0,IF((AI71-AI69)&gt;$BI$30,"Overall labour cost competitiveness recorded significant improvement over the 3 years.","Overall labour cost competitiveness recorded an improvement over the 3 years."),IF((AI71-AI69)&lt;-$BI$30,"Overall labour cost competitiveness has seen a significant downward trend over the years.","Overall labour cost competitiveness has seen a drop over the years.")))</f>
        <v>Overall labour cost competitiveness recorded an improvement over the 3 years.</v>
      </c>
      <c r="BD30" s="1" t="str">
        <f>IF(AND(AI69="",(AI71-AI70)&lt;0),IF((AI71-AI70)&lt;-$BJ$30,"Overall labour cost competitiveness reflected a significant increasing trend by "&amp;ROUND((AI71-AI70)/AI70*100,2)&amp;"%.","Overall labour cost competitiveness reflected a slightly increasing trend by "&amp;ROUND((AI71-AI70)/AI70*100,2)&amp;"%."),IF(AND(AI69="",(AI71-AI70)&gt;0),IF((AI71-AI70)&gt;$BJ$30,"Overall labour cost competitiveness has seen a significant decline by "&amp;ROUND((AI71-AI70)/AI70*100,2)&amp;"% over the years.","Overall labour cost competitiveness has seen a marginal decline by "&amp;ROUND((AI71-AI70)/AI70*100,2)&amp;"% over the years."),IF(AI71&gt;AI70,"Experienced a year on year increase by "&amp;ROUND((AI71-AI70)/AI70*100,2)&amp;"% from the recent year to the previous year.","Experienced a year on year decrease by "&amp;ROUND((AI71-AI70)/AI70*100,2)&amp;"% from the recent year to the previous year.")))</f>
        <v>Experienced a year on year increase by 131.49% from the recent year to the previous year.</v>
      </c>
      <c r="BE30" s="1" t="str">
        <f>IF(AI69="","",IF((AI70-AI69)&lt;0,IF((AI70-AI69)&lt;-$BK$30,"Records have also indicated that from "&amp;$D$19&amp;" to "&amp;$D$20&amp;", the per unit labour cost saw a significant year on year increase by "&amp;ROUND((AI70-AI69)/AI69*100,2)&amp;"%.","Records have also indicated that from "&amp;$D$19&amp;" to "&amp;$D$20&amp;", the per unit labour cost saw a year on year increase by "&amp;ROUND((AI70-AI69)/AI69*100,2)&amp;"%."),IF((AI70-AI69)&gt;0,IF((AI70-AI69)&gt;$BK$30,"Records have also indicated that from "&amp;$D$19&amp;" to "&amp;$D$20&amp;", the per unit labour cost saw a significant year on year decrease by "&amp;ROUND((AI70-AI69)/AI69*100,2)&amp;"%.","Records have also indicated that from "&amp;$D$19&amp;" to "&amp;$D$20&amp;", the per unit labour cost saw a year on year decrease by "&amp;ROUND((AI70-AI69)/AI69*100,2)&amp;"%."))))</f>
        <v>Records have also indicated that from Year 1 to Year 2, the per unit labour cost saw a year on year decrease by 91.43%.</v>
      </c>
      <c r="BF30" s="1" t="str">
        <f>IF($AI$43="",BD30,IF(BC30="","",BC30)&amp;IF(BD30="","","  ||  "&amp;BD30)&amp;IF(BE30="","","  ||  "&amp;BE30))</f>
        <v>Overall labour cost competitiveness recorded an improvement over the 3 years.  ||  Experienced a year on year increase by 131.49% from the recent year to the previous year.  ||  Records have also indicated that from Year 1 to Year 2, the per unit labour cost saw a year on year decrease by 91.43%.</v>
      </c>
      <c r="BG30" s="1" t="s">
        <v>305</v>
      </c>
      <c r="BH30" s="1" t="str">
        <f>BB30</f>
        <v>Labour Cost Competitiveness</v>
      </c>
      <c r="BI30" s="1">
        <v>0.5</v>
      </c>
      <c r="BJ30" s="1">
        <v>0.3</v>
      </c>
      <c r="BK30" s="1">
        <v>0.3</v>
      </c>
    </row>
    <row r="40" ht="13.5" spans="4:44">
      <c r="D40" s="10" t="s">
        <v>316</v>
      </c>
      <c r="E40" s="10"/>
      <c r="F40" s="10"/>
      <c r="G40" s="10"/>
      <c r="H40" s="10"/>
      <c r="I40" s="10"/>
      <c r="J40" s="10"/>
      <c r="K40" s="10"/>
      <c r="L40" s="10"/>
      <c r="M40" s="10"/>
      <c r="N40" s="10"/>
      <c r="O40" s="10"/>
      <c r="P40" s="10"/>
      <c r="Q40" s="10"/>
      <c r="R40" s="10"/>
      <c r="S40" s="10"/>
      <c r="T40" s="10"/>
      <c r="U40" s="10"/>
      <c r="V40" s="35"/>
      <c r="W40" s="35"/>
      <c r="AE40" s="49" t="s">
        <v>317</v>
      </c>
      <c r="AF40" s="49"/>
      <c r="AG40" s="49"/>
      <c r="AH40" s="49"/>
      <c r="AI40" s="49"/>
      <c r="AJ40" s="49"/>
      <c r="AK40" s="49"/>
      <c r="AL40" s="49"/>
      <c r="AM40" s="49"/>
      <c r="AN40" s="49"/>
      <c r="AO40" s="49"/>
      <c r="AP40" s="49"/>
      <c r="AQ40" s="49"/>
      <c r="AR40" s="49"/>
    </row>
    <row r="41" ht="14.25" spans="31:44">
      <c r="AE41" s="43"/>
      <c r="AF41" s="43"/>
      <c r="AG41" s="43"/>
      <c r="AH41" s="43"/>
      <c r="AI41" s="43"/>
      <c r="AJ41" s="43"/>
      <c r="AK41" s="43"/>
      <c r="AL41" s="43"/>
      <c r="AM41" s="43"/>
      <c r="AN41" s="43"/>
      <c r="AO41" s="43"/>
      <c r="AP41" s="43"/>
      <c r="AQ41" s="43"/>
      <c r="AR41" s="43"/>
    </row>
    <row r="42" ht="13.5" customHeight="1" spans="4:44">
      <c r="D42" s="11"/>
      <c r="E42" s="22"/>
      <c r="F42" s="22"/>
      <c r="G42" s="22"/>
      <c r="H42" s="22" t="s">
        <v>318</v>
      </c>
      <c r="I42" s="22"/>
      <c r="J42" s="22"/>
      <c r="K42" s="22"/>
      <c r="L42" s="22" t="s">
        <v>319</v>
      </c>
      <c r="M42" s="22"/>
      <c r="N42" s="22"/>
      <c r="O42" s="22"/>
      <c r="P42" s="22" t="s">
        <v>320</v>
      </c>
      <c r="Q42" s="22"/>
      <c r="R42" s="22"/>
      <c r="S42" s="22"/>
      <c r="T42" s="22" t="s">
        <v>321</v>
      </c>
      <c r="U42" s="22"/>
      <c r="V42" s="22"/>
      <c r="W42" s="36"/>
      <c r="AE42" s="50"/>
      <c r="AF42" s="51"/>
      <c r="AG42" s="51"/>
      <c r="AH42" s="51"/>
      <c r="AI42" s="61" t="s">
        <v>280</v>
      </c>
      <c r="AJ42" s="61"/>
      <c r="AK42" s="61"/>
      <c r="AL42" s="61"/>
      <c r="AM42" s="61"/>
      <c r="AN42" s="61" t="s">
        <v>285</v>
      </c>
      <c r="AO42" s="61"/>
      <c r="AP42" s="61"/>
      <c r="AQ42" s="61"/>
      <c r="AR42" s="70"/>
    </row>
    <row r="43" spans="4:44">
      <c r="D43" s="12" t="str">
        <f>[1]FS_inputs!$AC$8</f>
        <v>Year 1</v>
      </c>
      <c r="E43" s="16"/>
      <c r="F43" s="16"/>
      <c r="G43" s="16"/>
      <c r="H43" s="23" t="str">
        <f>Ratios!C66</f>
        <v/>
      </c>
      <c r="I43" s="23"/>
      <c r="J43" s="23"/>
      <c r="K43" s="23"/>
      <c r="L43" s="31" t="str">
        <f>Ratios!C73</f>
        <v/>
      </c>
      <c r="M43" s="31"/>
      <c r="N43" s="31"/>
      <c r="O43" s="31"/>
      <c r="P43" s="31">
        <f>Ratios!C78</f>
        <v>8.67521367521367</v>
      </c>
      <c r="Q43" s="31"/>
      <c r="R43" s="31"/>
      <c r="S43" s="31"/>
      <c r="T43" s="23">
        <f>Ratios!C83</f>
        <v>126.875</v>
      </c>
      <c r="U43" s="23"/>
      <c r="V43" s="23"/>
      <c r="W43" s="37"/>
      <c r="AE43" s="52" t="str">
        <f>[1]FS_inputs!$AC$8</f>
        <v>Year 1</v>
      </c>
      <c r="AF43" s="16"/>
      <c r="AG43" s="16"/>
      <c r="AH43" s="16"/>
      <c r="AI43" s="62">
        <f>[1]Ratios!D102</f>
        <v>1.17</v>
      </c>
      <c r="AJ43" s="63"/>
      <c r="AK43" s="63"/>
      <c r="AL43" s="63"/>
      <c r="AM43" s="63"/>
      <c r="AN43" s="62">
        <f>[1]Ratios!D107</f>
        <v>1</v>
      </c>
      <c r="AO43" s="63"/>
      <c r="AP43" s="63"/>
      <c r="AQ43" s="63"/>
      <c r="AR43" s="71"/>
    </row>
    <row r="44" spans="4:44">
      <c r="D44" s="12" t="str">
        <f>[1]FS_inputs!$AI$8</f>
        <v>Year 2</v>
      </c>
      <c r="E44" s="16"/>
      <c r="F44" s="16"/>
      <c r="G44" s="16"/>
      <c r="H44" s="23">
        <f>Ratios!D66</f>
        <v>4.03893442622951</v>
      </c>
      <c r="I44" s="23"/>
      <c r="J44" s="23"/>
      <c r="K44" s="23"/>
      <c r="L44" s="31">
        <f>Ratios!D73</f>
        <v>9.125</v>
      </c>
      <c r="M44" s="31"/>
      <c r="N44" s="31"/>
      <c r="O44" s="31"/>
      <c r="P44" s="31">
        <f>Ratios!D78</f>
        <v>10.4273504273504</v>
      </c>
      <c r="Q44" s="31"/>
      <c r="R44" s="31"/>
      <c r="S44" s="31"/>
      <c r="T44" s="23">
        <f>Ratios!D83</f>
        <v>187.692307692308</v>
      </c>
      <c r="U44" s="23"/>
      <c r="V44" s="23"/>
      <c r="W44" s="37"/>
      <c r="AE44" s="52" t="str">
        <f>[1]FS_inputs!$AI$8</f>
        <v>Year 2</v>
      </c>
      <c r="AF44" s="16"/>
      <c r="AG44" s="16"/>
      <c r="AH44" s="16"/>
      <c r="AI44" s="62">
        <f>[1]Ratios!F102</f>
        <v>1.17</v>
      </c>
      <c r="AJ44" s="63"/>
      <c r="AK44" s="63"/>
      <c r="AL44" s="63"/>
      <c r="AM44" s="63"/>
      <c r="AN44" s="62">
        <f>[1]Ratios!F107</f>
        <v>1</v>
      </c>
      <c r="AO44" s="63"/>
      <c r="AP44" s="63"/>
      <c r="AQ44" s="63"/>
      <c r="AR44" s="71"/>
    </row>
    <row r="45" spans="4:44">
      <c r="D45" s="12" t="str">
        <f>[1]FS_inputs!$AO$8</f>
        <v>Year 3 
(most recent)</v>
      </c>
      <c r="E45" s="16"/>
      <c r="F45" s="16"/>
      <c r="G45" s="16"/>
      <c r="H45" s="23">
        <f>Ratios!E66</f>
        <v>2.31952211489578</v>
      </c>
      <c r="I45" s="23"/>
      <c r="J45" s="23"/>
      <c r="K45" s="23"/>
      <c r="L45" s="31">
        <f>Ratios!E73</f>
        <v>7.33258928571429</v>
      </c>
      <c r="M45" s="31"/>
      <c r="N45" s="31"/>
      <c r="O45" s="31"/>
      <c r="P45" s="31">
        <f>Ratios!E78</f>
        <v>16.9568965517241</v>
      </c>
      <c r="Q45" s="31"/>
      <c r="R45" s="31"/>
      <c r="S45" s="31"/>
      <c r="T45" s="23">
        <f>Ratios!E83</f>
        <v>281</v>
      </c>
      <c r="U45" s="23"/>
      <c r="V45" s="23"/>
      <c r="W45" s="37"/>
      <c r="AE45" s="52" t="str">
        <f>[1]FS_inputs!$AO$8</f>
        <v>Year 3 
(most recent)</v>
      </c>
      <c r="AF45" s="16"/>
      <c r="AG45" s="16"/>
      <c r="AH45" s="16"/>
      <c r="AI45" s="62">
        <f>[1]Ratios!H102</f>
        <v>1.16</v>
      </c>
      <c r="AJ45" s="63"/>
      <c r="AK45" s="63"/>
      <c r="AL45" s="63"/>
      <c r="AM45" s="63"/>
      <c r="AN45" s="62">
        <f>[1]Ratios!H107</f>
        <v>1</v>
      </c>
      <c r="AO45" s="63"/>
      <c r="AP45" s="63"/>
      <c r="AQ45" s="63"/>
      <c r="AR45" s="71"/>
    </row>
    <row r="46" ht="13.5" spans="4:44">
      <c r="D46" s="13" t="s">
        <v>315</v>
      </c>
      <c r="E46" s="24"/>
      <c r="F46" s="24"/>
      <c r="G46" s="24"/>
      <c r="H46" s="25">
        <v>40</v>
      </c>
      <c r="I46" s="25"/>
      <c r="J46" s="25"/>
      <c r="K46" s="25"/>
      <c r="L46" s="32">
        <v>120</v>
      </c>
      <c r="M46" s="32"/>
      <c r="N46" s="32"/>
      <c r="O46" s="32"/>
      <c r="P46" s="32">
        <v>1</v>
      </c>
      <c r="Q46" s="32"/>
      <c r="R46" s="32"/>
      <c r="S46" s="32"/>
      <c r="T46" s="25"/>
      <c r="U46" s="25"/>
      <c r="V46" s="25"/>
      <c r="W46" s="38"/>
      <c r="AE46" s="53" t="s">
        <v>315</v>
      </c>
      <c r="AF46" s="54"/>
      <c r="AG46" s="54"/>
      <c r="AH46" s="54"/>
      <c r="AI46" s="64">
        <v>0.8</v>
      </c>
      <c r="AJ46" s="64"/>
      <c r="AK46" s="64"/>
      <c r="AL46" s="64"/>
      <c r="AM46" s="64"/>
      <c r="AN46" s="64">
        <f>[1]Univrules!D72</f>
        <v>1.25</v>
      </c>
      <c r="AO46" s="64"/>
      <c r="AP46" s="64"/>
      <c r="AQ46" s="64"/>
      <c r="AR46" s="72"/>
    </row>
    <row r="47" ht="13.5"/>
    <row r="66" ht="13.5" spans="31:44">
      <c r="AE66" s="49" t="s">
        <v>317</v>
      </c>
      <c r="AF66" s="49"/>
      <c r="AG66" s="49"/>
      <c r="AH66" s="49"/>
      <c r="AI66" s="49"/>
      <c r="AJ66" s="49"/>
      <c r="AK66" s="49"/>
      <c r="AL66" s="49"/>
      <c r="AM66" s="49"/>
      <c r="AN66" s="49"/>
      <c r="AO66" s="49"/>
      <c r="AP66" s="49"/>
      <c r="AQ66" s="49"/>
      <c r="AR66" s="49"/>
    </row>
    <row r="67" ht="14.25" spans="31:44">
      <c r="AE67" s="43"/>
      <c r="AF67" s="43"/>
      <c r="AG67" s="43"/>
      <c r="AH67" s="43"/>
      <c r="AI67" s="43"/>
      <c r="AJ67" s="43"/>
      <c r="AK67" s="43"/>
      <c r="AL67" s="43"/>
      <c r="AM67" s="43"/>
      <c r="AN67" s="43"/>
      <c r="AO67" s="43"/>
      <c r="AP67" s="43"/>
      <c r="AQ67" s="43"/>
      <c r="AR67" s="43"/>
    </row>
    <row r="68" ht="13.5" customHeight="1" spans="31:54">
      <c r="AE68" s="50"/>
      <c r="AF68" s="51"/>
      <c r="AG68" s="51"/>
      <c r="AH68" s="51"/>
      <c r="AI68" s="61" t="str">
        <f>[1]Ratios!C109</f>
        <v>Labour Cost Competitiveness</v>
      </c>
      <c r="AJ68" s="61"/>
      <c r="AK68" s="61"/>
      <c r="AL68" s="61"/>
      <c r="AM68" s="70"/>
      <c r="AW68" s="2"/>
      <c r="BB68" s="1"/>
    </row>
    <row r="69" spans="31:54">
      <c r="AE69" s="52" t="str">
        <f>[1]FS_inputs!$AC$8</f>
        <v>Year 1</v>
      </c>
      <c r="AF69" s="16"/>
      <c r="AG69" s="16"/>
      <c r="AH69" s="16"/>
      <c r="AI69" s="62">
        <f>[1]Ratios!D112</f>
        <v>0.0210610606747644</v>
      </c>
      <c r="AJ69" s="63"/>
      <c r="AK69" s="63"/>
      <c r="AL69" s="63"/>
      <c r="AM69" s="71"/>
      <c r="AW69" s="2"/>
      <c r="BB69" s="1"/>
    </row>
    <row r="70" spans="31:54">
      <c r="AE70" s="52" t="str">
        <f>[1]FS_inputs!$AI$8</f>
        <v>Year 2</v>
      </c>
      <c r="AF70" s="16"/>
      <c r="AG70" s="16"/>
      <c r="AH70" s="16"/>
      <c r="AI70" s="62">
        <f>[1]Ratios!F112</f>
        <v>0.0403175950675635</v>
      </c>
      <c r="AJ70" s="63"/>
      <c r="AK70" s="63"/>
      <c r="AL70" s="63"/>
      <c r="AM70" s="71"/>
      <c r="AW70" s="2"/>
      <c r="BB70" s="1"/>
    </row>
    <row r="71" spans="31:54">
      <c r="AE71" s="52" t="str">
        <f>[1]FS_inputs!$AO$8</f>
        <v>Year 3 
(most recent)</v>
      </c>
      <c r="AF71" s="16"/>
      <c r="AG71" s="16"/>
      <c r="AH71" s="16"/>
      <c r="AI71" s="62">
        <f>[1]Ratios!H112</f>
        <v>0.0933321940578929</v>
      </c>
      <c r="AJ71" s="63"/>
      <c r="AK71" s="63"/>
      <c r="AL71" s="63"/>
      <c r="AM71" s="71"/>
      <c r="AW71" s="2"/>
      <c r="BB71" s="1"/>
    </row>
    <row r="72" ht="13.5" spans="31:54">
      <c r="AE72" s="53" t="s">
        <v>315</v>
      </c>
      <c r="AF72" s="54"/>
      <c r="AG72" s="54"/>
      <c r="AH72" s="54"/>
      <c r="AI72" s="64">
        <f>[1]Univrules!D98</f>
        <v>0</v>
      </c>
      <c r="AJ72" s="64"/>
      <c r="AK72" s="64"/>
      <c r="AL72" s="64"/>
      <c r="AM72" s="72"/>
      <c r="AW72" s="2"/>
      <c r="BB72" s="1"/>
    </row>
    <row r="73" ht="13.5"/>
  </sheetData>
  <mergeCells count="111">
    <mergeCell ref="A1:N1"/>
    <mergeCell ref="AU1:AY1"/>
    <mergeCell ref="BI1:BJ1"/>
    <mergeCell ref="BH2:BK2"/>
    <mergeCell ref="D16:O16"/>
    <mergeCell ref="AE16:AL16"/>
    <mergeCell ref="D18:G18"/>
    <mergeCell ref="H18:J18"/>
    <mergeCell ref="K18:M18"/>
    <mergeCell ref="N18:P18"/>
    <mergeCell ref="Q18:S18"/>
    <mergeCell ref="T18:V18"/>
    <mergeCell ref="W18:Y18"/>
    <mergeCell ref="AE18:AH18"/>
    <mergeCell ref="AI18:AL18"/>
    <mergeCell ref="AM18:AP18"/>
    <mergeCell ref="AQ18:AU18"/>
    <mergeCell ref="D19:G19"/>
    <mergeCell ref="H19:J19"/>
    <mergeCell ref="K19:M19"/>
    <mergeCell ref="N19:P19"/>
    <mergeCell ref="Q19:S19"/>
    <mergeCell ref="T19:V19"/>
    <mergeCell ref="W19:Y19"/>
    <mergeCell ref="AE19:AH19"/>
    <mergeCell ref="AI19:AL19"/>
    <mergeCell ref="AM19:AP19"/>
    <mergeCell ref="AQ19:AU19"/>
    <mergeCell ref="D20:G20"/>
    <mergeCell ref="H20:J20"/>
    <mergeCell ref="K20:M20"/>
    <mergeCell ref="N20:P20"/>
    <mergeCell ref="Q20:S20"/>
    <mergeCell ref="T20:V20"/>
    <mergeCell ref="W20:Y20"/>
    <mergeCell ref="AE20:AH20"/>
    <mergeCell ref="AI20:AL20"/>
    <mergeCell ref="AM20:AP20"/>
    <mergeCell ref="AQ20:AU20"/>
    <mergeCell ref="D21:G21"/>
    <mergeCell ref="H21:J21"/>
    <mergeCell ref="K21:M21"/>
    <mergeCell ref="N21:P21"/>
    <mergeCell ref="Q21:S21"/>
    <mergeCell ref="T21:V21"/>
    <mergeCell ref="W21:Y21"/>
    <mergeCell ref="AE21:AH21"/>
    <mergeCell ref="AI21:AL21"/>
    <mergeCell ref="AM21:AP21"/>
    <mergeCell ref="AQ21:AU21"/>
    <mergeCell ref="D22:G22"/>
    <mergeCell ref="H22:J22"/>
    <mergeCell ref="K22:M22"/>
    <mergeCell ref="N22:P22"/>
    <mergeCell ref="Q22:S22"/>
    <mergeCell ref="T22:V22"/>
    <mergeCell ref="W22:Y22"/>
    <mergeCell ref="AE22:AH22"/>
    <mergeCell ref="AI22:AL22"/>
    <mergeCell ref="AM22:AP22"/>
    <mergeCell ref="AQ22:AU22"/>
    <mergeCell ref="D42:G42"/>
    <mergeCell ref="H42:K42"/>
    <mergeCell ref="L42:O42"/>
    <mergeCell ref="P42:S42"/>
    <mergeCell ref="T42:W42"/>
    <mergeCell ref="AE42:AH42"/>
    <mergeCell ref="AI42:AM42"/>
    <mergeCell ref="AN42:AR42"/>
    <mergeCell ref="D43:G43"/>
    <mergeCell ref="H43:K43"/>
    <mergeCell ref="L43:O43"/>
    <mergeCell ref="P43:S43"/>
    <mergeCell ref="T43:W43"/>
    <mergeCell ref="AE43:AH43"/>
    <mergeCell ref="AI43:AM43"/>
    <mergeCell ref="AN43:AR43"/>
    <mergeCell ref="D44:G44"/>
    <mergeCell ref="H44:K44"/>
    <mergeCell ref="L44:O44"/>
    <mergeCell ref="P44:S44"/>
    <mergeCell ref="T44:W44"/>
    <mergeCell ref="AE44:AH44"/>
    <mergeCell ref="AI44:AM44"/>
    <mergeCell ref="AN44:AR44"/>
    <mergeCell ref="D45:G45"/>
    <mergeCell ref="H45:K45"/>
    <mergeCell ref="L45:O45"/>
    <mergeCell ref="P45:S45"/>
    <mergeCell ref="T45:W45"/>
    <mergeCell ref="AE45:AH45"/>
    <mergeCell ref="AI45:AM45"/>
    <mergeCell ref="AN45:AR45"/>
    <mergeCell ref="D46:G46"/>
    <mergeCell ref="H46:K46"/>
    <mergeCell ref="L46:O46"/>
    <mergeCell ref="P46:S46"/>
    <mergeCell ref="T46:W46"/>
    <mergeCell ref="AE46:AH46"/>
    <mergeCell ref="AI46:AM46"/>
    <mergeCell ref="AN46:AR46"/>
    <mergeCell ref="AE68:AH68"/>
    <mergeCell ref="AI68:AM68"/>
    <mergeCell ref="AE69:AH69"/>
    <mergeCell ref="AI69:AM69"/>
    <mergeCell ref="AE70:AH70"/>
    <mergeCell ref="AI70:AM70"/>
    <mergeCell ref="AE71:AH71"/>
    <mergeCell ref="AI71:AM71"/>
    <mergeCell ref="AE72:AH72"/>
    <mergeCell ref="AI72:AM7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B3" sqref="B3"/>
    </sheetView>
  </sheetViews>
  <sheetFormatPr defaultColWidth="9" defaultRowHeight="12.75" outlineLevelRow="4" outlineLevelCol="1"/>
  <cols>
    <col min="1" max="1" width="18.7142857142857" customWidth="1"/>
    <col min="2" max="2" width="36.5714285714286" customWidth="1"/>
  </cols>
  <sheetData>
    <row r="2" spans="1:2">
      <c r="A2" t="s">
        <v>322</v>
      </c>
      <c r="B2" t="s">
        <v>323</v>
      </c>
    </row>
    <row r="3" spans="1:1">
      <c r="A3" t="s">
        <v>324</v>
      </c>
    </row>
    <row r="4" spans="1:2">
      <c r="A4" t="s">
        <v>325</v>
      </c>
      <c r="B4">
        <v>30</v>
      </c>
    </row>
    <row r="5" spans="1:1">
      <c r="A5"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FS_inputs</vt:lpstr>
      <vt:lpstr>PD2_inputs</vt:lpstr>
      <vt:lpstr>PD3_inputs</vt:lpstr>
      <vt:lpstr>Ratios</vt:lpstr>
      <vt:lpstr>ProductivityIndicators</vt:lpstr>
      <vt:lpstr>Profit&amp;Loss</vt:lpstr>
      <vt:lpstr>FinancialAnalysisReport</vt:lpstr>
      <vt:lpstr>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lioneil</cp:lastModifiedBy>
  <dcterms:created xsi:type="dcterms:W3CDTF">2020-03-11T08:30:00Z</dcterms:created>
  <dcterms:modified xsi:type="dcterms:W3CDTF">2020-03-10T20:02:57Z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