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Grannus-Expansion-Pack\"/>
    </mc:Choice>
  </mc:AlternateContent>
  <xr:revisionPtr revIDLastSave="0" documentId="13_ncr:1_{76D0A3CE-539A-47FC-8D23-A5194F9C28D9}" xr6:coauthVersionLast="46" xr6:coauthVersionMax="46" xr10:uidLastSave="{00000000-0000-0000-0000-000000000000}"/>
  <bookViews>
    <workbookView xWindow="2085" yWindow="825" windowWidth="18675" windowHeight="19155" activeTab="3" xr2:uid="{CCF496B2-B669-4137-9B43-48A069A2A925}"/>
  </bookViews>
  <sheets>
    <sheet name="GEP_SpaceDust" sheetId="2" r:id="rId1"/>
    <sheet name="Details" sheetId="3" r:id="rId2"/>
    <sheet name="Atmo" sheetId="4" r:id="rId3"/>
    <sheet name="Ring" sheetId="5" r:id="rId4"/>
  </sheets>
  <definedNames>
    <definedName name="_xlnm._FilterDatabase" localSheetId="2" hidden="1">Atmo!$A$2:$U$7</definedName>
    <definedName name="_xlnm._FilterDatabase" localSheetId="1" hidden="1">Details!$A$1:$I$50</definedName>
    <definedName name="_xlnm._FilterDatabase" localSheetId="0" hidden="1">GEP_SpaceDust!$A$2:$T$24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5" l="1"/>
  <c r="B15" i="5"/>
  <c r="C8" i="5"/>
  <c r="B8" i="5"/>
  <c r="B9" i="5" s="1"/>
  <c r="C3" i="5"/>
  <c r="C5" i="5" s="1"/>
  <c r="C7" i="5" s="1"/>
  <c r="B3" i="5"/>
  <c r="B5" i="5"/>
  <c r="B7" i="5" s="1"/>
  <c r="D3" i="4"/>
  <c r="Q3" i="4" s="1"/>
  <c r="Q4" i="4"/>
  <c r="Q5" i="4"/>
  <c r="Z5" i="4" s="1"/>
  <c r="Q6" i="4"/>
  <c r="Z6" i="4" s="1"/>
  <c r="R6" i="4"/>
  <c r="Q7" i="4"/>
  <c r="H2" i="3"/>
  <c r="H3" i="3"/>
  <c r="H5" i="3"/>
  <c r="H6" i="3"/>
  <c r="H8" i="3"/>
  <c r="H10" i="3"/>
  <c r="H11" i="3"/>
  <c r="H12" i="3"/>
  <c r="H13" i="3"/>
  <c r="H14" i="3"/>
  <c r="H15" i="3"/>
  <c r="H16" i="3"/>
  <c r="H17" i="3"/>
  <c r="H18" i="3"/>
  <c r="H20" i="3"/>
  <c r="H21" i="3"/>
  <c r="H23" i="3"/>
  <c r="H24" i="3"/>
  <c r="H26" i="3"/>
  <c r="H28" i="3"/>
  <c r="H29" i="3"/>
  <c r="H30" i="3"/>
  <c r="H31" i="3"/>
  <c r="H36" i="3"/>
  <c r="H37" i="3"/>
  <c r="H39" i="3"/>
  <c r="H40" i="3"/>
  <c r="H42" i="3"/>
  <c r="H43" i="3"/>
  <c r="H45" i="3"/>
  <c r="H46" i="3"/>
  <c r="H48" i="3"/>
  <c r="H49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T24" i="2"/>
  <c r="Y7" i="4" l="1"/>
  <c r="Z7" i="4"/>
  <c r="X4" i="4"/>
  <c r="Z4" i="4"/>
  <c r="W3" i="4"/>
  <c r="Z3" i="4"/>
  <c r="V5" i="4"/>
  <c r="S6" i="4"/>
  <c r="Y6" i="4"/>
  <c r="T5" i="4"/>
  <c r="Y5" i="4"/>
  <c r="R4" i="4"/>
  <c r="W4" i="4"/>
  <c r="T4" i="4"/>
  <c r="S4" i="4"/>
  <c r="U4" i="4"/>
  <c r="U6" i="4"/>
  <c r="C9" i="5"/>
  <c r="S3" i="4"/>
  <c r="R3" i="4"/>
  <c r="U3" i="4"/>
  <c r="S7" i="4"/>
  <c r="S5" i="4"/>
  <c r="R7" i="4"/>
  <c r="R5" i="4"/>
  <c r="U5" i="4"/>
  <c r="U7" i="4"/>
  <c r="T6" i="4" l="1"/>
  <c r="N6" i="4" s="1"/>
  <c r="T3" i="4"/>
  <c r="N3" i="4" s="1"/>
  <c r="T7" i="4"/>
  <c r="N7" i="4" s="1"/>
</calcChain>
</file>

<file path=xl/sharedStrings.xml><?xml version="1.0" encoding="utf-8"?>
<sst xmlns="http://schemas.openxmlformats.org/spreadsheetml/2006/main" count="633" uniqueCount="141">
  <si>
    <t>Total</t>
  </si>
  <si>
    <t>RR</t>
  </si>
  <si>
    <t>--</t>
  </si>
  <si>
    <t>ExoIce</t>
  </si>
  <si>
    <t>Exo</t>
  </si>
  <si>
    <t>Cernunnos</t>
  </si>
  <si>
    <t>-</t>
  </si>
  <si>
    <t>ExoRock</t>
  </si>
  <si>
    <t>RAB-58E</t>
  </si>
  <si>
    <t>12.6.2</t>
  </si>
  <si>
    <t>Rosmerta</t>
  </si>
  <si>
    <t>12.6.1</t>
  </si>
  <si>
    <t>GEP</t>
  </si>
  <si>
    <t>Epona</t>
  </si>
  <si>
    <t>RR/GEP</t>
  </si>
  <si>
    <t>AtmIceWaterThick</t>
  </si>
  <si>
    <t>Atm</t>
  </si>
  <si>
    <t>Damona</t>
  </si>
  <si>
    <t>12.5.3</t>
  </si>
  <si>
    <t>Brovo</t>
  </si>
  <si>
    <t>12.5.2</t>
  </si>
  <si>
    <t>Airmed</t>
  </si>
  <si>
    <t>12.5.1</t>
  </si>
  <si>
    <t>*</t>
  </si>
  <si>
    <t>None</t>
  </si>
  <si>
    <t>Sirona</t>
  </si>
  <si>
    <t>AtmGasUranian</t>
  </si>
  <si>
    <t>Caireen</t>
  </si>
  <si>
    <t>12.4.1</t>
  </si>
  <si>
    <t>Sucellus</t>
  </si>
  <si>
    <t>Belisama</t>
  </si>
  <si>
    <t>12.3.1</t>
  </si>
  <si>
    <t>Nodens</t>
  </si>
  <si>
    <t>AtmTerra</t>
  </si>
  <si>
    <t>Toutatis</t>
  </si>
  <si>
    <t>AtmIceWaterThin</t>
  </si>
  <si>
    <t>Taranis</t>
  </si>
  <si>
    <t>StarPop1</t>
  </si>
  <si>
    <t>Grannus</t>
  </si>
  <si>
    <t>Notes</t>
  </si>
  <si>
    <t>Water</t>
  </si>
  <si>
    <t>Rock</t>
  </si>
  <si>
    <t>LqdNitrogen</t>
  </si>
  <si>
    <t>LqdMethane</t>
  </si>
  <si>
    <t>LqdCO2</t>
  </si>
  <si>
    <t>LqdAmmonia</t>
  </si>
  <si>
    <t>LqdHe3</t>
  </si>
  <si>
    <t>LqdDeuterium</t>
  </si>
  <si>
    <t>Antimatter</t>
  </si>
  <si>
    <t>ArgonGas</t>
  </si>
  <si>
    <t>LqdHydrogen</t>
  </si>
  <si>
    <t>XenonGas</t>
  </si>
  <si>
    <t>Oxidizer</t>
  </si>
  <si>
    <t>LiquidFuel</t>
  </si>
  <si>
    <t>RR Template</t>
  </si>
  <si>
    <t>Type</t>
  </si>
  <si>
    <t>Body</t>
  </si>
  <si>
    <t>#</t>
  </si>
  <si>
    <t>DustBunnies</t>
  </si>
  <si>
    <t>SpaceDust</t>
  </si>
  <si>
    <t>Atmosphere height</t>
  </si>
  <si>
    <t>dunaAtmo</t>
  </si>
  <si>
    <t>altUpperBound</t>
  </si>
  <si>
    <t>eponaAtmo</t>
  </si>
  <si>
    <t>Expected density according to atmospheric composition</t>
  </si>
  <si>
    <t>maxAbundance</t>
  </si>
  <si>
    <t>minAbundance</t>
  </si>
  <si>
    <t>brovoAtmo</t>
  </si>
  <si>
    <t>sironaAtmo</t>
  </si>
  <si>
    <t>toutatisAtmo</t>
  </si>
  <si>
    <t>kerbinAtmo</t>
  </si>
  <si>
    <t>nodensAtmo</t>
  </si>
  <si>
    <t>altPeak</t>
  </si>
  <si>
    <t>TBD</t>
  </si>
  <si>
    <t>SunExo</t>
  </si>
  <si>
    <t>grannusExo</t>
  </si>
  <si>
    <t>Scaled based on radius of Nodens vs stock Kerbin</t>
  </si>
  <si>
    <t>kerbinExo</t>
  </si>
  <si>
    <t>nodensExo</t>
  </si>
  <si>
    <t>joolExo</t>
  </si>
  <si>
    <t>sironaExo</t>
  </si>
  <si>
    <t>Scaled to cover most of the SOI</t>
  </si>
  <si>
    <t>joolAtmo</t>
  </si>
  <si>
    <t>Scaled based on relative atmo composition of Sirona vs JNSQ Jool (83% vs 90% H2)</t>
  </si>
  <si>
    <t>Scaled based on relative atmo composition of Nodens vs JNSQ Kerbin (15% vs 21% O2)</t>
  </si>
  <si>
    <t>Scaled based on atmosphere height of Sirona vs stock Jool</t>
  </si>
  <si>
    <t>altLowerBound</t>
  </si>
  <si>
    <t>kerbRingHigher</t>
  </si>
  <si>
    <t>nodensRingHigher</t>
  </si>
  <si>
    <t>kerbRing</t>
  </si>
  <si>
    <t>nodensRing</t>
  </si>
  <si>
    <t>Scaled based on relative atmo composition of Sirona vs JNSQ Jool (15% vs 10% He)</t>
  </si>
  <si>
    <t>New Value</t>
  </si>
  <si>
    <t>Original Value</t>
  </si>
  <si>
    <t>Original Band</t>
  </si>
  <si>
    <t>Source</t>
  </si>
  <si>
    <t>Variable</t>
  </si>
  <si>
    <t>Band</t>
  </si>
  <si>
    <t>Resource</t>
  </si>
  <si>
    <t>datum</t>
  </si>
  <si>
    <t>125 km</t>
  </si>
  <si>
    <t>sea level</t>
  </si>
  <si>
    <t>Ar</t>
  </si>
  <si>
    <t>Xe</t>
  </si>
  <si>
    <t>H</t>
  </si>
  <si>
    <t>O</t>
  </si>
  <si>
    <t>Density @ 1 atm</t>
  </si>
  <si>
    <t>CH4</t>
  </si>
  <si>
    <t>He</t>
  </si>
  <si>
    <t>H2</t>
  </si>
  <si>
    <t>CO2</t>
  </si>
  <si>
    <t>H2O</t>
  </si>
  <si>
    <t>O2</t>
  </si>
  <si>
    <t>N2</t>
  </si>
  <si>
    <t>Molar Mass</t>
  </si>
  <si>
    <t>Temperature</t>
  </si>
  <si>
    <t>Pressure</t>
  </si>
  <si>
    <t>Height</t>
  </si>
  <si>
    <t>Abundance</t>
  </si>
  <si>
    <t>t/m^3</t>
  </si>
  <si>
    <t>Composition</t>
  </si>
  <si>
    <t>g/mol</t>
  </si>
  <si>
    <t>K</t>
  </si>
  <si>
    <t>atm</t>
  </si>
  <si>
    <t>m</t>
  </si>
  <si>
    <t>g/cm^2</t>
  </si>
  <si>
    <t>t/m^2</t>
  </si>
  <si>
    <t>Surface density</t>
  </si>
  <si>
    <t>A</t>
  </si>
  <si>
    <t>B</t>
  </si>
  <si>
    <t>Thickness</t>
  </si>
  <si>
    <t>Density</t>
  </si>
  <si>
    <t>Water Abundance</t>
  </si>
  <si>
    <t>Rock Abundance</t>
  </si>
  <si>
    <t>Saturn's rings</t>
  </si>
  <si>
    <t>Outer radius</t>
  </si>
  <si>
    <t>Inner radius</t>
  </si>
  <si>
    <t>milliradii</t>
  </si>
  <si>
    <t>Planet radius</t>
  </si>
  <si>
    <t>NH3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</si>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</sst>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0.0000000000"/>
    <numFmt numFmtId="166" formatCode="0.000000000"/>
    <numFmt numFmtId="167" formatCode="0.0000%"/>
    <numFmt numFmtId="168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quotePrefix="1" applyFill="1" applyAlignment="1">
      <alignment horizontal="center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5" borderId="0" xfId="0" applyFill="1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top" textRotation="90"/>
    </xf>
    <xf numFmtId="0" fontId="1" fillId="0" borderId="0" xfId="0" applyFont="1" applyAlignment="1">
      <alignment horizontal="center" vertical="top" textRotation="9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168" fontId="0" fillId="2" borderId="0" xfId="0" applyNumberFormat="1" applyFill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2" borderId="0" xfId="0" applyNumberFormat="1" applyFill="1"/>
    <xf numFmtId="167" fontId="0" fillId="2" borderId="0" xfId="0" applyNumberFormat="1" applyFill="1"/>
    <xf numFmtId="168" fontId="0" fillId="0" borderId="0" xfId="0" applyNumberFormat="1" applyFill="1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C83F-506F-402F-A907-28F8B7EE137D}">
  <sheetPr filterMode="1"/>
  <dimension ref="A1:U2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J12" sqref="J12"/>
    </sheetView>
  </sheetViews>
  <sheetFormatPr defaultRowHeight="15" x14ac:dyDescent="0.25"/>
  <cols>
    <col min="1" max="1" width="6.140625" bestFit="1" customWidth="1"/>
    <col min="2" max="2" width="10.5703125" bestFit="1" customWidth="1"/>
    <col min="3" max="3" width="5.28515625" bestFit="1" customWidth="1"/>
    <col min="4" max="4" width="17.5703125" bestFit="1" customWidth="1"/>
    <col min="5" max="9" width="3.7109375" bestFit="1" customWidth="1"/>
    <col min="10" max="11" width="3.7109375" customWidth="1"/>
    <col min="12" max="18" width="3.7109375" bestFit="1" customWidth="1"/>
    <col min="19" max="19" width="3.7109375" style="1" customWidth="1"/>
    <col min="20" max="20" width="24.5703125" bestFit="1" customWidth="1"/>
  </cols>
  <sheetData>
    <row r="1" spans="1:20" x14ac:dyDescent="0.25">
      <c r="E1" s="37" t="s">
        <v>59</v>
      </c>
      <c r="F1" s="37"/>
      <c r="G1" s="37"/>
      <c r="H1" s="37"/>
      <c r="I1" s="37"/>
      <c r="J1" s="37"/>
      <c r="K1" s="37"/>
      <c r="L1" s="37"/>
      <c r="M1" s="37" t="s">
        <v>58</v>
      </c>
      <c r="N1" s="37"/>
      <c r="O1" s="37"/>
      <c r="P1" s="37"/>
      <c r="Q1" s="37"/>
      <c r="R1" s="37"/>
      <c r="S1" s="16"/>
    </row>
    <row r="2" spans="1:20" s="11" customFormat="1" ht="73.5" x14ac:dyDescent="0.25">
      <c r="A2" s="15" t="s">
        <v>57</v>
      </c>
      <c r="B2" s="12" t="s">
        <v>56</v>
      </c>
      <c r="C2" s="12" t="s">
        <v>55</v>
      </c>
      <c r="D2" s="12" t="s">
        <v>54</v>
      </c>
      <c r="E2" s="14" t="s">
        <v>53</v>
      </c>
      <c r="F2" s="14" t="s">
        <v>52</v>
      </c>
      <c r="G2" s="14" t="s">
        <v>51</v>
      </c>
      <c r="H2" s="14" t="s">
        <v>50</v>
      </c>
      <c r="I2" s="14" t="s">
        <v>49</v>
      </c>
      <c r="J2" s="14" t="s">
        <v>48</v>
      </c>
      <c r="K2" s="14" t="s">
        <v>47</v>
      </c>
      <c r="L2" s="14" t="s">
        <v>46</v>
      </c>
      <c r="M2" s="14" t="s">
        <v>45</v>
      </c>
      <c r="N2" s="14" t="s">
        <v>44</v>
      </c>
      <c r="O2" s="14" t="s">
        <v>43</v>
      </c>
      <c r="P2" s="14" t="s">
        <v>42</v>
      </c>
      <c r="Q2" s="14" t="s">
        <v>41</v>
      </c>
      <c r="R2" s="14" t="s">
        <v>40</v>
      </c>
      <c r="S2" s="13" t="s">
        <v>0</v>
      </c>
      <c r="T2" s="12" t="s">
        <v>39</v>
      </c>
    </row>
    <row r="3" spans="1:20" hidden="1" x14ac:dyDescent="0.25">
      <c r="A3" s="5">
        <v>12</v>
      </c>
      <c r="B3" s="10" t="s">
        <v>38</v>
      </c>
      <c r="C3" s="10" t="s">
        <v>16</v>
      </c>
      <c r="D3" s="10" t="s">
        <v>24</v>
      </c>
      <c r="E3" s="3"/>
      <c r="F3" s="3" t="s">
        <v>6</v>
      </c>
      <c r="G3" s="3"/>
      <c r="H3" s="3" t="s">
        <v>6</v>
      </c>
      <c r="I3" s="3"/>
      <c r="J3" s="3"/>
      <c r="K3" s="3" t="s">
        <v>6</v>
      </c>
      <c r="L3" s="3" t="s">
        <v>6</v>
      </c>
      <c r="M3" s="3"/>
      <c r="N3" s="3" t="s">
        <v>6</v>
      </c>
      <c r="O3" s="3" t="s">
        <v>6</v>
      </c>
      <c r="P3" s="3" t="s">
        <v>6</v>
      </c>
      <c r="Q3" s="3"/>
      <c r="R3" s="3"/>
      <c r="S3" s="1">
        <f t="shared" ref="S3:S23" si="0">COUNTIFS(E3:R3,"&lt;&gt;",E3:R3,"&lt;&gt;-",E3:R3,"&lt;&gt;--")</f>
        <v>0</v>
      </c>
    </row>
    <row r="4" spans="1:20" x14ac:dyDescent="0.25">
      <c r="A4" s="5">
        <v>12</v>
      </c>
      <c r="B4" t="s">
        <v>38</v>
      </c>
      <c r="C4" t="s">
        <v>4</v>
      </c>
      <c r="D4" t="s">
        <v>37</v>
      </c>
      <c r="E4" s="3"/>
      <c r="F4" s="3" t="s">
        <v>6</v>
      </c>
      <c r="G4" s="3" t="s">
        <v>6</v>
      </c>
      <c r="H4" s="8" t="s">
        <v>14</v>
      </c>
      <c r="I4" s="3"/>
      <c r="J4" s="6" t="s">
        <v>14</v>
      </c>
      <c r="K4" s="3" t="s">
        <v>6</v>
      </c>
      <c r="L4" s="3" t="s">
        <v>6</v>
      </c>
      <c r="M4" s="3" t="s">
        <v>6</v>
      </c>
      <c r="N4" s="3" t="s">
        <v>6</v>
      </c>
      <c r="O4" s="3" t="s">
        <v>6</v>
      </c>
      <c r="P4" s="3" t="s">
        <v>6</v>
      </c>
      <c r="Q4" s="3"/>
      <c r="R4" s="3"/>
      <c r="S4" s="1">
        <f t="shared" si="0"/>
        <v>2</v>
      </c>
    </row>
    <row r="5" spans="1:20" hidden="1" x14ac:dyDescent="0.25">
      <c r="A5" s="5">
        <v>12.1</v>
      </c>
      <c r="B5" t="s">
        <v>36</v>
      </c>
      <c r="C5" t="s">
        <v>4</v>
      </c>
      <c r="D5" t="s">
        <v>7</v>
      </c>
      <c r="E5" s="3"/>
      <c r="F5" s="3" t="s">
        <v>6</v>
      </c>
      <c r="G5" s="3"/>
      <c r="H5" s="3"/>
      <c r="I5" s="3"/>
      <c r="J5" s="3"/>
      <c r="K5" s="3"/>
      <c r="L5" s="3" t="s">
        <v>6</v>
      </c>
      <c r="M5" s="3"/>
      <c r="N5" s="3" t="s">
        <v>6</v>
      </c>
      <c r="O5" s="3"/>
      <c r="P5" s="3"/>
      <c r="Q5" s="6" t="s">
        <v>6</v>
      </c>
      <c r="R5" s="3" t="s">
        <v>6</v>
      </c>
      <c r="S5" s="1">
        <f t="shared" si="0"/>
        <v>0</v>
      </c>
    </row>
    <row r="6" spans="1:20" x14ac:dyDescent="0.25">
      <c r="A6" s="5">
        <v>12.2</v>
      </c>
      <c r="B6" s="7" t="s">
        <v>34</v>
      </c>
      <c r="C6" t="s">
        <v>16</v>
      </c>
      <c r="D6" t="s">
        <v>35</v>
      </c>
      <c r="E6" s="3"/>
      <c r="F6" s="9" t="s">
        <v>2</v>
      </c>
      <c r="G6" s="8" t="s">
        <v>12</v>
      </c>
      <c r="H6" s="3"/>
      <c r="I6" s="8" t="s">
        <v>23</v>
      </c>
      <c r="J6" s="3"/>
      <c r="K6" s="3"/>
      <c r="L6" s="3"/>
      <c r="M6" s="3"/>
      <c r="N6" s="8" t="s">
        <v>14</v>
      </c>
      <c r="O6" s="3"/>
      <c r="P6" s="8" t="s">
        <v>12</v>
      </c>
      <c r="Q6" s="3"/>
      <c r="R6" s="9" t="s">
        <v>2</v>
      </c>
      <c r="S6" s="1">
        <f t="shared" si="0"/>
        <v>4</v>
      </c>
    </row>
    <row r="7" spans="1:20" hidden="1" x14ac:dyDescent="0.25">
      <c r="A7" s="5">
        <v>12.2</v>
      </c>
      <c r="B7" s="7" t="s">
        <v>34</v>
      </c>
      <c r="C7" t="s">
        <v>4</v>
      </c>
      <c r="D7" t="s">
        <v>24</v>
      </c>
      <c r="E7" s="3"/>
      <c r="F7" s="3"/>
      <c r="G7" s="3"/>
      <c r="H7" s="4" t="s">
        <v>2</v>
      </c>
      <c r="I7" s="3"/>
      <c r="J7" s="3"/>
      <c r="K7" s="3"/>
      <c r="L7" s="3"/>
      <c r="M7" s="3"/>
      <c r="N7" s="3"/>
      <c r="O7" s="3"/>
      <c r="P7" s="3"/>
      <c r="Q7" s="3"/>
      <c r="R7" s="3"/>
      <c r="S7" s="1">
        <f t="shared" si="0"/>
        <v>0</v>
      </c>
    </row>
    <row r="8" spans="1:20" x14ac:dyDescent="0.25">
      <c r="A8" s="5">
        <v>12.3</v>
      </c>
      <c r="B8" s="7" t="s">
        <v>32</v>
      </c>
      <c r="C8" t="s">
        <v>16</v>
      </c>
      <c r="D8" t="s">
        <v>33</v>
      </c>
      <c r="E8" s="3"/>
      <c r="F8" s="8" t="s">
        <v>14</v>
      </c>
      <c r="G8" s="8" t="s">
        <v>12</v>
      </c>
      <c r="H8" s="3"/>
      <c r="I8" s="8" t="s">
        <v>12</v>
      </c>
      <c r="J8" s="3"/>
      <c r="K8" s="3"/>
      <c r="L8" s="3"/>
      <c r="M8" s="3"/>
      <c r="N8" s="8" t="s">
        <v>14</v>
      </c>
      <c r="O8" s="9" t="s">
        <v>2</v>
      </c>
      <c r="P8" s="8" t="s">
        <v>14</v>
      </c>
      <c r="Q8" s="3"/>
      <c r="R8" s="8" t="s">
        <v>14</v>
      </c>
      <c r="S8" s="1">
        <f t="shared" si="0"/>
        <v>6</v>
      </c>
      <c r="T8" s="3"/>
    </row>
    <row r="9" spans="1:20" x14ac:dyDescent="0.25">
      <c r="A9" s="5">
        <v>12.3</v>
      </c>
      <c r="B9" s="7" t="s">
        <v>32</v>
      </c>
      <c r="C9" t="s">
        <v>4</v>
      </c>
      <c r="D9" t="s">
        <v>24</v>
      </c>
      <c r="E9" s="3"/>
      <c r="F9" s="9" t="s">
        <v>2</v>
      </c>
      <c r="G9" s="3"/>
      <c r="H9" s="8" t="s">
        <v>12</v>
      </c>
      <c r="I9" s="3"/>
      <c r="J9" s="8" t="s">
        <v>23</v>
      </c>
      <c r="K9" s="3"/>
      <c r="L9" s="9" t="s">
        <v>2</v>
      </c>
      <c r="M9" s="3"/>
      <c r="N9" s="3"/>
      <c r="O9" s="3"/>
      <c r="P9" s="9" t="s">
        <v>2</v>
      </c>
      <c r="Q9" s="3"/>
      <c r="R9" s="9" t="s">
        <v>2</v>
      </c>
      <c r="S9" s="1">
        <f t="shared" si="0"/>
        <v>2</v>
      </c>
    </row>
    <row r="10" spans="1:20" hidden="1" x14ac:dyDescent="0.25">
      <c r="A10" s="5" t="s">
        <v>31</v>
      </c>
      <c r="B10" t="s">
        <v>30</v>
      </c>
      <c r="C10" t="s">
        <v>4</v>
      </c>
      <c r="D10" t="s">
        <v>7</v>
      </c>
      <c r="E10" s="3"/>
      <c r="F10" s="3" t="s">
        <v>6</v>
      </c>
      <c r="G10" s="3"/>
      <c r="H10" s="3"/>
      <c r="I10" s="3"/>
      <c r="J10" s="3"/>
      <c r="K10" s="3"/>
      <c r="L10" s="3" t="s">
        <v>6</v>
      </c>
      <c r="M10" s="3"/>
      <c r="N10" s="3" t="s">
        <v>6</v>
      </c>
      <c r="O10" s="3"/>
      <c r="P10" s="3"/>
      <c r="Q10" s="6" t="s">
        <v>6</v>
      </c>
      <c r="R10" s="3" t="s">
        <v>6</v>
      </c>
      <c r="S10" s="1">
        <f t="shared" si="0"/>
        <v>0</v>
      </c>
    </row>
    <row r="11" spans="1:20" hidden="1" x14ac:dyDescent="0.25">
      <c r="A11" s="5">
        <v>12.4</v>
      </c>
      <c r="B11" t="s">
        <v>29</v>
      </c>
      <c r="C11" t="s">
        <v>4</v>
      </c>
      <c r="D11" t="s">
        <v>7</v>
      </c>
      <c r="E11" s="3"/>
      <c r="F11" s="3" t="s">
        <v>6</v>
      </c>
      <c r="G11" s="3"/>
      <c r="H11" s="3"/>
      <c r="I11" s="3"/>
      <c r="J11" s="3"/>
      <c r="K11" s="3"/>
      <c r="L11" s="3" t="s">
        <v>6</v>
      </c>
      <c r="M11" s="3"/>
      <c r="N11" s="3" t="s">
        <v>6</v>
      </c>
      <c r="O11" s="3"/>
      <c r="P11" s="3"/>
      <c r="Q11" s="6" t="s">
        <v>6</v>
      </c>
      <c r="R11" s="3" t="s">
        <v>6</v>
      </c>
      <c r="S11" s="1">
        <f t="shared" si="0"/>
        <v>0</v>
      </c>
    </row>
    <row r="12" spans="1:20" hidden="1" x14ac:dyDescent="0.25">
      <c r="A12" s="5" t="s">
        <v>28</v>
      </c>
      <c r="B12" t="s">
        <v>27</v>
      </c>
      <c r="C12" t="s">
        <v>4</v>
      </c>
      <c r="D12" t="s">
        <v>7</v>
      </c>
      <c r="E12" s="3"/>
      <c r="F12" s="3" t="s">
        <v>6</v>
      </c>
      <c r="G12" s="3"/>
      <c r="H12" s="3"/>
      <c r="I12" s="3"/>
      <c r="J12" s="3"/>
      <c r="K12" s="3"/>
      <c r="L12" s="3" t="s">
        <v>6</v>
      </c>
      <c r="M12" s="3"/>
      <c r="N12" s="3" t="s">
        <v>6</v>
      </c>
      <c r="O12" s="3"/>
      <c r="P12" s="3"/>
      <c r="Q12" s="6" t="s">
        <v>6</v>
      </c>
      <c r="R12" s="3" t="s">
        <v>6</v>
      </c>
      <c r="S12" s="1">
        <f t="shared" si="0"/>
        <v>0</v>
      </c>
    </row>
    <row r="13" spans="1:20" x14ac:dyDescent="0.25">
      <c r="A13" s="5">
        <v>12.5</v>
      </c>
      <c r="B13" s="7" t="s">
        <v>25</v>
      </c>
      <c r="C13" t="s">
        <v>16</v>
      </c>
      <c r="D13" t="s">
        <v>26</v>
      </c>
      <c r="E13" s="3"/>
      <c r="F13" s="3"/>
      <c r="G13" s="3"/>
      <c r="H13" s="8" t="s">
        <v>14</v>
      </c>
      <c r="I13" s="8" t="s">
        <v>12</v>
      </c>
      <c r="J13" s="3"/>
      <c r="K13" s="8" t="s">
        <v>14</v>
      </c>
      <c r="L13" s="8" t="s">
        <v>14</v>
      </c>
      <c r="M13" s="8" t="s">
        <v>14</v>
      </c>
      <c r="N13" s="9" t="s">
        <v>2</v>
      </c>
      <c r="O13" s="8" t="s">
        <v>14</v>
      </c>
      <c r="P13" s="3"/>
      <c r="Q13" s="3"/>
      <c r="R13" s="9" t="s">
        <v>2</v>
      </c>
      <c r="S13" s="1">
        <f t="shared" si="0"/>
        <v>6</v>
      </c>
    </row>
    <row r="14" spans="1:20" x14ac:dyDescent="0.25">
      <c r="A14" s="5">
        <v>12.5</v>
      </c>
      <c r="B14" s="7" t="s">
        <v>25</v>
      </c>
      <c r="C14" t="s">
        <v>4</v>
      </c>
      <c r="D14" t="s">
        <v>24</v>
      </c>
      <c r="E14" s="3"/>
      <c r="F14" s="3"/>
      <c r="G14" s="3"/>
      <c r="H14" s="8" t="s">
        <v>14</v>
      </c>
      <c r="I14" s="3"/>
      <c r="J14" s="8" t="s">
        <v>14</v>
      </c>
      <c r="K14" s="8" t="s">
        <v>1</v>
      </c>
      <c r="L14" s="4" t="s">
        <v>2</v>
      </c>
      <c r="M14" s="3"/>
      <c r="N14" s="3"/>
      <c r="O14" s="3"/>
      <c r="P14" s="3"/>
      <c r="Q14" s="8" t="s">
        <v>23</v>
      </c>
      <c r="R14" s="8" t="s">
        <v>23</v>
      </c>
      <c r="S14" s="1">
        <f t="shared" si="0"/>
        <v>5</v>
      </c>
    </row>
    <row r="15" spans="1:20" hidden="1" x14ac:dyDescent="0.25">
      <c r="A15" s="5" t="s">
        <v>22</v>
      </c>
      <c r="B15" t="s">
        <v>21</v>
      </c>
      <c r="C15" t="s">
        <v>4</v>
      </c>
      <c r="D15" t="s">
        <v>7</v>
      </c>
      <c r="E15" s="3"/>
      <c r="F15" s="3" t="s">
        <v>6</v>
      </c>
      <c r="G15" s="3"/>
      <c r="H15" s="3"/>
      <c r="I15" s="3"/>
      <c r="J15" s="3"/>
      <c r="K15" s="3"/>
      <c r="L15" s="3" t="s">
        <v>6</v>
      </c>
      <c r="M15" s="3"/>
      <c r="N15" s="3" t="s">
        <v>6</v>
      </c>
      <c r="O15" s="3"/>
      <c r="P15" s="3"/>
      <c r="Q15" s="6" t="s">
        <v>6</v>
      </c>
      <c r="R15" s="3" t="s">
        <v>6</v>
      </c>
      <c r="S15" s="1">
        <f t="shared" si="0"/>
        <v>0</v>
      </c>
    </row>
    <row r="16" spans="1:20" x14ac:dyDescent="0.25">
      <c r="A16" s="5" t="s">
        <v>20</v>
      </c>
      <c r="B16" s="7" t="s">
        <v>19</v>
      </c>
      <c r="C16" t="s">
        <v>16</v>
      </c>
      <c r="D16" t="s">
        <v>15</v>
      </c>
      <c r="E16" s="3"/>
      <c r="F16" s="3"/>
      <c r="G16" s="8" t="s">
        <v>12</v>
      </c>
      <c r="H16" s="3"/>
      <c r="I16" s="8" t="s">
        <v>12</v>
      </c>
      <c r="J16" s="3"/>
      <c r="K16" s="3"/>
      <c r="L16" s="3"/>
      <c r="M16" s="9" t="s">
        <v>2</v>
      </c>
      <c r="N16" s="9" t="s">
        <v>2</v>
      </c>
      <c r="O16" s="8" t="s">
        <v>14</v>
      </c>
      <c r="P16" s="8" t="s">
        <v>14</v>
      </c>
      <c r="Q16" s="3"/>
      <c r="R16" s="3"/>
      <c r="S16" s="1">
        <f t="shared" si="0"/>
        <v>4</v>
      </c>
    </row>
    <row r="17" spans="1:21" hidden="1" x14ac:dyDescent="0.25">
      <c r="A17" s="5" t="s">
        <v>20</v>
      </c>
      <c r="B17" s="7" t="s">
        <v>19</v>
      </c>
      <c r="C17" t="s">
        <v>4</v>
      </c>
      <c r="D17" s="7" t="s">
        <v>7</v>
      </c>
      <c r="E17" s="3"/>
      <c r="F17" s="3" t="s">
        <v>6</v>
      </c>
      <c r="H17" s="4" t="s">
        <v>2</v>
      </c>
      <c r="I17" s="3"/>
      <c r="J17" s="3"/>
      <c r="K17" s="3"/>
      <c r="L17" s="3" t="s">
        <v>6</v>
      </c>
      <c r="M17" s="3"/>
      <c r="N17" s="3" t="s">
        <v>6</v>
      </c>
      <c r="O17" s="3"/>
      <c r="P17" s="9" t="s">
        <v>2</v>
      </c>
      <c r="Q17" s="6" t="s">
        <v>6</v>
      </c>
      <c r="R17" s="9" t="s">
        <v>2</v>
      </c>
      <c r="S17" s="1">
        <f t="shared" si="0"/>
        <v>0</v>
      </c>
    </row>
    <row r="18" spans="1:21" hidden="1" x14ac:dyDescent="0.25">
      <c r="A18" s="5" t="s">
        <v>18</v>
      </c>
      <c r="B18" t="s">
        <v>17</v>
      </c>
      <c r="C18" t="s">
        <v>4</v>
      </c>
      <c r="D18" t="s">
        <v>7</v>
      </c>
      <c r="E18" s="3"/>
      <c r="F18" s="3" t="s">
        <v>6</v>
      </c>
      <c r="G18" s="3"/>
      <c r="H18" s="3"/>
      <c r="I18" s="3"/>
      <c r="J18" s="3"/>
      <c r="K18" s="3"/>
      <c r="L18" s="3" t="s">
        <v>6</v>
      </c>
      <c r="M18" s="3"/>
      <c r="N18" s="3" t="s">
        <v>6</v>
      </c>
      <c r="O18" s="3"/>
      <c r="P18" s="3"/>
      <c r="Q18" s="6" t="s">
        <v>6</v>
      </c>
      <c r="R18" s="3" t="s">
        <v>6</v>
      </c>
      <c r="S18" s="1">
        <f t="shared" si="0"/>
        <v>0</v>
      </c>
    </row>
    <row r="19" spans="1:21" x14ac:dyDescent="0.25">
      <c r="A19" s="5">
        <v>12.6</v>
      </c>
      <c r="B19" s="7" t="s">
        <v>13</v>
      </c>
      <c r="C19" t="s">
        <v>16</v>
      </c>
      <c r="D19" t="s">
        <v>15</v>
      </c>
      <c r="E19" s="3"/>
      <c r="F19" s="3"/>
      <c r="G19" s="8" t="s">
        <v>12</v>
      </c>
      <c r="H19" s="3"/>
      <c r="I19" s="8" t="s">
        <v>12</v>
      </c>
      <c r="J19" s="3"/>
      <c r="K19" s="3"/>
      <c r="L19" s="3"/>
      <c r="M19" s="9" t="s">
        <v>2</v>
      </c>
      <c r="N19" s="9" t="s">
        <v>2</v>
      </c>
      <c r="O19" s="8" t="s">
        <v>14</v>
      </c>
      <c r="P19" s="8" t="s">
        <v>14</v>
      </c>
      <c r="Q19" s="3"/>
      <c r="R19" s="3"/>
      <c r="S19" s="1">
        <f t="shared" si="0"/>
        <v>4</v>
      </c>
    </row>
    <row r="20" spans="1:21" hidden="1" x14ac:dyDescent="0.25">
      <c r="A20" s="5">
        <v>12.6</v>
      </c>
      <c r="B20" s="7" t="s">
        <v>13</v>
      </c>
      <c r="C20" t="s">
        <v>4</v>
      </c>
      <c r="D20" s="7" t="s">
        <v>3</v>
      </c>
      <c r="E20" s="3"/>
      <c r="F20" s="3"/>
      <c r="G20" s="3"/>
      <c r="H20" s="4" t="s">
        <v>2</v>
      </c>
      <c r="I20" s="3"/>
      <c r="J20" s="3"/>
      <c r="K20" s="3"/>
      <c r="L20" s="4" t="s">
        <v>2</v>
      </c>
      <c r="M20" s="3"/>
      <c r="N20" s="9" t="s">
        <v>2</v>
      </c>
      <c r="O20" s="3"/>
      <c r="P20" s="9" t="s">
        <v>2</v>
      </c>
      <c r="Q20" s="3"/>
      <c r="R20" s="9" t="s">
        <v>2</v>
      </c>
      <c r="S20" s="1">
        <f t="shared" si="0"/>
        <v>0</v>
      </c>
    </row>
    <row r="21" spans="1:21" hidden="1" x14ac:dyDescent="0.25">
      <c r="A21" s="5" t="s">
        <v>11</v>
      </c>
      <c r="B21" t="s">
        <v>10</v>
      </c>
      <c r="C21" t="s">
        <v>4</v>
      </c>
      <c r="D21" t="s">
        <v>7</v>
      </c>
      <c r="E21" s="3"/>
      <c r="F21" s="3" t="s">
        <v>6</v>
      </c>
      <c r="G21" s="3"/>
      <c r="H21" s="3"/>
      <c r="I21" s="3"/>
      <c r="J21" s="3"/>
      <c r="K21" s="3"/>
      <c r="L21" s="3" t="s">
        <v>6</v>
      </c>
      <c r="M21" s="3"/>
      <c r="N21" s="3" t="s">
        <v>6</v>
      </c>
      <c r="O21" s="3"/>
      <c r="P21" s="3"/>
      <c r="Q21" s="6" t="s">
        <v>6</v>
      </c>
      <c r="R21" s="3" t="s">
        <v>6</v>
      </c>
      <c r="S21" s="1">
        <f t="shared" si="0"/>
        <v>0</v>
      </c>
    </row>
    <row r="22" spans="1:21" hidden="1" x14ac:dyDescent="0.25">
      <c r="A22" s="5" t="s">
        <v>9</v>
      </c>
      <c r="B22" t="s">
        <v>8</v>
      </c>
      <c r="C22" t="s">
        <v>4</v>
      </c>
      <c r="D22" t="s">
        <v>7</v>
      </c>
      <c r="E22" s="3"/>
      <c r="F22" s="3" t="s">
        <v>6</v>
      </c>
      <c r="G22" s="3"/>
      <c r="H22" s="3"/>
      <c r="I22" s="3"/>
      <c r="J22" s="3"/>
      <c r="K22" s="3"/>
      <c r="L22" s="3" t="s">
        <v>6</v>
      </c>
      <c r="M22" s="3"/>
      <c r="N22" s="3" t="s">
        <v>6</v>
      </c>
      <c r="O22" s="3"/>
      <c r="P22" s="3"/>
      <c r="Q22" s="6" t="s">
        <v>6</v>
      </c>
      <c r="R22" s="3" t="s">
        <v>6</v>
      </c>
      <c r="S22" s="1">
        <f t="shared" si="0"/>
        <v>0</v>
      </c>
    </row>
    <row r="23" spans="1:21" s="2" customFormat="1" hidden="1" x14ac:dyDescent="0.25">
      <c r="A23" s="5">
        <v>12.7</v>
      </c>
      <c r="B23" t="s">
        <v>5</v>
      </c>
      <c r="C23" t="s">
        <v>4</v>
      </c>
      <c r="D23" t="s">
        <v>3</v>
      </c>
      <c r="E23" s="3"/>
      <c r="F23" s="3"/>
      <c r="G23" s="3"/>
      <c r="H23" s="3"/>
      <c r="I23" s="3"/>
      <c r="J23" s="3"/>
      <c r="K23" s="3"/>
      <c r="L23" s="4" t="s">
        <v>2</v>
      </c>
      <c r="M23" s="3"/>
      <c r="N23" s="9" t="s">
        <v>2</v>
      </c>
      <c r="O23" s="3"/>
      <c r="P23" s="9" t="s">
        <v>2</v>
      </c>
      <c r="Q23" s="3"/>
      <c r="R23" s="9" t="s">
        <v>2</v>
      </c>
      <c r="S23" s="1">
        <f t="shared" si="0"/>
        <v>0</v>
      </c>
      <c r="U23"/>
    </row>
    <row r="24" spans="1:21" s="1" customFormat="1" x14ac:dyDescent="0.25">
      <c r="B24" s="1" t="s">
        <v>0</v>
      </c>
      <c r="E24" s="1">
        <f t="shared" ref="E24:R24" si="1">COUNTIFS(E3:E23,"&lt;&gt;",E3:E23,"&lt;&gt;-",E3:E23,"&lt;&gt;--")</f>
        <v>0</v>
      </c>
      <c r="F24" s="1">
        <f t="shared" si="1"/>
        <v>1</v>
      </c>
      <c r="G24" s="1">
        <f t="shared" si="1"/>
        <v>4</v>
      </c>
      <c r="H24" s="1">
        <f t="shared" si="1"/>
        <v>4</v>
      </c>
      <c r="I24" s="1">
        <f t="shared" si="1"/>
        <v>5</v>
      </c>
      <c r="J24" s="1">
        <f t="shared" si="1"/>
        <v>3</v>
      </c>
      <c r="K24" s="1">
        <f t="shared" si="1"/>
        <v>2</v>
      </c>
      <c r="L24" s="1">
        <f t="shared" si="1"/>
        <v>1</v>
      </c>
      <c r="M24" s="1">
        <f t="shared" si="1"/>
        <v>1</v>
      </c>
      <c r="N24" s="1">
        <f t="shared" si="1"/>
        <v>2</v>
      </c>
      <c r="O24" s="1">
        <f t="shared" si="1"/>
        <v>3</v>
      </c>
      <c r="P24" s="1">
        <f t="shared" si="1"/>
        <v>4</v>
      </c>
      <c r="Q24" s="1">
        <f t="shared" si="1"/>
        <v>1</v>
      </c>
      <c r="R24" s="1">
        <f t="shared" si="1"/>
        <v>2</v>
      </c>
      <c r="T24" s="1" t="str">
        <f>"Ignored: "&amp;COUNTIF(E3:R23,"-")+COUNTIF(E3:R23,"--")</f>
        <v>Ignored: 86</v>
      </c>
    </row>
  </sheetData>
  <autoFilter ref="A2:T24" xr:uid="{4726FF84-1C5D-4B2E-92F2-FD7BAB7539E6}">
    <filterColumn colId="18">
      <filters blank="1">
        <filter val="2"/>
        <filter val="4"/>
        <filter val="5"/>
        <filter val="6"/>
      </filters>
    </filterColumn>
  </autoFilter>
  <mergeCells count="2">
    <mergeCell ref="E1:L1"/>
    <mergeCell ref="M1:R1"/>
  </mergeCells>
  <conditionalFormatting sqref="E3:R23">
    <cfRule type="containsBlanks" dxfId="1" priority="2">
      <formula>LEN(TRIM(E3))=0</formula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9570972-B194-4429-8199-A7D681B46557}">
            <xm:f>NOT(ISERROR(SEARCH("-",E3)))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E3:R23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553-8A06-4712-9449-C5D3849EE563}">
  <dimension ref="A1:I50"/>
  <sheetViews>
    <sheetView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H43" sqref="H43"/>
    </sheetView>
  </sheetViews>
  <sheetFormatPr defaultRowHeight="15" x14ac:dyDescent="0.25"/>
  <cols>
    <col min="1" max="1" width="13.85546875" bestFit="1" customWidth="1"/>
    <col min="2" max="2" width="8.28515625" bestFit="1" customWidth="1"/>
    <col min="3" max="3" width="17.5703125" bestFit="1" customWidth="1"/>
    <col min="4" max="4" width="14.85546875" bestFit="1" customWidth="1"/>
    <col min="5" max="5" width="10.140625" bestFit="1" customWidth="1"/>
    <col min="6" max="6" width="14.85546875" bestFit="1" customWidth="1"/>
    <col min="7" max="7" width="13.7109375" bestFit="1" customWidth="1"/>
    <col min="8" max="8" width="12" bestFit="1" customWidth="1"/>
    <col min="9" max="9" width="78.85546875" bestFit="1" customWidth="1"/>
  </cols>
  <sheetData>
    <row r="1" spans="1:9" s="11" customFormat="1" x14ac:dyDescent="0.25">
      <c r="A1" s="11" t="s">
        <v>98</v>
      </c>
      <c r="B1" s="11" t="s">
        <v>56</v>
      </c>
      <c r="C1" s="11" t="s">
        <v>97</v>
      </c>
      <c r="D1" s="11" t="s">
        <v>96</v>
      </c>
      <c r="E1" s="11" t="s">
        <v>95</v>
      </c>
      <c r="F1" s="11" t="s">
        <v>94</v>
      </c>
      <c r="G1" s="11" t="s">
        <v>93</v>
      </c>
      <c r="H1" s="11" t="s">
        <v>92</v>
      </c>
      <c r="I1" s="11" t="s">
        <v>39</v>
      </c>
    </row>
    <row r="2" spans="1:9" x14ac:dyDescent="0.25">
      <c r="A2" t="s">
        <v>46</v>
      </c>
      <c r="B2" t="s">
        <v>25</v>
      </c>
      <c r="C2" t="s">
        <v>68</v>
      </c>
      <c r="D2" t="s">
        <v>66</v>
      </c>
      <c r="E2" t="s">
        <v>59</v>
      </c>
      <c r="F2" t="s">
        <v>82</v>
      </c>
      <c r="G2">
        <v>1.33E-5</v>
      </c>
      <c r="H2">
        <f>G2*1.5</f>
        <v>1.995E-5</v>
      </c>
      <c r="I2" t="s">
        <v>91</v>
      </c>
    </row>
    <row r="3" spans="1:9" x14ac:dyDescent="0.25">
      <c r="A3" t="s">
        <v>46</v>
      </c>
      <c r="B3" t="s">
        <v>25</v>
      </c>
      <c r="C3" t="s">
        <v>68</v>
      </c>
      <c r="D3" t="s">
        <v>65</v>
      </c>
      <c r="E3" t="s">
        <v>59</v>
      </c>
      <c r="F3" t="s">
        <v>82</v>
      </c>
      <c r="G3">
        <v>1.9930000000000001E-5</v>
      </c>
      <c r="H3">
        <f>G3*1.5</f>
        <v>2.9895000000000001E-5</v>
      </c>
      <c r="I3" t="s">
        <v>91</v>
      </c>
    </row>
    <row r="4" spans="1:9" x14ac:dyDescent="0.25">
      <c r="A4" t="s">
        <v>46</v>
      </c>
      <c r="B4" t="s">
        <v>25</v>
      </c>
      <c r="C4" t="s">
        <v>68</v>
      </c>
      <c r="D4" t="s">
        <v>62</v>
      </c>
      <c r="E4" t="s">
        <v>59</v>
      </c>
      <c r="F4" t="s">
        <v>82</v>
      </c>
      <c r="G4">
        <v>200000</v>
      </c>
      <c r="H4">
        <v>450000</v>
      </c>
      <c r="I4" t="s">
        <v>60</v>
      </c>
    </row>
    <row r="5" spans="1:9" x14ac:dyDescent="0.25">
      <c r="A5" t="s">
        <v>47</v>
      </c>
      <c r="B5" t="s">
        <v>25</v>
      </c>
      <c r="C5" t="s">
        <v>68</v>
      </c>
      <c r="D5" t="s">
        <v>66</v>
      </c>
      <c r="E5" t="s">
        <v>59</v>
      </c>
      <c r="F5" t="s">
        <v>82</v>
      </c>
      <c r="G5">
        <v>3.3914999999999998E-4</v>
      </c>
      <c r="H5">
        <f>G5/0.9*0.83</f>
        <v>3.1277166666666663E-4</v>
      </c>
      <c r="I5" t="s">
        <v>83</v>
      </c>
    </row>
    <row r="6" spans="1:9" x14ac:dyDescent="0.25">
      <c r="A6" t="s">
        <v>47</v>
      </c>
      <c r="B6" t="s">
        <v>25</v>
      </c>
      <c r="C6" t="s">
        <v>68</v>
      </c>
      <c r="D6" t="s">
        <v>65</v>
      </c>
      <c r="E6" t="s">
        <v>59</v>
      </c>
      <c r="F6" t="s">
        <v>82</v>
      </c>
      <c r="G6">
        <v>6.3915E-4</v>
      </c>
      <c r="H6">
        <f>G6/0.9*0.83</f>
        <v>5.8943833333333334E-4</v>
      </c>
      <c r="I6" t="s">
        <v>83</v>
      </c>
    </row>
    <row r="7" spans="1:9" x14ac:dyDescent="0.25">
      <c r="A7" t="s">
        <v>47</v>
      </c>
      <c r="B7" t="s">
        <v>25</v>
      </c>
      <c r="C7" t="s">
        <v>68</v>
      </c>
      <c r="D7" t="s">
        <v>62</v>
      </c>
      <c r="E7" t="s">
        <v>59</v>
      </c>
      <c r="F7" t="s">
        <v>82</v>
      </c>
      <c r="G7">
        <v>200000</v>
      </c>
      <c r="H7">
        <v>450000</v>
      </c>
      <c r="I7" t="s">
        <v>60</v>
      </c>
    </row>
    <row r="8" spans="1:9" x14ac:dyDescent="0.25">
      <c r="A8" t="s">
        <v>47</v>
      </c>
      <c r="B8" t="s">
        <v>25</v>
      </c>
      <c r="C8" t="s">
        <v>80</v>
      </c>
      <c r="D8" t="s">
        <v>62</v>
      </c>
      <c r="E8" t="s">
        <v>59</v>
      </c>
      <c r="F8" t="s">
        <v>79</v>
      </c>
      <c r="G8">
        <v>2000000000</v>
      </c>
      <c r="H8">
        <f>ROUND(340490000*G8/2455985200,-8)</f>
        <v>300000000</v>
      </c>
      <c r="I8" t="s">
        <v>81</v>
      </c>
    </row>
    <row r="9" spans="1:9" x14ac:dyDescent="0.25">
      <c r="A9" t="s">
        <v>47</v>
      </c>
      <c r="B9" t="s">
        <v>25</v>
      </c>
      <c r="C9" t="s">
        <v>80</v>
      </c>
      <c r="D9" t="s">
        <v>72</v>
      </c>
      <c r="E9" t="s">
        <v>59</v>
      </c>
      <c r="F9" t="s">
        <v>79</v>
      </c>
      <c r="G9">
        <v>200000</v>
      </c>
      <c r="H9">
        <v>450000</v>
      </c>
      <c r="I9" t="s">
        <v>60</v>
      </c>
    </row>
    <row r="10" spans="1:9" x14ac:dyDescent="0.25">
      <c r="A10" t="s">
        <v>48</v>
      </c>
      <c r="B10" t="s">
        <v>32</v>
      </c>
      <c r="C10" t="s">
        <v>90</v>
      </c>
      <c r="D10" t="s">
        <v>62</v>
      </c>
      <c r="E10" t="s">
        <v>59</v>
      </c>
      <c r="F10" t="s">
        <v>89</v>
      </c>
      <c r="G10">
        <v>650000</v>
      </c>
      <c r="H10">
        <f t="shared" ref="H10:H15" si="0">ROUND(G10/600000*700000,-4)</f>
        <v>760000</v>
      </c>
      <c r="I10" t="s">
        <v>76</v>
      </c>
    </row>
    <row r="11" spans="1:9" x14ac:dyDescent="0.25">
      <c r="A11" t="s">
        <v>48</v>
      </c>
      <c r="B11" t="s">
        <v>32</v>
      </c>
      <c r="C11" t="s">
        <v>90</v>
      </c>
      <c r="D11" t="s">
        <v>86</v>
      </c>
      <c r="E11" t="s">
        <v>59</v>
      </c>
      <c r="F11" t="s">
        <v>89</v>
      </c>
      <c r="G11">
        <v>550000</v>
      </c>
      <c r="H11">
        <f t="shared" si="0"/>
        <v>640000</v>
      </c>
      <c r="I11" t="s">
        <v>76</v>
      </c>
    </row>
    <row r="12" spans="1:9" x14ac:dyDescent="0.25">
      <c r="A12" t="s">
        <v>48</v>
      </c>
      <c r="B12" t="s">
        <v>32</v>
      </c>
      <c r="C12" t="s">
        <v>90</v>
      </c>
      <c r="D12" t="s">
        <v>72</v>
      </c>
      <c r="E12" t="s">
        <v>59</v>
      </c>
      <c r="F12" t="s">
        <v>89</v>
      </c>
      <c r="G12">
        <v>600000</v>
      </c>
      <c r="H12">
        <f t="shared" si="0"/>
        <v>700000</v>
      </c>
      <c r="I12" t="s">
        <v>76</v>
      </c>
    </row>
    <row r="13" spans="1:9" x14ac:dyDescent="0.25">
      <c r="A13" t="s">
        <v>48</v>
      </c>
      <c r="B13" t="s">
        <v>32</v>
      </c>
      <c r="C13" t="s">
        <v>88</v>
      </c>
      <c r="D13" t="s">
        <v>62</v>
      </c>
      <c r="E13" t="s">
        <v>59</v>
      </c>
      <c r="F13" t="s">
        <v>87</v>
      </c>
      <c r="G13">
        <v>2100000</v>
      </c>
      <c r="H13">
        <f t="shared" si="0"/>
        <v>2450000</v>
      </c>
      <c r="I13" t="s">
        <v>76</v>
      </c>
    </row>
    <row r="14" spans="1:9" x14ac:dyDescent="0.25">
      <c r="A14" t="s">
        <v>48</v>
      </c>
      <c r="B14" t="s">
        <v>32</v>
      </c>
      <c r="C14" t="s">
        <v>88</v>
      </c>
      <c r="D14" t="s">
        <v>86</v>
      </c>
      <c r="E14" t="s">
        <v>59</v>
      </c>
      <c r="F14" t="s">
        <v>87</v>
      </c>
      <c r="G14">
        <v>1900000</v>
      </c>
      <c r="H14">
        <f t="shared" si="0"/>
        <v>2220000</v>
      </c>
      <c r="I14" t="s">
        <v>76</v>
      </c>
    </row>
    <row r="15" spans="1:9" x14ac:dyDescent="0.25">
      <c r="A15" t="s">
        <v>48</v>
      </c>
      <c r="B15" t="s">
        <v>32</v>
      </c>
      <c r="C15" t="s">
        <v>88</v>
      </c>
      <c r="D15" t="s">
        <v>72</v>
      </c>
      <c r="E15" t="s">
        <v>59</v>
      </c>
      <c r="F15" t="s">
        <v>87</v>
      </c>
      <c r="G15">
        <v>2000000</v>
      </c>
      <c r="H15">
        <f t="shared" si="0"/>
        <v>2330000</v>
      </c>
      <c r="I15" t="s">
        <v>76</v>
      </c>
    </row>
    <row r="16" spans="1:9" x14ac:dyDescent="0.25">
      <c r="A16" t="s">
        <v>48</v>
      </c>
      <c r="B16" t="s">
        <v>25</v>
      </c>
      <c r="C16" t="s">
        <v>80</v>
      </c>
      <c r="D16" t="s">
        <v>62</v>
      </c>
      <c r="E16" t="s">
        <v>59</v>
      </c>
      <c r="F16" t="s">
        <v>79</v>
      </c>
      <c r="G16">
        <v>600000</v>
      </c>
      <c r="H16">
        <f>G16/200000*450000</f>
        <v>1350000</v>
      </c>
      <c r="I16" t="s">
        <v>85</v>
      </c>
    </row>
    <row r="17" spans="1:9" x14ac:dyDescent="0.25">
      <c r="A17" t="s">
        <v>48</v>
      </c>
      <c r="B17" t="s">
        <v>25</v>
      </c>
      <c r="C17" t="s">
        <v>80</v>
      </c>
      <c r="D17" t="s">
        <v>86</v>
      </c>
      <c r="E17" t="s">
        <v>59</v>
      </c>
      <c r="F17" t="s">
        <v>79</v>
      </c>
      <c r="G17">
        <v>400000</v>
      </c>
      <c r="H17">
        <f>G17/200000*450000</f>
        <v>900000</v>
      </c>
      <c r="I17" t="s">
        <v>85</v>
      </c>
    </row>
    <row r="18" spans="1:9" x14ac:dyDescent="0.25">
      <c r="A18" t="s">
        <v>48</v>
      </c>
      <c r="B18" t="s">
        <v>25</v>
      </c>
      <c r="C18" t="s">
        <v>80</v>
      </c>
      <c r="D18" t="s">
        <v>72</v>
      </c>
      <c r="E18" t="s">
        <v>59</v>
      </c>
      <c r="F18" t="s">
        <v>79</v>
      </c>
      <c r="G18">
        <v>500000</v>
      </c>
      <c r="H18">
        <f>G18/200000*450000</f>
        <v>1125000</v>
      </c>
      <c r="I18" t="s">
        <v>85</v>
      </c>
    </row>
    <row r="19" spans="1:9" x14ac:dyDescent="0.25">
      <c r="A19" t="s">
        <v>48</v>
      </c>
      <c r="B19" t="s">
        <v>38</v>
      </c>
      <c r="C19" t="s">
        <v>75</v>
      </c>
      <c r="I19" t="s">
        <v>73</v>
      </c>
    </row>
    <row r="20" spans="1:9" x14ac:dyDescent="0.25">
      <c r="A20" t="s">
        <v>52</v>
      </c>
      <c r="B20" t="s">
        <v>32</v>
      </c>
      <c r="C20" t="s">
        <v>71</v>
      </c>
      <c r="D20" t="s">
        <v>66</v>
      </c>
      <c r="E20" t="s">
        <v>59</v>
      </c>
      <c r="F20" t="s">
        <v>70</v>
      </c>
      <c r="G20">
        <v>2.7599999999999999E-4</v>
      </c>
      <c r="H20">
        <f>G20/0.2095*0.15</f>
        <v>1.9761336515513125E-4</v>
      </c>
      <c r="I20" t="s">
        <v>84</v>
      </c>
    </row>
    <row r="21" spans="1:9" x14ac:dyDescent="0.25">
      <c r="A21" t="s">
        <v>52</v>
      </c>
      <c r="B21" t="s">
        <v>32</v>
      </c>
      <c r="C21" t="s">
        <v>71</v>
      </c>
      <c r="D21" t="s">
        <v>65</v>
      </c>
      <c r="E21" t="s">
        <v>59</v>
      </c>
      <c r="F21" t="s">
        <v>70</v>
      </c>
      <c r="G21">
        <v>3.0600000000000001E-4</v>
      </c>
      <c r="H21">
        <f>G21/0.2095*0.15</f>
        <v>2.1909307875894989E-4</v>
      </c>
      <c r="I21" t="s">
        <v>84</v>
      </c>
    </row>
    <row r="22" spans="1:9" x14ac:dyDescent="0.25">
      <c r="A22" t="s">
        <v>52</v>
      </c>
      <c r="B22" t="s">
        <v>32</v>
      </c>
      <c r="C22" t="s">
        <v>71</v>
      </c>
      <c r="D22" t="s">
        <v>62</v>
      </c>
      <c r="E22" t="s">
        <v>59</v>
      </c>
      <c r="F22" t="s">
        <v>70</v>
      </c>
      <c r="G22">
        <v>70000</v>
      </c>
      <c r="H22">
        <v>72000</v>
      </c>
      <c r="I22" t="s">
        <v>60</v>
      </c>
    </row>
    <row r="23" spans="1:9" x14ac:dyDescent="0.25">
      <c r="A23" t="s">
        <v>50</v>
      </c>
      <c r="B23" t="s">
        <v>25</v>
      </c>
      <c r="C23" t="s">
        <v>68</v>
      </c>
      <c r="D23" t="s">
        <v>66</v>
      </c>
      <c r="E23" t="s">
        <v>59</v>
      </c>
      <c r="F23" t="s">
        <v>82</v>
      </c>
      <c r="G23">
        <v>1.1305000000000001</v>
      </c>
      <c r="H23">
        <f>ROUND(G23/0.9*0.83,4)</f>
        <v>1.0426</v>
      </c>
      <c r="I23" t="s">
        <v>83</v>
      </c>
    </row>
    <row r="24" spans="1:9" x14ac:dyDescent="0.25">
      <c r="A24" t="s">
        <v>50</v>
      </c>
      <c r="B24" t="s">
        <v>25</v>
      </c>
      <c r="C24" t="s">
        <v>68</v>
      </c>
      <c r="D24" t="s">
        <v>65</v>
      </c>
      <c r="E24" t="s">
        <v>59</v>
      </c>
      <c r="F24" t="s">
        <v>82</v>
      </c>
      <c r="G24">
        <v>1.1599999999999999</v>
      </c>
      <c r="H24">
        <f>ROUND(G24/0.9*0.83,4)</f>
        <v>1.0698000000000001</v>
      </c>
      <c r="I24" t="s">
        <v>83</v>
      </c>
    </row>
    <row r="25" spans="1:9" x14ac:dyDescent="0.25">
      <c r="A25" t="s">
        <v>50</v>
      </c>
      <c r="B25" t="s">
        <v>25</v>
      </c>
      <c r="C25" t="s">
        <v>68</v>
      </c>
      <c r="D25" t="s">
        <v>62</v>
      </c>
      <c r="E25" t="s">
        <v>59</v>
      </c>
      <c r="F25" t="s">
        <v>82</v>
      </c>
      <c r="G25">
        <v>200000</v>
      </c>
      <c r="H25">
        <v>450000</v>
      </c>
      <c r="I25" t="s">
        <v>60</v>
      </c>
    </row>
    <row r="26" spans="1:9" x14ac:dyDescent="0.25">
      <c r="A26" t="s">
        <v>50</v>
      </c>
      <c r="B26" t="s">
        <v>25</v>
      </c>
      <c r="C26" t="s">
        <v>80</v>
      </c>
      <c r="D26" t="s">
        <v>62</v>
      </c>
      <c r="E26" t="s">
        <v>59</v>
      </c>
      <c r="F26" t="s">
        <v>79</v>
      </c>
      <c r="G26">
        <v>2000000000</v>
      </c>
      <c r="H26">
        <f>ROUND(340490000*G26/2455985200,-8)</f>
        <v>300000000</v>
      </c>
      <c r="I26" t="s">
        <v>81</v>
      </c>
    </row>
    <row r="27" spans="1:9" x14ac:dyDescent="0.25">
      <c r="A27" t="s">
        <v>50</v>
      </c>
      <c r="B27" t="s">
        <v>25</v>
      </c>
      <c r="C27" t="s">
        <v>80</v>
      </c>
      <c r="D27" t="s">
        <v>72</v>
      </c>
      <c r="E27" t="s">
        <v>59</v>
      </c>
      <c r="F27" t="s">
        <v>79</v>
      </c>
      <c r="G27">
        <v>200000</v>
      </c>
      <c r="H27">
        <v>450000</v>
      </c>
      <c r="I27" t="s">
        <v>60</v>
      </c>
    </row>
    <row r="28" spans="1:9" x14ac:dyDescent="0.25">
      <c r="A28" t="s">
        <v>50</v>
      </c>
      <c r="B28" t="s">
        <v>32</v>
      </c>
      <c r="C28" t="s">
        <v>78</v>
      </c>
      <c r="D28" t="s">
        <v>62</v>
      </c>
      <c r="E28" t="s">
        <v>59</v>
      </c>
      <c r="F28" t="s">
        <v>77</v>
      </c>
      <c r="G28">
        <v>50000000</v>
      </c>
      <c r="H28">
        <f>ROUND(G28/600000*700000,-4)</f>
        <v>58330000</v>
      </c>
      <c r="I28" t="s">
        <v>76</v>
      </c>
    </row>
    <row r="29" spans="1:9" x14ac:dyDescent="0.25">
      <c r="A29" t="s">
        <v>50</v>
      </c>
      <c r="B29" t="s">
        <v>32</v>
      </c>
      <c r="C29" t="s">
        <v>78</v>
      </c>
      <c r="D29" t="s">
        <v>72</v>
      </c>
      <c r="E29" t="s">
        <v>59</v>
      </c>
      <c r="F29" t="s">
        <v>77</v>
      </c>
      <c r="G29">
        <v>500000</v>
      </c>
      <c r="H29">
        <f>ROUND(G29/600000*700000,-4)</f>
        <v>580000</v>
      </c>
      <c r="I29" t="s">
        <v>76</v>
      </c>
    </row>
    <row r="30" spans="1:9" x14ac:dyDescent="0.25">
      <c r="A30" t="s">
        <v>50</v>
      </c>
      <c r="B30" t="s">
        <v>38</v>
      </c>
      <c r="C30" t="s">
        <v>75</v>
      </c>
      <c r="D30" t="s">
        <v>62</v>
      </c>
      <c r="E30" t="s">
        <v>59</v>
      </c>
      <c r="F30" t="s">
        <v>74</v>
      </c>
      <c r="G30">
        <v>2000000000</v>
      </c>
      <c r="H30">
        <f>G30</f>
        <v>2000000000</v>
      </c>
      <c r="I30" t="s">
        <v>73</v>
      </c>
    </row>
    <row r="31" spans="1:9" x14ac:dyDescent="0.25">
      <c r="A31" t="s">
        <v>50</v>
      </c>
      <c r="B31" t="s">
        <v>38</v>
      </c>
      <c r="C31" t="s">
        <v>75</v>
      </c>
      <c r="D31" t="s">
        <v>72</v>
      </c>
      <c r="E31" t="s">
        <v>59</v>
      </c>
      <c r="F31" t="s">
        <v>74</v>
      </c>
      <c r="G31">
        <v>200000</v>
      </c>
      <c r="H31">
        <f>G31</f>
        <v>200000</v>
      </c>
      <c r="I31" t="s">
        <v>73</v>
      </c>
    </row>
    <row r="32" spans="1:9" x14ac:dyDescent="0.25">
      <c r="A32" t="s">
        <v>51</v>
      </c>
      <c r="B32" t="s">
        <v>32</v>
      </c>
      <c r="C32" t="s">
        <v>71</v>
      </c>
      <c r="D32" t="s">
        <v>72</v>
      </c>
      <c r="E32" t="s">
        <v>59</v>
      </c>
      <c r="F32" t="s">
        <v>70</v>
      </c>
      <c r="G32">
        <v>70000</v>
      </c>
      <c r="H32">
        <v>72000</v>
      </c>
      <c r="I32" t="s">
        <v>60</v>
      </c>
    </row>
    <row r="33" spans="1:9" x14ac:dyDescent="0.25">
      <c r="A33" t="s">
        <v>51</v>
      </c>
      <c r="B33" t="s">
        <v>34</v>
      </c>
      <c r="C33" t="s">
        <v>69</v>
      </c>
      <c r="D33" t="s">
        <v>72</v>
      </c>
      <c r="E33" t="s">
        <v>59</v>
      </c>
      <c r="F33" t="s">
        <v>70</v>
      </c>
      <c r="G33">
        <v>70000</v>
      </c>
      <c r="H33">
        <v>59000</v>
      </c>
      <c r="I33" t="s">
        <v>60</v>
      </c>
    </row>
    <row r="34" spans="1:9" x14ac:dyDescent="0.25">
      <c r="A34" t="s">
        <v>51</v>
      </c>
      <c r="B34" t="s">
        <v>19</v>
      </c>
      <c r="C34" t="s">
        <v>67</v>
      </c>
      <c r="D34" t="s">
        <v>72</v>
      </c>
      <c r="E34" t="s">
        <v>59</v>
      </c>
      <c r="F34" t="s">
        <v>70</v>
      </c>
      <c r="G34">
        <v>70000</v>
      </c>
      <c r="H34">
        <v>72000</v>
      </c>
      <c r="I34" t="s">
        <v>60</v>
      </c>
    </row>
    <row r="35" spans="1:9" x14ac:dyDescent="0.25">
      <c r="A35" t="s">
        <v>51</v>
      </c>
      <c r="B35" t="s">
        <v>13</v>
      </c>
      <c r="C35" t="s">
        <v>63</v>
      </c>
      <c r="D35" t="s">
        <v>72</v>
      </c>
      <c r="E35" t="s">
        <v>59</v>
      </c>
      <c r="F35" t="s">
        <v>70</v>
      </c>
      <c r="G35">
        <v>70000</v>
      </c>
      <c r="H35">
        <v>41000</v>
      </c>
      <c r="I35" t="s">
        <v>60</v>
      </c>
    </row>
    <row r="36" spans="1:9" x14ac:dyDescent="0.25">
      <c r="A36" t="s">
        <v>49</v>
      </c>
      <c r="B36" t="s">
        <v>32</v>
      </c>
      <c r="C36" t="s">
        <v>71</v>
      </c>
      <c r="D36" t="s">
        <v>66</v>
      </c>
      <c r="E36" t="s">
        <v>59</v>
      </c>
      <c r="F36" t="s">
        <v>70</v>
      </c>
      <c r="G36">
        <v>1.1E-5</v>
      </c>
      <c r="H36" s="17">
        <f>0.75*5.89773625228506E-06</f>
        <v>4.4233021892137952E-6</v>
      </c>
      <c r="I36" t="s">
        <v>64</v>
      </c>
    </row>
    <row r="37" spans="1:9" x14ac:dyDescent="0.25">
      <c r="A37" t="s">
        <v>49</v>
      </c>
      <c r="B37" t="s">
        <v>32</v>
      </c>
      <c r="C37" t="s">
        <v>71</v>
      </c>
      <c r="D37" t="s">
        <v>65</v>
      </c>
      <c r="E37" t="s">
        <v>59</v>
      </c>
      <c r="F37" t="s">
        <v>70</v>
      </c>
      <c r="G37">
        <v>1.2E-5</v>
      </c>
      <c r="H37" s="17">
        <f>1.25*5.89773625228506E-06</f>
        <v>7.3721703153563242E-6</v>
      </c>
      <c r="I37" t="s">
        <v>64</v>
      </c>
    </row>
    <row r="38" spans="1:9" x14ac:dyDescent="0.25">
      <c r="A38" t="s">
        <v>49</v>
      </c>
      <c r="B38" t="s">
        <v>32</v>
      </c>
      <c r="C38" t="s">
        <v>71</v>
      </c>
      <c r="D38" t="s">
        <v>62</v>
      </c>
      <c r="E38" t="s">
        <v>59</v>
      </c>
      <c r="F38" t="s">
        <v>70</v>
      </c>
      <c r="G38">
        <v>70000</v>
      </c>
      <c r="H38">
        <v>72000</v>
      </c>
      <c r="I38" t="s">
        <v>60</v>
      </c>
    </row>
    <row r="39" spans="1:9" x14ac:dyDescent="0.25">
      <c r="A39" t="s">
        <v>49</v>
      </c>
      <c r="B39" t="s">
        <v>34</v>
      </c>
      <c r="C39" t="s">
        <v>69</v>
      </c>
      <c r="D39" t="s">
        <v>66</v>
      </c>
      <c r="E39" t="s">
        <v>59</v>
      </c>
      <c r="F39" t="s">
        <v>61</v>
      </c>
      <c r="G39">
        <v>3.8000000000000001E-7</v>
      </c>
      <c r="H39" s="17">
        <f>0.75*0.0000188587578898548</f>
        <v>1.4144068417391099E-5</v>
      </c>
      <c r="I39" t="s">
        <v>64</v>
      </c>
    </row>
    <row r="40" spans="1:9" x14ac:dyDescent="0.25">
      <c r="A40" t="s">
        <v>49</v>
      </c>
      <c r="B40" t="s">
        <v>34</v>
      </c>
      <c r="C40" t="s">
        <v>69</v>
      </c>
      <c r="D40" t="s">
        <v>65</v>
      </c>
      <c r="E40" t="s">
        <v>59</v>
      </c>
      <c r="F40" t="s">
        <v>61</v>
      </c>
      <c r="G40">
        <v>7.1999999999999999E-7</v>
      </c>
      <c r="H40" s="17">
        <f>1.25*0.0000188587578898548</f>
        <v>2.3573447362318498E-5</v>
      </c>
      <c r="I40" t="s">
        <v>64</v>
      </c>
    </row>
    <row r="41" spans="1:9" x14ac:dyDescent="0.25">
      <c r="A41" t="s">
        <v>49</v>
      </c>
      <c r="B41" t="s">
        <v>34</v>
      </c>
      <c r="C41" t="s">
        <v>69</v>
      </c>
      <c r="D41" t="s">
        <v>62</v>
      </c>
      <c r="E41" t="s">
        <v>59</v>
      </c>
      <c r="F41" t="s">
        <v>61</v>
      </c>
      <c r="G41">
        <v>70000</v>
      </c>
      <c r="H41">
        <v>59000</v>
      </c>
      <c r="I41" t="s">
        <v>60</v>
      </c>
    </row>
    <row r="42" spans="1:9" x14ac:dyDescent="0.25">
      <c r="A42" t="s">
        <v>49</v>
      </c>
      <c r="B42" t="s">
        <v>25</v>
      </c>
      <c r="C42" t="s">
        <v>68</v>
      </c>
      <c r="D42" t="s">
        <v>66</v>
      </c>
      <c r="E42" t="s">
        <v>59</v>
      </c>
      <c r="F42" t="s">
        <v>61</v>
      </c>
      <c r="G42">
        <v>3.8000000000000001E-7</v>
      </c>
      <c r="H42" s="17">
        <f>0.75*2.17677824899889E-07</f>
        <v>1.6325836867491676E-7</v>
      </c>
      <c r="I42" t="s">
        <v>64</v>
      </c>
    </row>
    <row r="43" spans="1:9" x14ac:dyDescent="0.25">
      <c r="A43" t="s">
        <v>49</v>
      </c>
      <c r="B43" t="s">
        <v>25</v>
      </c>
      <c r="C43" t="s">
        <v>68</v>
      </c>
      <c r="D43" t="s">
        <v>65</v>
      </c>
      <c r="E43" t="s">
        <v>59</v>
      </c>
      <c r="F43" t="s">
        <v>61</v>
      </c>
      <c r="G43">
        <v>7.1999999999999999E-7</v>
      </c>
      <c r="H43" s="17">
        <f>1.25*2.17677824899889E-07</f>
        <v>2.7209728112486122E-7</v>
      </c>
      <c r="I43" t="s">
        <v>64</v>
      </c>
    </row>
    <row r="44" spans="1:9" x14ac:dyDescent="0.25">
      <c r="A44" t="s">
        <v>49</v>
      </c>
      <c r="B44" t="s">
        <v>25</v>
      </c>
      <c r="C44" t="s">
        <v>68</v>
      </c>
      <c r="D44" t="s">
        <v>62</v>
      </c>
      <c r="E44" t="s">
        <v>59</v>
      </c>
      <c r="F44" t="s">
        <v>61</v>
      </c>
      <c r="G44">
        <v>70000</v>
      </c>
      <c r="H44">
        <v>450000</v>
      </c>
      <c r="I44" t="s">
        <v>60</v>
      </c>
    </row>
    <row r="45" spans="1:9" x14ac:dyDescent="0.25">
      <c r="A45" t="s">
        <v>49</v>
      </c>
      <c r="B45" t="s">
        <v>19</v>
      </c>
      <c r="C45" t="s">
        <v>67</v>
      </c>
      <c r="D45" t="s">
        <v>66</v>
      </c>
      <c r="E45" t="s">
        <v>59</v>
      </c>
      <c r="F45" t="s">
        <v>61</v>
      </c>
      <c r="G45">
        <v>3.8000000000000001E-7</v>
      </c>
      <c r="H45" s="17">
        <f>0.75*0.0000267625332984646</f>
        <v>2.0071899973848447E-5</v>
      </c>
      <c r="I45" t="s">
        <v>64</v>
      </c>
    </row>
    <row r="46" spans="1:9" x14ac:dyDescent="0.25">
      <c r="A46" t="s">
        <v>49</v>
      </c>
      <c r="B46" t="s">
        <v>19</v>
      </c>
      <c r="C46" t="s">
        <v>67</v>
      </c>
      <c r="D46" t="s">
        <v>65</v>
      </c>
      <c r="E46" t="s">
        <v>59</v>
      </c>
      <c r="F46" t="s">
        <v>61</v>
      </c>
      <c r="G46">
        <v>7.1999999999999999E-7</v>
      </c>
      <c r="H46" s="17">
        <f>1.25*0.0000267625332984646</f>
        <v>3.345316662308075E-5</v>
      </c>
      <c r="I46" t="s">
        <v>64</v>
      </c>
    </row>
    <row r="47" spans="1:9" x14ac:dyDescent="0.25">
      <c r="A47" t="s">
        <v>49</v>
      </c>
      <c r="B47" t="s">
        <v>19</v>
      </c>
      <c r="C47" t="s">
        <v>67</v>
      </c>
      <c r="D47" t="s">
        <v>62</v>
      </c>
      <c r="E47" t="s">
        <v>59</v>
      </c>
      <c r="F47" t="s">
        <v>61</v>
      </c>
      <c r="G47">
        <v>70000</v>
      </c>
      <c r="H47">
        <v>72000</v>
      </c>
      <c r="I47" t="s">
        <v>60</v>
      </c>
    </row>
    <row r="48" spans="1:9" x14ac:dyDescent="0.25">
      <c r="A48" t="s">
        <v>49</v>
      </c>
      <c r="B48" t="s">
        <v>13</v>
      </c>
      <c r="C48" t="s">
        <v>63</v>
      </c>
      <c r="D48" t="s">
        <v>66</v>
      </c>
      <c r="E48" t="s">
        <v>59</v>
      </c>
      <c r="F48" t="s">
        <v>61</v>
      </c>
      <c r="G48">
        <v>3.8000000000000001E-7</v>
      </c>
      <c r="H48" s="17">
        <f>0.75*0.0000187151301468672</f>
        <v>1.40363476101504E-5</v>
      </c>
      <c r="I48" t="s">
        <v>64</v>
      </c>
    </row>
    <row r="49" spans="1:9" x14ac:dyDescent="0.25">
      <c r="A49" t="s">
        <v>49</v>
      </c>
      <c r="B49" t="s">
        <v>13</v>
      </c>
      <c r="C49" t="s">
        <v>63</v>
      </c>
      <c r="D49" t="s">
        <v>65</v>
      </c>
      <c r="E49" t="s">
        <v>59</v>
      </c>
      <c r="F49" t="s">
        <v>61</v>
      </c>
      <c r="G49">
        <v>7.1999999999999999E-7</v>
      </c>
      <c r="H49" s="17">
        <f>1.25*0.0000187151301468672</f>
        <v>2.3393912683584001E-5</v>
      </c>
      <c r="I49" t="s">
        <v>64</v>
      </c>
    </row>
    <row r="50" spans="1:9" x14ac:dyDescent="0.25">
      <c r="A50" t="s">
        <v>49</v>
      </c>
      <c r="B50" t="s">
        <v>13</v>
      </c>
      <c r="C50" t="s">
        <v>63</v>
      </c>
      <c r="D50" t="s">
        <v>62</v>
      </c>
      <c r="E50" t="s">
        <v>59</v>
      </c>
      <c r="F50" t="s">
        <v>61</v>
      </c>
      <c r="G50">
        <v>70000</v>
      </c>
      <c r="H50">
        <v>41000</v>
      </c>
      <c r="I50" t="s">
        <v>60</v>
      </c>
    </row>
  </sheetData>
  <autoFilter ref="A1:I50" xr:uid="{989F5C22-B9DB-4179-AB6D-671292FC41AB}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BE8DB-83CB-4706-B275-37FEB6383766}">
  <dimension ref="A1:Z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5" sqref="T5"/>
    </sheetView>
  </sheetViews>
  <sheetFormatPr defaultRowHeight="15" x14ac:dyDescent="0.25"/>
  <cols>
    <col min="1" max="1" width="11.85546875" bestFit="1" customWidth="1"/>
    <col min="2" max="2" width="6.85546875" bestFit="1" customWidth="1"/>
    <col min="3" max="3" width="8.7109375" style="22" bestFit="1" customWidth="1"/>
    <col min="4" max="4" width="12.5703125" bestFit="1" customWidth="1"/>
    <col min="5" max="5" width="11.28515625" bestFit="1" customWidth="1"/>
    <col min="6" max="7" width="6.140625" style="21" bestFit="1" customWidth="1"/>
    <col min="8" max="8" width="5.140625" style="21" bestFit="1" customWidth="1"/>
    <col min="9" max="9" width="6.140625" style="21" bestFit="1" customWidth="1"/>
    <col min="10" max="10" width="5.140625" style="21" bestFit="1" customWidth="1"/>
    <col min="11" max="12" width="6.140625" style="21" bestFit="1" customWidth="1"/>
    <col min="13" max="13" width="5.140625" style="21" bestFit="1" customWidth="1"/>
    <col min="14" max="14" width="8.140625" style="20" bestFit="1" customWidth="1"/>
    <col min="15" max="15" width="5.140625" style="21" bestFit="1" customWidth="1"/>
    <col min="16" max="16" width="8.85546875" bestFit="1" customWidth="1"/>
    <col min="17" max="17" width="15.42578125" style="19" bestFit="1" customWidth="1"/>
    <col min="18" max="19" width="12" bestFit="1" customWidth="1"/>
    <col min="20" max="20" width="16.140625" style="18" customWidth="1"/>
    <col min="21" max="22" width="12" style="17" bestFit="1" customWidth="1"/>
    <col min="23" max="23" width="10.5703125" style="17" bestFit="1" customWidth="1"/>
    <col min="24" max="24" width="10.5703125" style="17" customWidth="1"/>
    <col min="25" max="25" width="11" style="17" bestFit="1" customWidth="1"/>
    <col min="26" max="26" width="11" style="17" customWidth="1"/>
  </cols>
  <sheetData>
    <row r="1" spans="1:26" x14ac:dyDescent="0.25">
      <c r="B1" s="3" t="s">
        <v>124</v>
      </c>
      <c r="C1" s="33" t="s">
        <v>123</v>
      </c>
      <c r="D1" s="3" t="s">
        <v>122</v>
      </c>
      <c r="E1" s="3" t="s">
        <v>121</v>
      </c>
      <c r="F1" s="38" t="s">
        <v>120</v>
      </c>
      <c r="G1" s="38"/>
      <c r="H1" s="38"/>
      <c r="I1" s="38"/>
      <c r="J1" s="38"/>
      <c r="K1" s="38"/>
      <c r="L1" s="38"/>
      <c r="M1" s="38"/>
      <c r="N1" s="38"/>
      <c r="O1" s="38"/>
      <c r="Q1" s="32" t="s">
        <v>119</v>
      </c>
      <c r="R1" s="37" t="s">
        <v>118</v>
      </c>
      <c r="S1" s="37"/>
      <c r="T1" s="37"/>
      <c r="U1" s="37"/>
      <c r="V1" s="37"/>
      <c r="W1" s="37"/>
      <c r="X1" s="37"/>
      <c r="Y1" s="37"/>
      <c r="Z1" s="37"/>
    </row>
    <row r="2" spans="1:26" s="11" customFormat="1" x14ac:dyDescent="0.25">
      <c r="A2" s="11" t="s">
        <v>56</v>
      </c>
      <c r="B2" s="27" t="s">
        <v>117</v>
      </c>
      <c r="C2" s="31" t="s">
        <v>116</v>
      </c>
      <c r="D2" s="27" t="s">
        <v>115</v>
      </c>
      <c r="E2" s="27" t="s">
        <v>114</v>
      </c>
      <c r="F2" s="30" t="s">
        <v>113</v>
      </c>
      <c r="G2" s="30" t="s">
        <v>112</v>
      </c>
      <c r="H2" s="30" t="s">
        <v>111</v>
      </c>
      <c r="I2" s="30" t="s">
        <v>110</v>
      </c>
      <c r="J2" s="30" t="s">
        <v>102</v>
      </c>
      <c r="K2" s="30" t="s">
        <v>109</v>
      </c>
      <c r="L2" s="30" t="s">
        <v>108</v>
      </c>
      <c r="M2" s="30" t="s">
        <v>107</v>
      </c>
      <c r="N2" s="29" t="s">
        <v>103</v>
      </c>
      <c r="O2" s="30" t="s">
        <v>139</v>
      </c>
      <c r="P2" s="11" t="s">
        <v>39</v>
      </c>
      <c r="Q2" s="28" t="s">
        <v>106</v>
      </c>
      <c r="R2" s="27" t="s">
        <v>105</v>
      </c>
      <c r="S2" s="27" t="s">
        <v>104</v>
      </c>
      <c r="T2" s="26" t="s">
        <v>103</v>
      </c>
      <c r="U2" s="25" t="s">
        <v>102</v>
      </c>
      <c r="V2" s="25" t="s">
        <v>139</v>
      </c>
      <c r="W2" s="25" t="s">
        <v>110</v>
      </c>
      <c r="X2" s="25" t="s">
        <v>111</v>
      </c>
      <c r="Y2" s="25" t="s">
        <v>107</v>
      </c>
      <c r="Z2" s="25" t="s">
        <v>140</v>
      </c>
    </row>
    <row r="3" spans="1:26" x14ac:dyDescent="0.25">
      <c r="A3" t="s">
        <v>34</v>
      </c>
      <c r="B3">
        <v>59000</v>
      </c>
      <c r="C3" s="22">
        <v>0.04</v>
      </c>
      <c r="D3">
        <f>AVERAGE(370,190)</f>
        <v>280</v>
      </c>
      <c r="E3">
        <v>43.33</v>
      </c>
      <c r="F3" s="21">
        <v>0.04</v>
      </c>
      <c r="I3" s="21">
        <v>0.95</v>
      </c>
      <c r="J3" s="21">
        <v>0.01</v>
      </c>
      <c r="N3" s="35">
        <f>T3/Q3</f>
        <v>1.2509278260489891E-6</v>
      </c>
      <c r="O3" s="36"/>
      <c r="P3" t="s">
        <v>99</v>
      </c>
      <c r="Q3" s="19">
        <f>101325/((8.31446261815324/E3*1000)*D3)/1000</f>
        <v>1.8858757889854774E-3</v>
      </c>
      <c r="R3">
        <f>Q3*G3</f>
        <v>0</v>
      </c>
      <c r="S3">
        <f>Q3*K3</f>
        <v>0</v>
      </c>
      <c r="T3" s="34">
        <f>T$4</f>
        <v>2.3590945009140252E-9</v>
      </c>
      <c r="U3" s="17">
        <f>Q3*J3</f>
        <v>1.8858757889854775E-5</v>
      </c>
      <c r="W3" s="17">
        <f>Q3*I3</f>
        <v>1.7915819995362034E-3</v>
      </c>
      <c r="Z3" s="17">
        <f>Q3*F3</f>
        <v>7.5435031559419098E-5</v>
      </c>
    </row>
    <row r="4" spans="1:26" x14ac:dyDescent="0.25">
      <c r="A4" t="s">
        <v>32</v>
      </c>
      <c r="B4">
        <v>72000</v>
      </c>
      <c r="C4" s="22">
        <v>2</v>
      </c>
      <c r="D4">
        <v>296</v>
      </c>
      <c r="E4">
        <v>28.65</v>
      </c>
      <c r="F4" s="21">
        <v>0.83</v>
      </c>
      <c r="G4" s="21">
        <v>0.15</v>
      </c>
      <c r="H4" s="21">
        <v>0.01</v>
      </c>
      <c r="I4" s="21">
        <v>5.0000000000000001E-3</v>
      </c>
      <c r="J4" s="21">
        <v>5.0000000000000001E-3</v>
      </c>
      <c r="N4" s="20">
        <v>1.9999999999999999E-6</v>
      </c>
      <c r="O4" s="36"/>
      <c r="P4" t="s">
        <v>101</v>
      </c>
      <c r="Q4" s="19">
        <f>101325/((8.31446261815324/E4*1000)*D4)/1000</f>
        <v>1.1795472504570127E-3</v>
      </c>
      <c r="R4">
        <f>Q4*G4</f>
        <v>1.7693208756855192E-4</v>
      </c>
      <c r="S4">
        <f>Q4*K4</f>
        <v>0</v>
      </c>
      <c r="T4" s="18">
        <f>Q4*N4</f>
        <v>2.3590945009140252E-9</v>
      </c>
      <c r="U4" s="17">
        <f>Q4*J4</f>
        <v>5.8977362522850639E-6</v>
      </c>
      <c r="W4" s="17">
        <f>Q4*I4</f>
        <v>5.8977362522850639E-6</v>
      </c>
      <c r="X4" s="17">
        <f>H4*Q4</f>
        <v>1.1795472504570128E-5</v>
      </c>
      <c r="Z4" s="17">
        <f t="shared" ref="Z4:Z7" si="0">Q4*F4</f>
        <v>9.7902421787932048E-4</v>
      </c>
    </row>
    <row r="5" spans="1:26" x14ac:dyDescent="0.25">
      <c r="A5" t="s">
        <v>25</v>
      </c>
      <c r="B5">
        <v>450000</v>
      </c>
      <c r="C5" s="22">
        <v>1</v>
      </c>
      <c r="D5">
        <v>145</v>
      </c>
      <c r="E5">
        <v>2.59</v>
      </c>
      <c r="J5" s="24">
        <v>1E-3</v>
      </c>
      <c r="K5" s="21">
        <v>0.83</v>
      </c>
      <c r="L5" s="21">
        <v>0.15</v>
      </c>
      <c r="M5" s="21">
        <v>0.02</v>
      </c>
      <c r="O5" s="24">
        <v>1E-3</v>
      </c>
      <c r="P5" t="s">
        <v>100</v>
      </c>
      <c r="Q5" s="19">
        <f>101325/((8.31446261815324/E5*1000)*D5)/1000</f>
        <v>2.1767782489988911E-4</v>
      </c>
      <c r="R5">
        <f>Q5*G5</f>
        <v>0</v>
      </c>
      <c r="S5">
        <f>Q5*K5</f>
        <v>1.8067259466690797E-4</v>
      </c>
      <c r="T5" s="18">
        <f>Q5*N5</f>
        <v>0</v>
      </c>
      <c r="U5" s="23">
        <f>Q5*J5</f>
        <v>2.1767782489988912E-7</v>
      </c>
      <c r="V5" s="23">
        <f>Q5*O5</f>
        <v>2.1767782489988912E-7</v>
      </c>
      <c r="Y5" s="17">
        <f>Q5*M5</f>
        <v>4.3535564979977821E-6</v>
      </c>
      <c r="Z5" s="17">
        <f t="shared" si="0"/>
        <v>0</v>
      </c>
    </row>
    <row r="6" spans="1:26" x14ac:dyDescent="0.25">
      <c r="A6" t="s">
        <v>19</v>
      </c>
      <c r="B6">
        <v>72000</v>
      </c>
      <c r="C6" s="22">
        <v>0.15</v>
      </c>
      <c r="D6">
        <v>127</v>
      </c>
      <c r="E6">
        <v>27.89</v>
      </c>
      <c r="F6" s="21">
        <v>0.97</v>
      </c>
      <c r="J6" s="21">
        <v>0.01</v>
      </c>
      <c r="M6" s="21">
        <v>0.02</v>
      </c>
      <c r="N6" s="35">
        <f>T6/Q6</f>
        <v>8.8149147713507682E-7</v>
      </c>
      <c r="O6" s="36"/>
      <c r="P6" t="s">
        <v>99</v>
      </c>
      <c r="Q6" s="19">
        <f>101325/((8.31446261815324/E6*1000)*D6)/1000</f>
        <v>2.6762533298464613E-3</v>
      </c>
      <c r="R6">
        <f>Q6*G6</f>
        <v>0</v>
      </c>
      <c r="S6">
        <f>Q6*K6</f>
        <v>0</v>
      </c>
      <c r="T6" s="34">
        <f>T$4</f>
        <v>2.3590945009140252E-9</v>
      </c>
      <c r="U6" s="17">
        <f>Q6*J6</f>
        <v>2.6762533298464612E-5</v>
      </c>
      <c r="Y6" s="17">
        <f>Q6*M6</f>
        <v>5.3525066596929225E-5</v>
      </c>
      <c r="Z6" s="17">
        <f t="shared" si="0"/>
        <v>2.5959657299510675E-3</v>
      </c>
    </row>
    <row r="7" spans="1:26" x14ac:dyDescent="0.25">
      <c r="A7" t="s">
        <v>13</v>
      </c>
      <c r="B7">
        <v>41000</v>
      </c>
      <c r="C7" s="22">
        <v>1</v>
      </c>
      <c r="D7">
        <v>91</v>
      </c>
      <c r="E7">
        <v>27.95</v>
      </c>
      <c r="F7" s="21">
        <v>0.98499999999999999</v>
      </c>
      <c r="J7" s="21">
        <v>5.0000000000000001E-3</v>
      </c>
      <c r="M7" s="21">
        <v>0.01</v>
      </c>
      <c r="N7" s="35">
        <f>T7/Q7</f>
        <v>6.3026398491514756E-7</v>
      </c>
      <c r="O7" s="36"/>
      <c r="P7" t="s">
        <v>99</v>
      </c>
      <c r="Q7" s="19">
        <f>101325/((8.31446261815324/E7*1000)*D7)/1000</f>
        <v>3.7430260293734381E-3</v>
      </c>
      <c r="R7">
        <f>Q7*G7</f>
        <v>0</v>
      </c>
      <c r="S7">
        <f>Q7*K7</f>
        <v>0</v>
      </c>
      <c r="T7" s="34">
        <f>T$4</f>
        <v>2.3590945009140252E-9</v>
      </c>
      <c r="U7" s="17">
        <f>Q7*J7</f>
        <v>1.871513014686719E-5</v>
      </c>
      <c r="Y7" s="17">
        <f>Q7*M7</f>
        <v>3.7430260293734381E-5</v>
      </c>
      <c r="Z7" s="17">
        <f t="shared" si="0"/>
        <v>3.6868806389328363E-3</v>
      </c>
    </row>
  </sheetData>
  <mergeCells count="2">
    <mergeCell ref="F1:O1"/>
    <mergeCell ref="R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9E60-0C69-41DB-9ED5-2FBC52367CC2}">
  <dimension ref="A1:D16"/>
  <sheetViews>
    <sheetView tabSelected="1" workbookViewId="0">
      <selection activeCell="B16" sqref="B16"/>
    </sheetView>
  </sheetViews>
  <sheetFormatPr defaultRowHeight="15" x14ac:dyDescent="0.25"/>
  <cols>
    <col min="1" max="1" width="17" bestFit="1" customWidth="1"/>
    <col min="2" max="2" width="8" bestFit="1" customWidth="1"/>
    <col min="3" max="3" width="7" bestFit="1" customWidth="1"/>
  </cols>
  <sheetData>
    <row r="1" spans="1:4" s="11" customFormat="1" x14ac:dyDescent="0.25">
      <c r="A1" s="11" t="s">
        <v>134</v>
      </c>
      <c r="B1" s="27" t="s">
        <v>128</v>
      </c>
      <c r="C1" s="27" t="s">
        <v>129</v>
      </c>
    </row>
    <row r="2" spans="1:4" x14ac:dyDescent="0.25">
      <c r="A2" t="s">
        <v>127</v>
      </c>
      <c r="B2">
        <v>40</v>
      </c>
      <c r="C2">
        <v>100</v>
      </c>
      <c r="D2" t="s">
        <v>125</v>
      </c>
    </row>
    <row r="3" spans="1:4" x14ac:dyDescent="0.25">
      <c r="A3" t="s">
        <v>127</v>
      </c>
      <c r="B3">
        <f>B2/100</f>
        <v>0.4</v>
      </c>
      <c r="C3">
        <f>C2/100</f>
        <v>1</v>
      </c>
      <c r="D3" t="s">
        <v>126</v>
      </c>
    </row>
    <row r="4" spans="1:4" x14ac:dyDescent="0.25">
      <c r="A4" t="s">
        <v>130</v>
      </c>
      <c r="B4">
        <v>20</v>
      </c>
      <c r="C4">
        <v>10</v>
      </c>
      <c r="D4" t="s">
        <v>124</v>
      </c>
    </row>
    <row r="5" spans="1:4" x14ac:dyDescent="0.25">
      <c r="A5" t="s">
        <v>131</v>
      </c>
      <c r="B5">
        <f>B3/B4</f>
        <v>0.02</v>
      </c>
      <c r="C5">
        <f>C3/C4</f>
        <v>0.1</v>
      </c>
      <c r="D5" t="s">
        <v>119</v>
      </c>
    </row>
    <row r="6" spans="1:4" x14ac:dyDescent="0.25">
      <c r="A6" t="s">
        <v>40</v>
      </c>
      <c r="B6" s="21">
        <v>0.999</v>
      </c>
      <c r="C6" s="21">
        <v>0.999</v>
      </c>
    </row>
    <row r="7" spans="1:4" x14ac:dyDescent="0.25">
      <c r="A7" t="s">
        <v>132</v>
      </c>
      <c r="B7">
        <f>B6*B5</f>
        <v>1.9980000000000001E-2</v>
      </c>
      <c r="C7">
        <f>C6*C5</f>
        <v>9.9900000000000003E-2</v>
      </c>
      <c r="D7" t="s">
        <v>119</v>
      </c>
    </row>
    <row r="8" spans="1:4" x14ac:dyDescent="0.25">
      <c r="A8" t="s">
        <v>41</v>
      </c>
      <c r="B8" s="21">
        <f>1-B6</f>
        <v>1.0000000000000009E-3</v>
      </c>
      <c r="C8" s="21">
        <f>1-C6</f>
        <v>1.0000000000000009E-3</v>
      </c>
    </row>
    <row r="9" spans="1:4" x14ac:dyDescent="0.25">
      <c r="A9" t="s">
        <v>133</v>
      </c>
      <c r="B9">
        <f>B8*B5</f>
        <v>2.0000000000000019E-5</v>
      </c>
      <c r="C9">
        <f>C8*C5</f>
        <v>1.000000000000001E-4</v>
      </c>
      <c r="D9" t="s">
        <v>119</v>
      </c>
    </row>
    <row r="11" spans="1:4" x14ac:dyDescent="0.25">
      <c r="A11" s="11" t="s">
        <v>25</v>
      </c>
    </row>
    <row r="12" spans="1:4" x14ac:dyDescent="0.25">
      <c r="A12" t="s">
        <v>135</v>
      </c>
      <c r="B12">
        <v>2333</v>
      </c>
      <c r="D12" t="s">
        <v>137</v>
      </c>
    </row>
    <row r="13" spans="1:4" x14ac:dyDescent="0.25">
      <c r="A13" t="s">
        <v>136</v>
      </c>
      <c r="B13">
        <v>1333</v>
      </c>
      <c r="D13" t="s">
        <v>137</v>
      </c>
    </row>
    <row r="14" spans="1:4" x14ac:dyDescent="0.25">
      <c r="A14" t="s">
        <v>138</v>
      </c>
      <c r="B14">
        <v>3000000</v>
      </c>
      <c r="D14" t="s">
        <v>124</v>
      </c>
    </row>
    <row r="15" spans="1:4" x14ac:dyDescent="0.25">
      <c r="A15" t="s">
        <v>135</v>
      </c>
      <c r="B15">
        <f>ROUND(B12/1000*B$14,-6)-B$14</f>
        <v>4000000</v>
      </c>
      <c r="D15" t="s">
        <v>124</v>
      </c>
    </row>
    <row r="16" spans="1:4" x14ac:dyDescent="0.25">
      <c r="A16" t="s">
        <v>136</v>
      </c>
      <c r="B16">
        <f>ROUND(B13/1000*B$14,-6)-B$14</f>
        <v>1000000</v>
      </c>
      <c r="D16" t="s">
        <v>124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GEP_SpaceDust</vt:lpstr>
      <vt:lpstr>Details</vt:lpstr>
      <vt:lpstr>Atmo</vt:lpstr>
      <vt:lpstr>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2021-02-27T05:17:56Z</dcterms:created>
  <dcterms:modified xsi:type="dcterms:W3CDTF">2021-02-27T18:15:00Z</dcterms:modified>
</cp:coreProperties>
</file>