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3"/>
    <sheet state="visible" name="Stored food" sheetId="2" r:id="rId4"/>
  </sheets>
  <definedNames/>
  <calcPr/>
</workbook>
</file>

<file path=xl/sharedStrings.xml><?xml version="1.0" encoding="utf-8"?>
<sst xmlns="http://schemas.openxmlformats.org/spreadsheetml/2006/main" count="68" uniqueCount="52">
  <si>
    <t>Carbs (g)</t>
  </si>
  <si>
    <t>Protein (g)</t>
  </si>
  <si>
    <t>Fat (g)</t>
  </si>
  <si>
    <t>Calories (kcal)</t>
  </si>
  <si>
    <t>Averaged Daily Calories (kcal)</t>
  </si>
  <si>
    <t>Carbs</t>
  </si>
  <si>
    <t>Protein</t>
  </si>
  <si>
    <t>Fat</t>
  </si>
  <si>
    <t>Total grams:</t>
  </si>
  <si>
    <t>Calories per gram:</t>
  </si>
  <si>
    <t>Calories (kcal):</t>
  </si>
  <si>
    <t>Percentage of calories:</t>
  </si>
  <si>
    <t>Monday - Fast</t>
  </si>
  <si>
    <r>
      <rPr>
        <rFont val="Arial"/>
        <b/>
        <color rgb="FFB45F06"/>
        <sz val="12.0"/>
      </rPr>
      <t xml:space="preserve">Note: </t>
    </r>
    <r>
      <rPr>
        <rFont val="Arial"/>
        <b val="0"/>
        <color rgb="FFB45F06"/>
        <sz val="12.0"/>
      </rPr>
      <t>All foods measured by weight before cooking (fresh, raw, dry) unless otherwise specified</t>
    </r>
  </si>
  <si>
    <t>Food</t>
  </si>
  <si>
    <t>Weight (g, non-bold) / Quantity (#, bold)</t>
  </si>
  <si>
    <t>Chicken Breasts</t>
  </si>
  <si>
    <t>Veggies (Frozen) (Asian Medley)</t>
  </si>
  <si>
    <t>Ghee (Salted)</t>
  </si>
  <si>
    <t>instant pot at warm, 5 lbs butter, once melted 15 minutes on Soup Normal, put on lid and close pressure, let pressure release naturally</t>
  </si>
  <si>
    <t>Eggs (Large)</t>
  </si>
  <si>
    <t>English Muffins</t>
  </si>
  <si>
    <t xml:space="preserve">numbers of meals (n) = </t>
  </si>
  <si>
    <t>number of days (n) =</t>
  </si>
  <si>
    <t>Shopping List:</t>
  </si>
  <si>
    <t>Weight (oz)</t>
  </si>
  <si>
    <t>Weight (lb)</t>
  </si>
  <si>
    <t>Quantity (#)</t>
  </si>
  <si>
    <t>12oz bags</t>
  </si>
  <si>
    <t>-</t>
  </si>
  <si>
    <t>dozen</t>
  </si>
  <si>
    <t>packages</t>
  </si>
  <si>
    <t>Try:</t>
  </si>
  <si>
    <t>olive oil</t>
  </si>
  <si>
    <t>salmon</t>
  </si>
  <si>
    <t>Extra:</t>
  </si>
  <si>
    <t>Multi-vitamin (equate Women's Multivitamin Gummies) - switch to no sugar pill</t>
  </si>
  <si>
    <t>Lite salt (g): 4g</t>
  </si>
  <si>
    <t>Black pepper to taste</t>
  </si>
  <si>
    <t>Total grams/Quantity</t>
  </si>
  <si>
    <t>Maple Syrup (100% Pure Vermont Maple Syrup)</t>
  </si>
  <si>
    <t>Shrimp (Pre-cooked)</t>
  </si>
  <si>
    <t>Mustard (Yellow)</t>
  </si>
  <si>
    <t>Celery</t>
  </si>
  <si>
    <t>Pickles (Unsweetened)</t>
  </si>
  <si>
    <t>Cottage Cheese (Non- fat)</t>
  </si>
  <si>
    <t>Greek Yogurt (Whole Milk Plain) (Non-fat) (No added sugar)</t>
  </si>
  <si>
    <t>White Rice</t>
  </si>
  <si>
    <t>Fudge Striped Shortbread Cookies</t>
  </si>
  <si>
    <t>Mozzarella (Low-Moisture Part-Skim)</t>
  </si>
  <si>
    <t>Veggies (Frozen) (California Style)</t>
  </si>
  <si>
    <t>Potatoes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</si>
</sst>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0.0"/>
    <numFmt numFmtId="166" formatCode="m d yyyy"/>
    <numFmt numFmtId="167" formatCode="#,##0.0"/>
  </numFmts>
  <fonts count="13">
    <font>
      <sz val="10.0"/>
      <color rgb="FF000000"/>
      <name val="Arial"/>
    </font>
    <font>
      <color rgb="FFB45F06"/>
    </font>
    <font>
      <b/>
      <sz val="12.0"/>
      <color rgb="FFB45F06"/>
      <name val="Arial"/>
    </font>
    <font>
      <sz val="12.0"/>
      <color rgb="FFB45F06"/>
      <name val="Arial"/>
    </font>
    <font>
      <b/>
      <u/>
      <sz val="12.0"/>
      <color rgb="FFB45F06"/>
      <name val="Arial"/>
    </font>
    <font>
      <b/>
      <u/>
      <sz val="12.0"/>
      <color rgb="FFB45F06"/>
      <name val="Arial"/>
    </font>
    <font>
      <b/>
      <u/>
      <sz val="12.0"/>
      <color rgb="FFB45F06"/>
      <name val="Arial"/>
    </font>
    <font>
      <b/>
      <color rgb="FFB45F06"/>
    </font>
    <font>
      <u/>
      <sz val="12.0"/>
      <color rgb="FFB45F06"/>
      <name val="Arial"/>
    </font>
    <font>
      <sz val="12.0"/>
      <color rgb="FFB45F06"/>
      <name val="Open-sans"/>
    </font>
    <font>
      <b/>
      <color rgb="FFB45F06"/>
      <name val="Lato"/>
    </font>
    <font>
      <sz val="14.0"/>
      <color rgb="FFB45F06"/>
      <name val="Georgia"/>
    </font>
    <font>
      <u/>
      <sz val="12.0"/>
      <color rgb="FFB45F0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8">
    <border/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left style="double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shrinkToFit="0" wrapText="0"/>
    </xf>
    <xf borderId="0" fillId="2" fontId="2" numFmtId="0" xfId="0" applyAlignment="1" applyFont="1">
      <alignment readingOrder="0"/>
    </xf>
    <xf borderId="0" fillId="2" fontId="3" numFmtId="0" xfId="0" applyFont="1"/>
    <xf borderId="0" fillId="2" fontId="3" numFmtId="0" xfId="0" applyAlignment="1" applyFont="1">
      <alignment shrinkToFit="0" wrapText="0"/>
    </xf>
    <xf borderId="1" fillId="2" fontId="2" numFmtId="0" xfId="0" applyAlignment="1" applyBorder="1" applyFont="1">
      <alignment shrinkToFit="0" wrapText="0"/>
    </xf>
    <xf borderId="0" fillId="2" fontId="4" numFmtId="0" xfId="0" applyAlignment="1" applyFont="1">
      <alignment readingOrder="0" shrinkToFit="0" wrapText="0"/>
    </xf>
    <xf borderId="2" fillId="2" fontId="2" numFmtId="3" xfId="0" applyAlignment="1" applyBorder="1" applyFont="1" applyNumberFormat="1">
      <alignment shrinkToFit="0" wrapText="0"/>
    </xf>
    <xf borderId="0" fillId="2" fontId="3" numFmtId="0" xfId="0" applyAlignment="1" applyFont="1">
      <alignment readingOrder="0"/>
    </xf>
    <xf borderId="3" fillId="2" fontId="2" numFmtId="0" xfId="0" applyAlignment="1" applyBorder="1" applyFont="1">
      <alignment shrinkToFit="0" wrapText="0"/>
    </xf>
    <xf borderId="3" fillId="2" fontId="3" numFmtId="3" xfId="0" applyAlignment="1" applyBorder="1" applyFont="1" applyNumberFormat="1">
      <alignment shrinkToFit="0" wrapText="0"/>
    </xf>
    <xf borderId="2" fillId="2" fontId="3" numFmtId="3" xfId="0" applyAlignment="1" applyBorder="1" applyFont="1" applyNumberFormat="1">
      <alignment shrinkToFit="0" wrapText="0"/>
    </xf>
    <xf borderId="2" fillId="2" fontId="2" numFmtId="3" xfId="0" applyAlignment="1" applyBorder="1" applyFont="1" applyNumberFormat="1">
      <alignment readingOrder="0" shrinkToFit="0" wrapText="0"/>
    </xf>
    <xf borderId="0" fillId="2" fontId="5" numFmtId="0" xfId="0" applyAlignment="1" applyFont="1">
      <alignment shrinkToFit="0" wrapText="0"/>
    </xf>
    <xf borderId="0" fillId="2" fontId="6" numFmtId="0" xfId="0" applyAlignment="1" applyFont="1">
      <alignment readingOrder="0"/>
    </xf>
    <xf borderId="2" fillId="2" fontId="3" numFmtId="164" xfId="0" applyAlignment="1" applyBorder="1" applyFont="1" applyNumberFormat="1">
      <alignment shrinkToFit="0" wrapText="0"/>
    </xf>
    <xf borderId="0" fillId="2" fontId="3" numFmtId="3" xfId="0" applyAlignment="1" applyFont="1" applyNumberForma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3" xfId="0" applyAlignment="1" applyFont="1" applyNumberFormat="1">
      <alignment shrinkToFit="0" wrapText="0"/>
    </xf>
    <xf borderId="0" fillId="2" fontId="3" numFmtId="0" xfId="0" applyAlignment="1" applyFont="1">
      <alignment readingOrder="0" shrinkToFit="0" wrapText="0"/>
    </xf>
    <xf borderId="0" fillId="2" fontId="2" numFmtId="3" xfId="0" applyAlignment="1" applyFont="1" applyNumberFormat="1">
      <alignment readingOrder="0" shrinkToFit="0" wrapText="0"/>
    </xf>
    <xf borderId="0" fillId="2" fontId="2" numFmtId="3" xfId="0" applyAlignment="1" applyFont="1" applyNumberFormat="1">
      <alignment shrinkToFit="0" wrapText="0"/>
    </xf>
    <xf borderId="4" fillId="2" fontId="2" numFmtId="0" xfId="0" applyAlignment="1" applyBorder="1" applyFont="1">
      <alignment readingOrder="0" shrinkToFit="0" wrapText="0"/>
    </xf>
    <xf borderId="5" fillId="2" fontId="3" numFmtId="3" xfId="0" applyAlignment="1" applyBorder="1" applyFont="1" applyNumberFormat="1">
      <alignment shrinkToFit="0" wrapText="0"/>
    </xf>
    <xf borderId="6" fillId="2" fontId="2" numFmtId="0" xfId="0" applyAlignment="1" applyBorder="1" applyFont="1">
      <alignment readingOrder="0" shrinkToFit="0" wrapText="0"/>
    </xf>
    <xf borderId="7" fillId="2" fontId="3" numFmtId="3" xfId="0" applyAlignment="1" applyBorder="1" applyFont="1" applyNumberFormat="1">
      <alignment readingOrder="0" shrinkToFit="0" wrapText="0"/>
    </xf>
    <xf borderId="7" fillId="2" fontId="3" numFmtId="3" xfId="0" applyAlignment="1" applyBorder="1" applyFont="1" applyNumberFormat="1">
      <alignment shrinkToFit="0" wrapText="0"/>
    </xf>
    <xf borderId="8" fillId="2" fontId="3" numFmtId="3" xfId="0" applyAlignment="1" applyBorder="1" applyFont="1" applyNumberFormat="1">
      <alignment shrinkToFit="0" wrapText="0"/>
    </xf>
    <xf borderId="9" fillId="2" fontId="2" numFmtId="0" xfId="0" applyAlignment="1" applyBorder="1" applyFont="1">
      <alignment readingOrder="0" shrinkToFit="0" wrapText="0"/>
    </xf>
    <xf borderId="10" fillId="2" fontId="3" numFmtId="3" xfId="0" applyAlignment="1" applyBorder="1" applyFont="1" applyNumberFormat="1">
      <alignment readingOrder="0" shrinkToFit="0" wrapText="0"/>
    </xf>
    <xf borderId="10" fillId="2" fontId="3" numFmtId="3" xfId="0" applyAlignment="1" applyBorder="1" applyFont="1" applyNumberFormat="1">
      <alignment shrinkToFit="0" wrapText="0"/>
    </xf>
    <xf borderId="11" fillId="2" fontId="3" numFmtId="3" xfId="0" applyAlignment="1" applyBorder="1" applyFont="1" applyNumberFormat="1">
      <alignment shrinkToFit="0" wrapText="0"/>
    </xf>
    <xf borderId="0" fillId="2" fontId="7" numFmtId="0" xfId="0" applyAlignment="1" applyFont="1">
      <alignment readingOrder="0"/>
    </xf>
    <xf borderId="0" fillId="2" fontId="3" numFmtId="4" xfId="0" applyAlignment="1" applyFont="1" applyNumberFormat="1">
      <alignment readingOrder="0" shrinkToFit="0" wrapText="0"/>
    </xf>
    <xf borderId="0" fillId="2" fontId="3" numFmtId="165" xfId="0" applyAlignment="1" applyFont="1" applyNumberFormat="1">
      <alignment shrinkToFit="0" wrapText="0"/>
    </xf>
    <xf borderId="0" fillId="2" fontId="3" numFmtId="0" xfId="0" applyAlignment="1" applyFont="1">
      <alignment horizontal="left" shrinkToFit="0" wrapText="0"/>
    </xf>
    <xf borderId="0" fillId="2" fontId="2" numFmtId="0" xfId="0" applyFont="1"/>
    <xf borderId="0" fillId="2" fontId="3" numFmtId="0" xfId="0" applyFont="1"/>
    <xf borderId="0" fillId="2" fontId="8" numFmtId="166" xfId="0" applyAlignment="1" applyFont="1" applyNumberFormat="1">
      <alignment readingOrder="0" shrinkToFit="0" wrapText="0"/>
    </xf>
    <xf borderId="0" fillId="2" fontId="2" numFmtId="0" xfId="0" applyAlignment="1" applyFont="1">
      <alignment horizontal="left" readingOrder="0" shrinkToFit="0" wrapText="0"/>
    </xf>
    <xf borderId="0" fillId="2" fontId="2" numFmtId="0" xfId="0" applyAlignment="1" applyFont="1">
      <alignment readingOrder="0"/>
    </xf>
    <xf borderId="12" fillId="2" fontId="2" numFmtId="0" xfId="0" applyAlignment="1" applyBorder="1" applyFont="1">
      <alignment readingOrder="0" shrinkToFit="0" wrapText="0"/>
    </xf>
    <xf borderId="12" fillId="2" fontId="3" numFmtId="167" xfId="0" applyBorder="1" applyFont="1" applyNumberFormat="1"/>
    <xf borderId="13" fillId="2" fontId="3" numFmtId="167" xfId="0" applyBorder="1" applyFont="1" applyNumberFormat="1"/>
    <xf borderId="14" fillId="2" fontId="1" numFmtId="0" xfId="0" applyBorder="1" applyFont="1"/>
    <xf borderId="14" fillId="2" fontId="3" numFmtId="4" xfId="0" applyBorder="1" applyFont="1" applyNumberFormat="1"/>
    <xf borderId="0" fillId="2" fontId="3" numFmtId="4" xfId="0" applyAlignment="1" applyFont="1" applyNumberFormat="1">
      <alignment readingOrder="0"/>
    </xf>
    <xf borderId="0" fillId="2" fontId="9" numFmtId="0" xfId="0" applyAlignment="1" applyFont="1">
      <alignment readingOrder="0"/>
    </xf>
    <xf borderId="12" fillId="2" fontId="3" numFmtId="167" xfId="0" applyAlignment="1" applyBorder="1" applyFont="1" applyNumberFormat="1">
      <alignment horizontal="right" readingOrder="0"/>
    </xf>
    <xf borderId="0" fillId="2" fontId="1" numFmtId="0" xfId="0" applyAlignment="1" applyFont="1">
      <alignment readingOrder="0"/>
    </xf>
    <xf borderId="0" fillId="2" fontId="3" numFmtId="4" xfId="0" applyFont="1" applyNumberFormat="1"/>
    <xf borderId="0" fillId="2" fontId="10" numFmtId="0" xfId="0" applyAlignment="1" applyFont="1">
      <alignment horizontal="left" readingOrder="0" vertical="top"/>
    </xf>
    <xf borderId="0" fillId="2" fontId="11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12" numFmtId="0" xfId="0" applyAlignment="1" applyFont="1">
      <alignment readingOrder="0" shrinkToFit="0" wrapText="0"/>
    </xf>
    <xf borderId="4" fillId="2" fontId="3" numFmtId="0" xfId="0" applyAlignment="1" applyBorder="1" applyFont="1">
      <alignment readingOrder="0" shrinkToFit="0" wrapText="0"/>
    </xf>
    <xf borderId="15" fillId="2" fontId="2" numFmtId="0" xfId="0" applyAlignment="1" applyBorder="1" applyFont="1">
      <alignment readingOrder="0" shrinkToFit="0" wrapText="0"/>
    </xf>
    <xf borderId="16" fillId="2" fontId="3" numFmtId="3" xfId="0" applyAlignment="1" applyBorder="1" applyFont="1" applyNumberFormat="1">
      <alignment readingOrder="0" shrinkToFit="0" wrapText="0"/>
    </xf>
    <xf borderId="16" fillId="2" fontId="3" numFmtId="3" xfId="0" applyAlignment="1" applyBorder="1" applyFont="1" applyNumberFormat="1">
      <alignment shrinkToFit="0" wrapText="0"/>
    </xf>
    <xf borderId="17" fillId="2" fontId="3" numFmtId="3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4.57"/>
    <col customWidth="1" min="2" max="2" width="54.14"/>
    <col customWidth="1" min="3" max="3" width="44.14"/>
    <col customWidth="1" min="4" max="4" width="22.14"/>
    <col customWidth="1" min="5" max="5" width="16.57"/>
    <col customWidth="1" min="6" max="6" width="30.29"/>
    <col customWidth="1" min="7" max="7" width="36.0"/>
    <col customWidth="1" min="8" max="8" width="16.86"/>
    <col customWidth="1" min="9" max="9" width="21.29"/>
    <col customWidth="1" min="10" max="10" width="27.43"/>
    <col customWidth="1" min="11" max="11" width="18.0"/>
    <col customWidth="1" min="12" max="13" width="11.57"/>
    <col customWidth="1" min="14" max="30" width="8.71"/>
  </cols>
  <sheetData>
    <row r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4"/>
      <c r="I1" s="5"/>
      <c r="J1" s="6" t="s">
        <v>5</v>
      </c>
      <c r="K1" s="6" t="s">
        <v>6</v>
      </c>
      <c r="L1" s="6" t="s">
        <v>7</v>
      </c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/>
      <c r="B2" s="7" t="s">
        <v>8</v>
      </c>
      <c r="C2" s="8">
        <f t="shared" ref="C2:E2" si="1">CEILING(C13,1)*$B$15</f>
        <v>124</v>
      </c>
      <c r="D2" s="8">
        <f t="shared" si="1"/>
        <v>248</v>
      </c>
      <c r="E2" s="8">
        <f t="shared" si="1"/>
        <v>124</v>
      </c>
      <c r="F2" s="4"/>
      <c r="G2" s="9"/>
      <c r="H2" s="4"/>
      <c r="I2" s="10" t="s">
        <v>9</v>
      </c>
      <c r="J2" s="11">
        <v>4.0</v>
      </c>
      <c r="K2" s="11">
        <v>4.0</v>
      </c>
      <c r="L2" s="11">
        <v>9.0</v>
      </c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"/>
      <c r="B3" s="7" t="s">
        <v>10</v>
      </c>
      <c r="C3" s="12">
        <f>($C$2*$J$2)</f>
        <v>496</v>
      </c>
      <c r="D3" s="12">
        <f>($D$2*$K$2)</f>
        <v>992</v>
      </c>
      <c r="E3" s="12">
        <f>($E$2*$L$2)</f>
        <v>1116</v>
      </c>
      <c r="F3" s="13">
        <f>$F$13</f>
        <v>2597</v>
      </c>
      <c r="G3" s="13">
        <f>(($B$16*$F$3) + 0)/7</f>
        <v>2226</v>
      </c>
      <c r="H3" s="14"/>
      <c r="I3" s="5"/>
      <c r="J3" s="5"/>
      <c r="K3" s="5"/>
      <c r="L3" s="5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"/>
      <c r="B4" s="15" t="s">
        <v>11</v>
      </c>
      <c r="C4" s="16">
        <f>$C$3/$F$3</f>
        <v>0.1909896034</v>
      </c>
      <c r="D4" s="16">
        <f>$D$3/$F$3</f>
        <v>0.3819792068</v>
      </c>
      <c r="E4" s="16">
        <f>$E$3/$F$3</f>
        <v>0.4297266076</v>
      </c>
      <c r="F4" s="9"/>
      <c r="G4" s="17" t="s">
        <v>12</v>
      </c>
      <c r="H4" s="4"/>
      <c r="I4" s="5"/>
      <c r="J4" s="5"/>
      <c r="K4" s="5"/>
      <c r="L4" s="5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8" t="s">
        <v>13</v>
      </c>
      <c r="B5" s="19"/>
      <c r="C5" s="17"/>
      <c r="D5" s="19"/>
      <c r="E5" s="19"/>
      <c r="F5" s="1"/>
      <c r="G5" s="19"/>
      <c r="H5" s="19"/>
      <c r="I5" s="4"/>
      <c r="J5" s="4"/>
      <c r="K5" s="2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8"/>
      <c r="B6" s="21"/>
      <c r="C6" s="22"/>
      <c r="D6" s="22"/>
      <c r="E6" s="22"/>
      <c r="F6" s="22"/>
      <c r="G6" s="4"/>
      <c r="H6" s="20"/>
      <c r="I6" s="2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4"/>
      <c r="AC6" s="4"/>
      <c r="AD6" s="4"/>
    </row>
    <row r="7">
      <c r="A7" s="18" t="s">
        <v>14</v>
      </c>
      <c r="B7" s="18" t="s">
        <v>15</v>
      </c>
      <c r="C7" s="22" t="s">
        <v>0</v>
      </c>
      <c r="D7" s="22" t="s">
        <v>1</v>
      </c>
      <c r="E7" s="22" t="s">
        <v>2</v>
      </c>
      <c r="F7" s="22" t="s">
        <v>3</v>
      </c>
      <c r="G7" s="9"/>
      <c r="H7" s="20"/>
      <c r="I7" s="2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4"/>
      <c r="AC7" s="4"/>
      <c r="AD7" s="4"/>
    </row>
    <row r="8">
      <c r="A8" s="23" t="s">
        <v>16</v>
      </c>
      <c r="B8" s="17">
        <v>755.0</v>
      </c>
      <c r="C8" s="19">
        <f>$B8*0/100</f>
        <v>0</v>
      </c>
      <c r="D8" s="19">
        <f>$B8*23/100</f>
        <v>173.65</v>
      </c>
      <c r="E8" s="19">
        <f>$B8*2.1/100</f>
        <v>15.855</v>
      </c>
      <c r="F8" s="24">
        <f t="shared" ref="F8:F12" si="2">($C8*$J$2)+($D8*$K$2)+($E8*$L$2)</f>
        <v>837.295</v>
      </c>
      <c r="G8" s="9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4"/>
      <c r="AC8" s="4"/>
      <c r="AD8" s="4"/>
    </row>
    <row r="9">
      <c r="A9" s="25" t="s">
        <v>17</v>
      </c>
      <c r="B9" s="26">
        <v>340.0</v>
      </c>
      <c r="C9" s="27">
        <f>$B9*8.25/100</f>
        <v>28.05</v>
      </c>
      <c r="D9" s="27">
        <f>$B9*1/100</f>
        <v>3.4</v>
      </c>
      <c r="E9" s="27">
        <f>$B9*0.5/100</f>
        <v>1.7</v>
      </c>
      <c r="F9" s="28">
        <f t="shared" si="2"/>
        <v>141.1</v>
      </c>
      <c r="G9" s="9"/>
      <c r="H9" s="4"/>
      <c r="I9" s="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29" t="s">
        <v>18</v>
      </c>
      <c r="B10" s="30">
        <v>62.0</v>
      </c>
      <c r="C10" s="31">
        <f>$B10*0/100</f>
        <v>0</v>
      </c>
      <c r="D10" s="31">
        <f>$B10*0/100</f>
        <v>0</v>
      </c>
      <c r="E10" s="31">
        <f>$B10*100/100</f>
        <v>62</v>
      </c>
      <c r="F10" s="32">
        <f t="shared" si="2"/>
        <v>558</v>
      </c>
      <c r="G10" s="9" t="s">
        <v>19</v>
      </c>
      <c r="H10" s="4"/>
      <c r="I10" s="5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29" t="s">
        <v>20</v>
      </c>
      <c r="B11" s="30">
        <v>8.0</v>
      </c>
      <c r="C11" s="31">
        <f>$B11*0.45</f>
        <v>3.6</v>
      </c>
      <c r="D11" s="31">
        <f>$B11*6.3</f>
        <v>50.4</v>
      </c>
      <c r="E11" s="31">
        <f>$B11*5</f>
        <v>40</v>
      </c>
      <c r="F11" s="32">
        <f t="shared" si="2"/>
        <v>576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29" t="s">
        <v>21</v>
      </c>
      <c r="B12" s="30">
        <v>4.0</v>
      </c>
      <c r="C12" s="31">
        <f>$B12*23</f>
        <v>92</v>
      </c>
      <c r="D12" s="31">
        <f>$B12*5</f>
        <v>20</v>
      </c>
      <c r="E12" s="31">
        <f>$B12*1</f>
        <v>4</v>
      </c>
      <c r="F12" s="32">
        <f t="shared" si="2"/>
        <v>484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33"/>
      <c r="B13" s="1"/>
      <c r="C13" s="22">
        <f t="shared" ref="C13:F13" si="3">CEILING(SUM(C8:C12),1)</f>
        <v>124</v>
      </c>
      <c r="D13" s="22">
        <f t="shared" si="3"/>
        <v>248</v>
      </c>
      <c r="E13" s="22">
        <f t="shared" si="3"/>
        <v>124</v>
      </c>
      <c r="F13" s="22">
        <f t="shared" si="3"/>
        <v>2597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8"/>
      <c r="B14" s="34"/>
      <c r="C14" s="1"/>
      <c r="D14" s="1"/>
      <c r="E14" s="1"/>
      <c r="F14" s="1"/>
      <c r="G14" s="4"/>
      <c r="H14" s="4"/>
      <c r="I14" s="5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20" t="s">
        <v>22</v>
      </c>
      <c r="B15" s="17">
        <v>1.0</v>
      </c>
      <c r="C15" s="20"/>
      <c r="D15" s="5"/>
      <c r="E15" s="20"/>
      <c r="F15" s="9"/>
      <c r="G15" s="20"/>
      <c r="H15" s="5"/>
      <c r="I15" s="35"/>
      <c r="J15" s="4"/>
      <c r="K15" s="5"/>
      <c r="L15" s="2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 t="s">
        <v>23</v>
      </c>
      <c r="B16" s="17">
        <v>6.0</v>
      </c>
      <c r="C16" s="20"/>
      <c r="D16" s="5"/>
      <c r="E16" s="20"/>
      <c r="F16" s="9"/>
      <c r="G16" s="20"/>
      <c r="H16" s="5"/>
      <c r="I16" s="35"/>
      <c r="J16" s="4"/>
      <c r="K16" s="5"/>
      <c r="L16" s="2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36"/>
      <c r="B17" s="5"/>
      <c r="C17" s="37"/>
      <c r="D17" s="37"/>
      <c r="E17" s="38"/>
      <c r="F17" s="9"/>
      <c r="G17" s="39"/>
      <c r="H17" s="9"/>
      <c r="I17" s="5"/>
      <c r="J17" s="9"/>
      <c r="K17" s="5"/>
      <c r="L17" s="2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40" t="s">
        <v>24</v>
      </c>
      <c r="B18" s="1"/>
      <c r="C18" s="18" t="s">
        <v>15</v>
      </c>
      <c r="D18" s="3" t="s">
        <v>25</v>
      </c>
      <c r="E18" s="41" t="s">
        <v>26</v>
      </c>
      <c r="F18" s="3" t="s">
        <v>27</v>
      </c>
      <c r="G18" s="1"/>
      <c r="H18" s="1"/>
      <c r="I18" s="1"/>
      <c r="J18" s="1"/>
      <c r="K18" s="15"/>
      <c r="L18" s="1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2"/>
      <c r="Y18" s="5"/>
      <c r="Z18" s="5"/>
      <c r="AA18" s="5"/>
      <c r="AB18" s="5"/>
      <c r="AC18" s="5"/>
      <c r="AD18" s="5"/>
    </row>
    <row r="19">
      <c r="A19" s="18" t="b">
        <v>0</v>
      </c>
      <c r="B19" s="42" t="str">
        <f t="shared" ref="B19:B23" si="4">A8</f>
        <v>Chicken Breasts</v>
      </c>
      <c r="C19" s="43">
        <f t="shared" ref="C19:C23" si="5">($B$15*$B$16*$B8)</f>
        <v>4530</v>
      </c>
      <c r="D19" s="43">
        <f t="shared" ref="D19:D21" si="6">ROUND($C19*0.03527396195,0)</f>
        <v>160</v>
      </c>
      <c r="E19" s="44">
        <f t="shared" ref="E19:E21" si="7">$D19/16</f>
        <v>10</v>
      </c>
      <c r="F19" s="45"/>
      <c r="G19" s="1"/>
      <c r="H19" s="1"/>
      <c r="I19" s="1"/>
      <c r="J19" s="1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8" t="b">
        <v>0</v>
      </c>
      <c r="B20" s="42" t="str">
        <f t="shared" si="4"/>
        <v>Veggies (Frozen) (Asian Medley)</v>
      </c>
      <c r="C20" s="43">
        <f t="shared" si="5"/>
        <v>2040</v>
      </c>
      <c r="D20" s="43">
        <f t="shared" si="6"/>
        <v>72</v>
      </c>
      <c r="E20" s="44">
        <f t="shared" si="7"/>
        <v>4.5</v>
      </c>
      <c r="F20" s="46">
        <f>D20/12</f>
        <v>6</v>
      </c>
      <c r="G20" s="47" t="s">
        <v>28</v>
      </c>
      <c r="H20" s="48"/>
      <c r="I20" s="1"/>
      <c r="J20" s="1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8" t="b">
        <v>0</v>
      </c>
      <c r="B21" s="42" t="str">
        <f t="shared" si="4"/>
        <v>Ghee (Salted)</v>
      </c>
      <c r="C21" s="43">
        <f t="shared" si="5"/>
        <v>372</v>
      </c>
      <c r="D21" s="43">
        <f t="shared" si="6"/>
        <v>13</v>
      </c>
      <c r="E21" s="44">
        <f t="shared" si="7"/>
        <v>0.8125</v>
      </c>
      <c r="F21" s="45"/>
      <c r="G21" s="1"/>
      <c r="H21" s="4"/>
      <c r="I21" s="1"/>
      <c r="J21" s="1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8" t="b">
        <v>0</v>
      </c>
      <c r="B22" s="42" t="str">
        <f t="shared" si="4"/>
        <v>Eggs (Large)</v>
      </c>
      <c r="C22" s="43">
        <f t="shared" si="5"/>
        <v>48</v>
      </c>
      <c r="D22" s="49" t="s">
        <v>29</v>
      </c>
      <c r="E22" s="49" t="s">
        <v>29</v>
      </c>
      <c r="F22" s="46">
        <f>C22/12</f>
        <v>4</v>
      </c>
      <c r="G22" s="50" t="s">
        <v>30</v>
      </c>
      <c r="H22" s="4"/>
      <c r="I22" s="1"/>
      <c r="J22" s="1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8" t="b">
        <v>0</v>
      </c>
      <c r="B23" s="42" t="str">
        <f t="shared" si="4"/>
        <v>English Muffins</v>
      </c>
      <c r="C23" s="43">
        <f t="shared" si="5"/>
        <v>24</v>
      </c>
      <c r="D23" s="49" t="s">
        <v>29</v>
      </c>
      <c r="E23" s="49" t="s">
        <v>29</v>
      </c>
      <c r="F23" s="46">
        <f>C23/6</f>
        <v>4</v>
      </c>
      <c r="G23" s="50" t="s">
        <v>31</v>
      </c>
      <c r="H23" s="4"/>
      <c r="I23" s="1"/>
      <c r="J23" s="1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33"/>
      <c r="B24" s="1"/>
      <c r="C24" s="1"/>
      <c r="D24" s="1"/>
      <c r="E24" s="1"/>
      <c r="F24" s="1"/>
      <c r="G24" s="1"/>
      <c r="H24" s="4"/>
      <c r="I24" s="1"/>
      <c r="J24" s="1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33"/>
      <c r="B25" s="15" t="s">
        <v>32</v>
      </c>
      <c r="C25" s="20"/>
      <c r="D25" s="51"/>
      <c r="E25" s="51"/>
      <c r="F25" s="50"/>
      <c r="G25" s="5"/>
      <c r="H25" s="1"/>
      <c r="I25" s="1"/>
      <c r="J25" s="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33"/>
      <c r="B26" s="47" t="s">
        <v>33</v>
      </c>
      <c r="C26" s="1"/>
      <c r="D26" s="51"/>
      <c r="E26" s="51"/>
      <c r="F26" s="5"/>
      <c r="G26" s="5"/>
      <c r="H26" s="1"/>
      <c r="I26" s="5"/>
      <c r="J26" s="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"/>
      <c r="B27" s="50" t="s">
        <v>34</v>
      </c>
      <c r="C27" s="1"/>
      <c r="D27" s="51"/>
      <c r="E27" s="51"/>
      <c r="F27" s="5"/>
      <c r="G27" s="20"/>
      <c r="H27" s="5"/>
      <c r="I27" s="5"/>
      <c r="J27" s="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"/>
      <c r="B28" s="1"/>
      <c r="C28" s="1"/>
      <c r="D28" s="51"/>
      <c r="E28" s="51"/>
      <c r="F28" s="5"/>
      <c r="G28" s="5"/>
      <c r="H28" s="5"/>
      <c r="I28" s="5"/>
      <c r="J28" s="5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9" t="s">
        <v>35</v>
      </c>
      <c r="B29" s="1"/>
      <c r="C29" s="1"/>
      <c r="D29" s="51"/>
      <c r="E29" s="51"/>
      <c r="F29" s="5"/>
      <c r="G29" s="5"/>
      <c r="H29" s="5"/>
      <c r="I29" s="5"/>
      <c r="J29" s="5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4" t="s">
        <v>36</v>
      </c>
      <c r="B30" s="1"/>
      <c r="C30" s="47"/>
      <c r="D30" s="51"/>
      <c r="E30" s="51"/>
      <c r="F30" s="5"/>
      <c r="G30" s="5"/>
      <c r="H30" s="5"/>
      <c r="I30" s="5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9" t="s">
        <v>37</v>
      </c>
      <c r="B31" s="1"/>
      <c r="C31" s="47"/>
      <c r="D31" s="51"/>
      <c r="E31" s="51"/>
      <c r="F31" s="5"/>
      <c r="G31" s="5"/>
      <c r="H31" s="5"/>
      <c r="I31" s="5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47" t="s">
        <v>38</v>
      </c>
      <c r="B32" s="1"/>
      <c r="C32" s="47"/>
      <c r="D32" s="51"/>
      <c r="E32" s="51"/>
      <c r="F32" s="5"/>
      <c r="G32" s="5"/>
      <c r="H32" s="5"/>
      <c r="I32" s="5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20"/>
      <c r="B33" s="1"/>
      <c r="C33" s="9"/>
      <c r="D33" s="51"/>
      <c r="E33" s="51"/>
      <c r="F33" s="5"/>
      <c r="G33" s="20"/>
      <c r="H33" s="5"/>
      <c r="I33" s="5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20"/>
      <c r="B34" s="9"/>
      <c r="C34" s="9"/>
      <c r="D34" s="4"/>
      <c r="E34" s="4"/>
      <c r="F34" s="5"/>
      <c r="G34" s="4"/>
      <c r="H34" s="20"/>
      <c r="I34" s="5"/>
      <c r="J34" s="4"/>
      <c r="K34" s="20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9"/>
      <c r="B35" s="20"/>
      <c r="C35" s="20"/>
      <c r="D35" s="20"/>
      <c r="E35" s="20"/>
      <c r="F35" s="5"/>
      <c r="G35" s="2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1"/>
    </row>
    <row r="36">
      <c r="A36" s="55"/>
      <c r="B36" s="20"/>
      <c r="C36" s="20"/>
      <c r="D36" s="5"/>
      <c r="E36" s="5"/>
      <c r="F36" s="5"/>
      <c r="G36" s="4"/>
      <c r="H36" s="5"/>
      <c r="I36" s="5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9"/>
      <c r="B37" s="20"/>
      <c r="C37" s="20"/>
      <c r="D37" s="5"/>
      <c r="E37" s="5"/>
      <c r="F37" s="5"/>
      <c r="G37" s="5"/>
      <c r="H37" s="5"/>
      <c r="I37" s="5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"/>
      <c r="B38" s="2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4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"/>
      <c r="B41" s="2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2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2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5"/>
      <c r="D216" s="5"/>
      <c r="E216" s="5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5"/>
      <c r="D217" s="5"/>
      <c r="E217" s="5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5"/>
      <c r="D218" s="5"/>
      <c r="E218" s="5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5"/>
      <c r="D219" s="5"/>
      <c r="E219" s="5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5"/>
      <c r="D220" s="5"/>
      <c r="E220" s="5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5"/>
      <c r="D221" s="5"/>
      <c r="E221" s="5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5"/>
      <c r="D222" s="5"/>
      <c r="E222" s="5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5"/>
      <c r="D223" s="5"/>
      <c r="E223" s="5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5"/>
      <c r="D224" s="5"/>
      <c r="E224" s="5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4"/>
      <c r="B225" s="5"/>
      <c r="C225" s="5"/>
      <c r="D225" s="5"/>
      <c r="E225" s="5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4"/>
      <c r="B226" s="5"/>
      <c r="C226" s="5"/>
      <c r="D226" s="5"/>
      <c r="E226" s="5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4"/>
      <c r="B227" s="5"/>
      <c r="C227" s="5"/>
      <c r="D227" s="5"/>
      <c r="E227" s="5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4"/>
      <c r="B228" s="5"/>
      <c r="C228" s="5"/>
      <c r="D228" s="5"/>
      <c r="E228" s="5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4"/>
      <c r="B229" s="4"/>
      <c r="C229" s="4"/>
      <c r="D229" s="4"/>
      <c r="E229" s="4"/>
      <c r="F229" s="4"/>
      <c r="G229" s="4"/>
      <c r="H229" s="5"/>
      <c r="I229" s="5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1"/>
      <c r="B980" s="4"/>
      <c r="C980" s="4"/>
      <c r="D980" s="4"/>
      <c r="E980" s="4"/>
      <c r="F980" s="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1"/>
      <c r="B981" s="4"/>
      <c r="C981" s="4"/>
      <c r="D981" s="4"/>
      <c r="E981" s="4"/>
      <c r="F981" s="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1"/>
      <c r="B982" s="4"/>
      <c r="C982" s="4"/>
      <c r="D982" s="4"/>
      <c r="E982" s="4"/>
      <c r="F982" s="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1"/>
      <c r="B983" s="4"/>
      <c r="C983" s="4"/>
      <c r="D983" s="4"/>
      <c r="E983" s="4"/>
      <c r="F983" s="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1"/>
      <c r="B984" s="1"/>
      <c r="C984" s="1"/>
      <c r="D984" s="1"/>
      <c r="E984" s="1"/>
      <c r="F984" s="1"/>
      <c r="G984" s="1"/>
      <c r="H984" s="4"/>
      <c r="I984" s="4"/>
      <c r="J984" s="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2.43"/>
    <col customWidth="1" min="2" max="2" width="23.57"/>
  </cols>
  <sheetData>
    <row r="1">
      <c r="A1" s="18" t="s">
        <v>14</v>
      </c>
      <c r="B1" s="21" t="s">
        <v>39</v>
      </c>
      <c r="C1" s="22" t="s">
        <v>0</v>
      </c>
      <c r="D1" s="22" t="s">
        <v>1</v>
      </c>
      <c r="E1" s="22" t="s">
        <v>2</v>
      </c>
      <c r="F1" s="22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3" t="s">
        <v>40</v>
      </c>
      <c r="B2" s="17">
        <v>50.0</v>
      </c>
      <c r="C2" s="19">
        <f>$B2*67.1/100</f>
        <v>33.55</v>
      </c>
      <c r="D2" s="19">
        <f>$B2*0/100</f>
        <v>0</v>
      </c>
      <c r="E2" s="19">
        <f>$B2*0.2/100</f>
        <v>0.1</v>
      </c>
      <c r="F2" s="24" t="str">
        <f>($C2*Daily!$J$2)+($D2*Daily!$K$2)+($E2*Daily!$L$2)</f>
        <v>#REF!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25" t="s">
        <v>41</v>
      </c>
      <c r="B3" s="26">
        <v>113.0</v>
      </c>
      <c r="C3" s="27">
        <f>$B3*2.4/100</f>
        <v>2.712</v>
      </c>
      <c r="D3" s="27">
        <f>$B3*23.8/100</f>
        <v>26.894</v>
      </c>
      <c r="E3" s="27">
        <f>$B3*1.8/100</f>
        <v>2.034</v>
      </c>
      <c r="F3" s="28" t="str">
        <f t="shared" ref="F3:F8" si="1">($C3*'Daily - At Home'!$J$2)+($D3*'Daily - At Home'!$K$2)+($E3*'Daily - At Home'!$L$2)</f>
        <v>#REF!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23" t="s">
        <v>42</v>
      </c>
      <c r="B4" s="17">
        <v>22.0</v>
      </c>
      <c r="C4" s="19">
        <f>$B4*7.8/100</f>
        <v>1.716</v>
      </c>
      <c r="D4" s="19">
        <f>$B4*4/100</f>
        <v>0.88</v>
      </c>
      <c r="E4" s="19">
        <f>$B4*3.1/100</f>
        <v>0.682</v>
      </c>
      <c r="F4" s="24" t="str">
        <f t="shared" si="1"/>
        <v>#REF!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23" t="s">
        <v>43</v>
      </c>
      <c r="B5" s="17">
        <v>76.0</v>
      </c>
      <c r="C5" s="19">
        <f>$B5*3/100</f>
        <v>2.28</v>
      </c>
      <c r="D5" s="19">
        <f>$B5*0.7/100</f>
        <v>0.532</v>
      </c>
      <c r="E5" s="19">
        <f t="shared" ref="E5:E6" si="2">$B5*0.2/100</f>
        <v>0.152</v>
      </c>
      <c r="F5" s="24" t="str">
        <f t="shared" si="1"/>
        <v>#REF!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23" t="s">
        <v>44</v>
      </c>
      <c r="B6" s="17">
        <v>70.0</v>
      </c>
      <c r="C6" s="19">
        <f>$B6*4.2/100</f>
        <v>2.94</v>
      </c>
      <c r="D6" s="19">
        <f>$B6*0.6/100</f>
        <v>0.42</v>
      </c>
      <c r="E6" s="19">
        <f t="shared" si="2"/>
        <v>0.14</v>
      </c>
      <c r="F6" s="24" t="str">
        <f t="shared" si="1"/>
        <v>#REF!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29" t="s">
        <v>20</v>
      </c>
      <c r="B7" s="30">
        <v>4.0</v>
      </c>
      <c r="C7" s="31">
        <f>$B7*0.45</f>
        <v>1.8</v>
      </c>
      <c r="D7" s="31">
        <f>$B7*6.3</f>
        <v>25.2</v>
      </c>
      <c r="E7" s="31">
        <f>$B7*5</f>
        <v>20</v>
      </c>
      <c r="F7" s="32" t="str">
        <f t="shared" si="1"/>
        <v>#REF!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56" t="s">
        <v>45</v>
      </c>
      <c r="B8" s="17">
        <v>113.0</v>
      </c>
      <c r="C8" s="19">
        <f>$B8*4/100</f>
        <v>4.52</v>
      </c>
      <c r="D8" s="19">
        <f>$B8*12.5/100</f>
        <v>14.125</v>
      </c>
      <c r="E8" s="19">
        <f>$B8*4/100</f>
        <v>4.52</v>
      </c>
      <c r="F8" s="24" t="str">
        <f t="shared" si="1"/>
        <v>#REF!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23" t="s">
        <v>46</v>
      </c>
      <c r="B9" s="17">
        <v>302.0</v>
      </c>
      <c r="C9" s="19">
        <f>$B9*4.1/100</f>
        <v>12.382</v>
      </c>
      <c r="D9" s="19">
        <f>$B9*10.2/100</f>
        <v>30.804</v>
      </c>
      <c r="E9" s="19">
        <f>$B9*0.4/100</f>
        <v>1.208</v>
      </c>
      <c r="F9" s="24" t="str">
        <f>($C9*Daily!$J$2)+($D9*Daily!$K$2)+($E9*Daily!$L$2)</f>
        <v>#REF!</v>
      </c>
      <c r="G9" s="9"/>
      <c r="H9" s="4"/>
      <c r="I9" s="5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25" t="s">
        <v>47</v>
      </c>
      <c r="B10" s="26">
        <v>0.0</v>
      </c>
      <c r="C10" s="27">
        <f>$B10*81.4/100</f>
        <v>0</v>
      </c>
      <c r="D10" s="27">
        <f>$B10*7.6/100</f>
        <v>0</v>
      </c>
      <c r="E10" s="27">
        <f>$B10*1.2/100</f>
        <v>0</v>
      </c>
      <c r="F10" s="28">
        <f t="shared" ref="F10:F16" si="3">($C10*$J$2)+($D10*$K$2)+($E10*$L$2)</f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23" t="s">
        <v>48</v>
      </c>
      <c r="B11" s="21">
        <v>15.0</v>
      </c>
      <c r="C11" s="17">
        <f>$B11*8.5</f>
        <v>127.5</v>
      </c>
      <c r="D11" s="19">
        <f>$B11*0.25</f>
        <v>3.75</v>
      </c>
      <c r="E11" s="19">
        <f>$B11*2.4</f>
        <v>36</v>
      </c>
      <c r="F11" s="24">
        <f t="shared" si="3"/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57" t="s">
        <v>16</v>
      </c>
      <c r="B12" s="58">
        <v>750.0</v>
      </c>
      <c r="C12" s="59">
        <f>$B12*0/100</f>
        <v>0</v>
      </c>
      <c r="D12" s="59">
        <f>$B12*23/100</f>
        <v>172.5</v>
      </c>
      <c r="E12" s="59">
        <f>$B12*2.1/100</f>
        <v>15.75</v>
      </c>
      <c r="F12" s="60">
        <f t="shared" si="3"/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57" t="s">
        <v>49</v>
      </c>
      <c r="B13" s="58">
        <v>75.0</v>
      </c>
      <c r="C13" s="59">
        <f>$B13*7.2/100</f>
        <v>5.4</v>
      </c>
      <c r="D13" s="59">
        <f>$B13*25/100</f>
        <v>18.75</v>
      </c>
      <c r="E13" s="59">
        <f>$B13*21.5/100</f>
        <v>16.125</v>
      </c>
      <c r="F13" s="60">
        <f t="shared" si="3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23" t="s">
        <v>50</v>
      </c>
      <c r="B14" s="17">
        <v>225.0</v>
      </c>
      <c r="C14" s="19">
        <f>$B14*6/100</f>
        <v>13.5</v>
      </c>
      <c r="D14" s="19">
        <f>$B14*2.4/100</f>
        <v>5.4</v>
      </c>
      <c r="E14" s="19">
        <f>$B14*0.52/100</f>
        <v>1.17</v>
      </c>
      <c r="F14" s="24">
        <f t="shared" si="3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29" t="s">
        <v>18</v>
      </c>
      <c r="B15" s="30">
        <v>30.0</v>
      </c>
      <c r="C15" s="31">
        <f>$B15*0/100</f>
        <v>0</v>
      </c>
      <c r="D15" s="31">
        <f>$B15*0/100</f>
        <v>0</v>
      </c>
      <c r="E15" s="31">
        <f>$B15*100/100</f>
        <v>30</v>
      </c>
      <c r="F15" s="32">
        <f t="shared" si="3"/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25" t="s">
        <v>51</v>
      </c>
      <c r="B16" s="26">
        <v>100.0</v>
      </c>
      <c r="C16" s="27">
        <f>$B16*17.5/100</f>
        <v>17.5</v>
      </c>
      <c r="D16" s="27">
        <f>$B16*2/100</f>
        <v>2</v>
      </c>
      <c r="E16" s="27">
        <f>$B16*0.1/100</f>
        <v>0.1</v>
      </c>
      <c r="F16" s="28">
        <f t="shared" si="3"/>
        <v>0</v>
      </c>
      <c r="G16" s="9"/>
      <c r="H16" s="4"/>
      <c r="I16" s="5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</sheetData>
  <drawing r:id="rId1"/>
</worksheet>
</file>