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5.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filterPrivacy="1"/>
  <xr:revisionPtr revIDLastSave="0" documentId="13_ncr:1_{ECAB5EAC-FB82-E649-9DC4-DF9C3040818D}" xr6:coauthVersionLast="47" xr6:coauthVersionMax="47" xr10:uidLastSave="{00000000-0000-0000-0000-000000000000}"/>
  <bookViews>
    <workbookView xWindow="120" yWindow="500" windowWidth="51080" windowHeight="26520" xr2:uid="{00000000-000D-0000-FFFF-FFFF00000000}"/>
  </bookViews>
  <sheets>
    <sheet name="Vetroz_Blätter" sheetId="9" r:id="rId1"/>
    <sheet name="Diagramme_LWP_TWD" sheetId="11" r:id="rId2"/>
    <sheet name="Diagramme_LWP_Cond" sheetId="13" r:id="rId3"/>
    <sheet name="Diagramme_TWD_Cond" sheetId="15" r:id="rId4"/>
    <sheet name="Graphik_alle_Parameter"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4" i="9" l="1"/>
  <c r="S3" i="9"/>
  <c r="AY171" i="9"/>
  <c r="AY143" i="9"/>
  <c r="AW171" i="9"/>
  <c r="AW143" i="9"/>
  <c r="S49" i="9"/>
  <c r="R49" i="9"/>
  <c r="S8" i="9"/>
  <c r="S386" i="9"/>
  <c r="S385" i="9"/>
  <c r="S310" i="9"/>
  <c r="S309" i="9"/>
  <c r="S234" i="9"/>
  <c r="S233" i="9"/>
  <c r="S169" i="9"/>
  <c r="S168" i="9"/>
  <c r="S106" i="9"/>
  <c r="S105" i="9"/>
  <c r="S47" i="9"/>
  <c r="S42" i="9"/>
  <c r="T5" i="9"/>
  <c r="AC236" i="9" l="1"/>
  <c r="AC232" i="9"/>
  <c r="AC226" i="9"/>
  <c r="AC225" i="9"/>
  <c r="AC224" i="9"/>
  <c r="AC219" i="9"/>
  <c r="AC218" i="9"/>
  <c r="AC213" i="9"/>
  <c r="AC212" i="9"/>
  <c r="AC205" i="9"/>
  <c r="AC204" i="9"/>
  <c r="AC203" i="9"/>
  <c r="AC202" i="9"/>
  <c r="AC195" i="9"/>
  <c r="AC194" i="9"/>
  <c r="AC193" i="9"/>
  <c r="AC192" i="9"/>
  <c r="AC171" i="9"/>
  <c r="AC167" i="9"/>
  <c r="AC161" i="9"/>
  <c r="AC160" i="9"/>
  <c r="AC159" i="9"/>
  <c r="AC162" i="9"/>
  <c r="AC154" i="9"/>
  <c r="AC153" i="9"/>
  <c r="AC148" i="9"/>
  <c r="AC147" i="9"/>
  <c r="AC140" i="9"/>
  <c r="AC139" i="9"/>
  <c r="AC138" i="9"/>
  <c r="AC137" i="9"/>
  <c r="AC129" i="9"/>
  <c r="AC128" i="9"/>
  <c r="AC127" i="9"/>
  <c r="AC126" i="9"/>
  <c r="AC125" i="9"/>
  <c r="AC240" i="9"/>
  <c r="AC238" i="9"/>
  <c r="AC237" i="9"/>
  <c r="AC234" i="9"/>
  <c r="AC233" i="9"/>
  <c r="AC230" i="9"/>
  <c r="AC229" i="9"/>
  <c r="AC228" i="9"/>
  <c r="AC227" i="9"/>
  <c r="AC222" i="9"/>
  <c r="AC221" i="9"/>
  <c r="AC220" i="9"/>
  <c r="AC216" i="9"/>
  <c r="AC215" i="9"/>
  <c r="AC214" i="9"/>
  <c r="AC210" i="9"/>
  <c r="AC209" i="9"/>
  <c r="AC208" i="9"/>
  <c r="AC207" i="9"/>
  <c r="AC206" i="9"/>
  <c r="AC200" i="9"/>
  <c r="AC199" i="9"/>
  <c r="AC198" i="9"/>
  <c r="AC197" i="9"/>
  <c r="AC196" i="9"/>
  <c r="AC175" i="9"/>
  <c r="AC173" i="9"/>
  <c r="AC172" i="9"/>
  <c r="AC169" i="9"/>
  <c r="AC168" i="9"/>
  <c r="AC165" i="9"/>
  <c r="AC164" i="9"/>
  <c r="AC163" i="9"/>
  <c r="AC157" i="9"/>
  <c r="AC156" i="9"/>
  <c r="AC155" i="9"/>
  <c r="AC151" i="9"/>
  <c r="AC150" i="9"/>
  <c r="AC149" i="9"/>
  <c r="AC145" i="9"/>
  <c r="AC144" i="9"/>
  <c r="AC143" i="9"/>
  <c r="AC142" i="9"/>
  <c r="AC141" i="9"/>
  <c r="AC131" i="9"/>
  <c r="AC132" i="9"/>
  <c r="AC133" i="9"/>
  <c r="AC134" i="9"/>
  <c r="AC135" i="9"/>
  <c r="AC130" i="9"/>
  <c r="AE130" i="9"/>
  <c r="S45" i="9" l="1"/>
  <c r="T390" i="9" l="1"/>
  <c r="T388" i="9"/>
  <c r="T389" i="9"/>
  <c r="T314" i="9"/>
  <c r="T312" i="9"/>
  <c r="T313" i="9"/>
  <c r="T238" i="9"/>
  <c r="T236" i="9"/>
  <c r="T237" i="9"/>
  <c r="T173" i="9"/>
  <c r="T171" i="9"/>
  <c r="T172" i="9"/>
  <c r="T110" i="9"/>
  <c r="T108" i="9"/>
  <c r="T109" i="9"/>
  <c r="T51" i="9"/>
  <c r="T49" i="9"/>
  <c r="T50" i="9"/>
  <c r="S390" i="9"/>
  <c r="R390" i="9"/>
  <c r="S389" i="9"/>
  <c r="R389" i="9"/>
  <c r="S388" i="9"/>
  <c r="R388" i="9"/>
  <c r="S314" i="9"/>
  <c r="R314" i="9"/>
  <c r="S313" i="9"/>
  <c r="R313" i="9"/>
  <c r="S312" i="9"/>
  <c r="R312" i="9"/>
  <c r="S238" i="9"/>
  <c r="R238" i="9"/>
  <c r="S237" i="9"/>
  <c r="R237" i="9"/>
  <c r="S236" i="9"/>
  <c r="R236" i="9"/>
  <c r="S173" i="9"/>
  <c r="R173" i="9"/>
  <c r="S172" i="9"/>
  <c r="R172" i="9"/>
  <c r="S171" i="9"/>
  <c r="R171" i="9"/>
  <c r="S108" i="9"/>
  <c r="S110" i="9"/>
  <c r="R110" i="9"/>
  <c r="S109" i="9"/>
  <c r="R109" i="9"/>
  <c r="R108" i="9"/>
  <c r="S51" i="9"/>
  <c r="R51" i="9"/>
  <c r="S50" i="9"/>
  <c r="R50" i="9"/>
  <c r="S46" i="9"/>
  <c r="T153" i="9" l="1"/>
  <c r="T386" i="9" l="1"/>
  <c r="T385" i="9"/>
  <c r="T384" i="9"/>
  <c r="T310" i="9"/>
  <c r="T308" i="9"/>
  <c r="T309" i="9"/>
  <c r="T234" i="9"/>
  <c r="T232" i="9"/>
  <c r="T233" i="9"/>
  <c r="T169" i="9"/>
  <c r="T167" i="9"/>
  <c r="T168" i="9"/>
  <c r="T106" i="9"/>
  <c r="T104" i="9"/>
  <c r="T105" i="9"/>
  <c r="T47" i="9"/>
  <c r="T45" i="9"/>
  <c r="T46" i="9"/>
  <c r="R386" i="9" l="1"/>
  <c r="R385" i="9"/>
  <c r="S384" i="9"/>
  <c r="R384" i="9"/>
  <c r="R310" i="9"/>
  <c r="R309" i="9"/>
  <c r="S308" i="9"/>
  <c r="R308" i="9"/>
  <c r="R169" i="9"/>
  <c r="R168" i="9"/>
  <c r="S167" i="9"/>
  <c r="R167" i="9"/>
  <c r="R106" i="9"/>
  <c r="R105" i="9"/>
  <c r="S104" i="9"/>
  <c r="R104" i="9"/>
  <c r="R47" i="9"/>
  <c r="R46" i="9"/>
  <c r="R45" i="9"/>
  <c r="S232" i="9"/>
  <c r="R234" i="9"/>
  <c r="R233" i="9"/>
  <c r="R232" i="9"/>
  <c r="S378" i="9"/>
  <c r="S382" i="9"/>
  <c r="R382" i="9"/>
  <c r="T381" i="9" l="1"/>
  <c r="R381" i="9"/>
  <c r="R380" i="9"/>
  <c r="R379" i="9"/>
  <c r="R378" i="9"/>
  <c r="R377" i="9"/>
  <c r="R376" i="9"/>
  <c r="R374" i="9"/>
  <c r="R373" i="9"/>
  <c r="R372" i="9"/>
  <c r="R371" i="9"/>
  <c r="R370" i="9"/>
  <c r="R368" i="9"/>
  <c r="R367" i="9"/>
  <c r="R366" i="9"/>
  <c r="R365" i="9"/>
  <c r="R364" i="9"/>
  <c r="R362" i="9"/>
  <c r="R361" i="9"/>
  <c r="R360" i="9"/>
  <c r="R359" i="9"/>
  <c r="R358" i="9"/>
  <c r="R357" i="9"/>
  <c r="R356" i="9"/>
  <c r="R355" i="9"/>
  <c r="R354" i="9"/>
  <c r="R352" i="9"/>
  <c r="R351" i="9"/>
  <c r="R350" i="9"/>
  <c r="R349" i="9"/>
  <c r="R348" i="9"/>
  <c r="R347" i="9"/>
  <c r="R346" i="9"/>
  <c r="R345" i="9"/>
  <c r="R344" i="9"/>
  <c r="R343" i="9"/>
  <c r="R342" i="9"/>
  <c r="R306" i="9"/>
  <c r="R305" i="9"/>
  <c r="R304" i="9"/>
  <c r="R303" i="9"/>
  <c r="R302" i="9"/>
  <c r="R301" i="9"/>
  <c r="R300" i="9"/>
  <c r="R298" i="9"/>
  <c r="R297" i="9"/>
  <c r="R296" i="9"/>
  <c r="R295" i="9"/>
  <c r="R294" i="9"/>
  <c r="R292" i="9"/>
  <c r="R291" i="9"/>
  <c r="R290" i="9"/>
  <c r="R289" i="9"/>
  <c r="R288" i="9"/>
  <c r="R286" i="9"/>
  <c r="R285" i="9"/>
  <c r="R284" i="9"/>
  <c r="R283" i="9"/>
  <c r="R282" i="9"/>
  <c r="R281" i="9"/>
  <c r="R280" i="9"/>
  <c r="R279" i="9"/>
  <c r="R278" i="9"/>
  <c r="R276" i="9"/>
  <c r="R275" i="9"/>
  <c r="R274" i="9"/>
  <c r="R273" i="9"/>
  <c r="R272" i="9"/>
  <c r="R271" i="9"/>
  <c r="R270" i="9"/>
  <c r="R269" i="9"/>
  <c r="R268" i="9"/>
  <c r="R267" i="9"/>
  <c r="R266" i="9"/>
  <c r="R230" i="9"/>
  <c r="R229" i="9"/>
  <c r="R228" i="9"/>
  <c r="R227" i="9"/>
  <c r="R226" i="9"/>
  <c r="R225" i="9"/>
  <c r="R224" i="9"/>
  <c r="R222" i="9"/>
  <c r="R221" i="9"/>
  <c r="R220" i="9"/>
  <c r="R219" i="9"/>
  <c r="R218" i="9"/>
  <c r="R216" i="9"/>
  <c r="R215" i="9"/>
  <c r="R214" i="9"/>
  <c r="R213" i="9"/>
  <c r="R212" i="9"/>
  <c r="R210" i="9"/>
  <c r="R209" i="9"/>
  <c r="R208" i="9"/>
  <c r="R207" i="9"/>
  <c r="R206" i="9"/>
  <c r="R205" i="9"/>
  <c r="R204" i="9"/>
  <c r="R203" i="9"/>
  <c r="R202" i="9"/>
  <c r="R200" i="9"/>
  <c r="R199" i="9"/>
  <c r="R198" i="9"/>
  <c r="R197" i="9"/>
  <c r="R196" i="9"/>
  <c r="R195" i="9"/>
  <c r="R194" i="9"/>
  <c r="R193" i="9"/>
  <c r="R192" i="9"/>
  <c r="R191" i="9"/>
  <c r="R190" i="9"/>
  <c r="R143" i="9"/>
  <c r="R165" i="9"/>
  <c r="R164" i="9"/>
  <c r="R163" i="9"/>
  <c r="R162" i="9"/>
  <c r="R161" i="9"/>
  <c r="R160" i="9"/>
  <c r="R159" i="9"/>
  <c r="R157" i="9"/>
  <c r="R156" i="9"/>
  <c r="R155" i="9"/>
  <c r="R154" i="9"/>
  <c r="R153" i="9"/>
  <c r="R151" i="9"/>
  <c r="R150" i="9"/>
  <c r="R149" i="9"/>
  <c r="R148" i="9"/>
  <c r="R147" i="9"/>
  <c r="R145" i="9"/>
  <c r="R144" i="9"/>
  <c r="R142" i="9"/>
  <c r="R141" i="9"/>
  <c r="R140" i="9"/>
  <c r="R139" i="9"/>
  <c r="R138" i="9"/>
  <c r="R137" i="9"/>
  <c r="R135" i="9"/>
  <c r="R134" i="9"/>
  <c r="R133" i="9"/>
  <c r="R132" i="9"/>
  <c r="R131" i="9"/>
  <c r="R130" i="9"/>
  <c r="R129" i="9"/>
  <c r="R128" i="9"/>
  <c r="R127" i="9"/>
  <c r="R126" i="9"/>
  <c r="R125" i="9"/>
  <c r="R102" i="9"/>
  <c r="R101" i="9"/>
  <c r="R100" i="9"/>
  <c r="R99" i="9"/>
  <c r="R98" i="9"/>
  <c r="R97" i="9"/>
  <c r="R96" i="9"/>
  <c r="R94" i="9"/>
  <c r="R93" i="9"/>
  <c r="R92" i="9"/>
  <c r="R91" i="9"/>
  <c r="R90" i="9"/>
  <c r="R88" i="9"/>
  <c r="R87" i="9"/>
  <c r="R86" i="9"/>
  <c r="R85" i="9"/>
  <c r="R84" i="9"/>
  <c r="R82" i="9"/>
  <c r="R81" i="9"/>
  <c r="R80" i="9"/>
  <c r="R79" i="9"/>
  <c r="R78" i="9"/>
  <c r="R77" i="9"/>
  <c r="R76" i="9"/>
  <c r="R75" i="9"/>
  <c r="R74" i="9"/>
  <c r="R72" i="9"/>
  <c r="R71" i="9"/>
  <c r="R70" i="9"/>
  <c r="R69" i="9"/>
  <c r="R68" i="9"/>
  <c r="R67" i="9"/>
  <c r="R66" i="9"/>
  <c r="R65" i="9"/>
  <c r="R64" i="9"/>
  <c r="R63" i="9"/>
  <c r="R62" i="9"/>
  <c r="R43" i="9"/>
  <c r="R42" i="9"/>
  <c r="R41" i="9"/>
  <c r="R40" i="9"/>
  <c r="R39" i="9"/>
  <c r="R38" i="9"/>
  <c r="R37" i="9"/>
  <c r="R35" i="9"/>
  <c r="R34" i="9"/>
  <c r="R33" i="9"/>
  <c r="R32" i="9"/>
  <c r="R31" i="9"/>
  <c r="R29" i="9"/>
  <c r="R28" i="9"/>
  <c r="R27" i="9"/>
  <c r="R26" i="9"/>
  <c r="R25" i="9"/>
  <c r="R23" i="9"/>
  <c r="R22" i="9"/>
  <c r="R21" i="9"/>
  <c r="R20" i="9"/>
  <c r="R19" i="9"/>
  <c r="R18" i="9"/>
  <c r="R17" i="9"/>
  <c r="R16" i="9"/>
  <c r="R15" i="9"/>
  <c r="R4" i="9"/>
  <c r="R5" i="9"/>
  <c r="R6" i="9"/>
  <c r="R7" i="9"/>
  <c r="R8" i="9"/>
  <c r="R9" i="9"/>
  <c r="R10" i="9"/>
  <c r="R11" i="9"/>
  <c r="R12" i="9"/>
  <c r="R13" i="9"/>
  <c r="R3" i="9"/>
  <c r="T377" i="9" l="1"/>
  <c r="T379" i="9"/>
  <c r="T305" i="9"/>
  <c r="T301" i="9"/>
  <c r="T303" i="9"/>
  <c r="T229" i="9"/>
  <c r="T225" i="9"/>
  <c r="T227" i="9"/>
  <c r="T164" i="9"/>
  <c r="T160" i="9"/>
  <c r="T162" i="9"/>
  <c r="T101" i="9"/>
  <c r="T97" i="9"/>
  <c r="T99" i="9"/>
  <c r="T38" i="9"/>
  <c r="T42" i="9"/>
  <c r="T40" i="9"/>
  <c r="S381" i="9" l="1"/>
  <c r="S380" i="9"/>
  <c r="S379" i="9"/>
  <c r="S377" i="9"/>
  <c r="S376" i="9"/>
  <c r="S306" i="9"/>
  <c r="S305" i="9"/>
  <c r="S304" i="9"/>
  <c r="S303" i="9"/>
  <c r="S302" i="9"/>
  <c r="S301" i="9"/>
  <c r="S300" i="9"/>
  <c r="S230" i="9"/>
  <c r="S229" i="9"/>
  <c r="S228" i="9"/>
  <c r="S227" i="9"/>
  <c r="S226" i="9"/>
  <c r="S225" i="9"/>
  <c r="S224" i="9"/>
  <c r="S165" i="9"/>
  <c r="S164" i="9"/>
  <c r="S163" i="9"/>
  <c r="S162" i="9"/>
  <c r="S161" i="9"/>
  <c r="S160" i="9"/>
  <c r="S159" i="9"/>
  <c r="S97" i="9"/>
  <c r="S98" i="9"/>
  <c r="S99" i="9"/>
  <c r="S100" i="9"/>
  <c r="S101" i="9"/>
  <c r="S102" i="9"/>
  <c r="S96" i="9"/>
  <c r="S43" i="9"/>
  <c r="S41" i="9"/>
  <c r="S40" i="9"/>
  <c r="S39" i="9"/>
  <c r="S38" i="9"/>
  <c r="S37" i="9"/>
  <c r="AW83" i="9" l="1"/>
  <c r="AY83" i="9" s="1"/>
  <c r="T370" i="9"/>
  <c r="T364" i="9"/>
  <c r="T355" i="9"/>
  <c r="T344" i="9"/>
  <c r="T294" i="9"/>
  <c r="T288" i="9"/>
  <c r="T279" i="9"/>
  <c r="T268" i="9"/>
  <c r="T218" i="9"/>
  <c r="T212" i="9"/>
  <c r="T203" i="9"/>
  <c r="T192" i="9"/>
  <c r="T147" i="9"/>
  <c r="T138" i="9"/>
  <c r="T127" i="9"/>
  <c r="T90" i="9"/>
  <c r="T84" i="9"/>
  <c r="T75" i="9"/>
  <c r="T64" i="9"/>
  <c r="T31" i="9"/>
  <c r="T25" i="9"/>
  <c r="T16" i="9"/>
  <c r="T373" i="9"/>
  <c r="T372" i="9"/>
  <c r="T297" i="9"/>
  <c r="T296" i="9"/>
  <c r="T221" i="9"/>
  <c r="T220" i="9"/>
  <c r="T156" i="9"/>
  <c r="T155" i="9"/>
  <c r="T93" i="9"/>
  <c r="T92" i="9"/>
  <c r="T34" i="9"/>
  <c r="T33" i="9"/>
  <c r="T367" i="9"/>
  <c r="T366" i="9"/>
  <c r="T291" i="9"/>
  <c r="T290" i="9"/>
  <c r="T215" i="9"/>
  <c r="T214" i="9"/>
  <c r="T150" i="9"/>
  <c r="T149" i="9"/>
  <c r="T87" i="9"/>
  <c r="T86" i="9"/>
  <c r="T28" i="9"/>
  <c r="T27" i="9"/>
  <c r="T360" i="9"/>
  <c r="T284" i="9"/>
  <c r="T208" i="9"/>
  <c r="T143" i="9"/>
  <c r="T80" i="9"/>
  <c r="T21" i="9"/>
  <c r="T358" i="9"/>
  <c r="T282" i="9"/>
  <c r="T206" i="9"/>
  <c r="T141" i="9"/>
  <c r="T78" i="9"/>
  <c r="T19" i="9"/>
  <c r="T350" i="9"/>
  <c r="S354" i="9"/>
  <c r="S358" i="9"/>
  <c r="S352" i="9"/>
  <c r="S342" i="9"/>
  <c r="S295" i="9"/>
  <c r="S294" i="9"/>
  <c r="S291" i="9"/>
  <c r="S289" i="9"/>
  <c r="S288" i="9"/>
  <c r="S267" i="9"/>
  <c r="S268" i="9"/>
  <c r="S269" i="9"/>
  <c r="S270" i="9"/>
  <c r="S271" i="9"/>
  <c r="S272" i="9"/>
  <c r="S273" i="9"/>
  <c r="S274" i="9"/>
  <c r="S275" i="9"/>
  <c r="S276" i="9"/>
  <c r="S266" i="9"/>
  <c r="S362" i="9"/>
  <c r="S347" i="9"/>
  <c r="T347" i="9"/>
  <c r="S343" i="9"/>
  <c r="S344" i="9"/>
  <c r="S345" i="9"/>
  <c r="S346" i="9"/>
  <c r="S348" i="9"/>
  <c r="S349" i="9"/>
  <c r="S350" i="9"/>
  <c r="S351" i="9"/>
  <c r="S298" i="9"/>
  <c r="T274" i="9"/>
  <c r="T198" i="9"/>
  <c r="T133" i="9"/>
  <c r="T70" i="9"/>
  <c r="T11" i="9"/>
  <c r="T8" i="9"/>
  <c r="T271" i="9"/>
  <c r="T195" i="9"/>
  <c r="T130" i="9"/>
  <c r="T67" i="9"/>
  <c r="S364" i="9" l="1"/>
  <c r="S374" i="9" l="1"/>
  <c r="S373" i="9"/>
  <c r="S372" i="9"/>
  <c r="S371" i="9"/>
  <c r="S370" i="9"/>
  <c r="S368" i="9"/>
  <c r="S367" i="9"/>
  <c r="S366" i="9"/>
  <c r="S365" i="9"/>
  <c r="S290" i="9"/>
  <c r="S297" i="9"/>
  <c r="S296" i="9"/>
  <c r="S292" i="9"/>
  <c r="S222" i="9"/>
  <c r="S221" i="9"/>
  <c r="S220" i="9"/>
  <c r="S219" i="9"/>
  <c r="S218" i="9"/>
  <c r="S216" i="9"/>
  <c r="S215" i="9"/>
  <c r="S214" i="9"/>
  <c r="S213" i="9"/>
  <c r="S212" i="9"/>
  <c r="S148" i="9"/>
  <c r="S157" i="9"/>
  <c r="S156" i="9"/>
  <c r="S155" i="9"/>
  <c r="S154" i="9"/>
  <c r="S153" i="9"/>
  <c r="S151" i="9"/>
  <c r="S150" i="9"/>
  <c r="S149" i="9"/>
  <c r="S147" i="9"/>
  <c r="S94" i="9"/>
  <c r="S93" i="9"/>
  <c r="S92" i="9"/>
  <c r="S91" i="9"/>
  <c r="S90" i="9"/>
  <c r="S88" i="9"/>
  <c r="S87" i="9"/>
  <c r="S86" i="9"/>
  <c r="S85" i="9"/>
  <c r="S84" i="9"/>
  <c r="S35" i="9"/>
  <c r="S34" i="9"/>
  <c r="S33" i="9"/>
  <c r="S32" i="9"/>
  <c r="S31" i="9"/>
  <c r="S29" i="9"/>
  <c r="S28" i="9"/>
  <c r="S27" i="9"/>
  <c r="S26" i="9"/>
  <c r="S25" i="9"/>
  <c r="S361" i="9" l="1"/>
  <c r="S360" i="9"/>
  <c r="S359" i="9"/>
  <c r="S357" i="9"/>
  <c r="S356" i="9"/>
  <c r="S355" i="9"/>
  <c r="S286" i="9"/>
  <c r="S285" i="9"/>
  <c r="S284" i="9"/>
  <c r="S283" i="9"/>
  <c r="S282" i="9"/>
  <c r="S281" i="9"/>
  <c r="S280" i="9"/>
  <c r="S279" i="9"/>
  <c r="S278" i="9"/>
  <c r="S210" i="9"/>
  <c r="S209" i="9"/>
  <c r="S208" i="9"/>
  <c r="S207" i="9"/>
  <c r="S206" i="9"/>
  <c r="S205" i="9"/>
  <c r="S204" i="9"/>
  <c r="S203" i="9"/>
  <c r="S202" i="9"/>
  <c r="S145" i="9"/>
  <c r="S144" i="9"/>
  <c r="S143" i="9"/>
  <c r="S142" i="9"/>
  <c r="S141" i="9"/>
  <c r="S140" i="9"/>
  <c r="S139" i="9"/>
  <c r="S138" i="9"/>
  <c r="S137" i="9"/>
  <c r="S82" i="9"/>
  <c r="S81" i="9"/>
  <c r="S80" i="9"/>
  <c r="S79" i="9"/>
  <c r="S78" i="9"/>
  <c r="S77" i="9"/>
  <c r="S76" i="9"/>
  <c r="S75" i="9"/>
  <c r="S74" i="9"/>
  <c r="S23" i="9"/>
  <c r="S22" i="9"/>
  <c r="S21" i="9"/>
  <c r="S20" i="9"/>
  <c r="S19" i="9"/>
  <c r="S18" i="9"/>
  <c r="S17" i="9"/>
  <c r="S16" i="9"/>
  <c r="S15" i="9"/>
  <c r="AW34" i="9" l="1"/>
  <c r="AY34" i="9" s="1"/>
  <c r="S10" i="9"/>
  <c r="S200" i="9" l="1"/>
  <c r="S199" i="9"/>
  <c r="S198" i="9"/>
  <c r="S197" i="9"/>
  <c r="S196" i="9"/>
  <c r="S195" i="9"/>
  <c r="S194" i="9"/>
  <c r="S193" i="9"/>
  <c r="S192" i="9"/>
  <c r="S191" i="9"/>
  <c r="S190" i="9"/>
  <c r="S135" i="9"/>
  <c r="S134" i="9"/>
  <c r="S133" i="9"/>
  <c r="S132" i="9"/>
  <c r="S131" i="9"/>
  <c r="S130" i="9"/>
  <c r="S129" i="9"/>
  <c r="S128" i="9"/>
  <c r="S127" i="9"/>
  <c r="S126" i="9"/>
  <c r="S125" i="9"/>
  <c r="S72" i="9"/>
  <c r="S71" i="9"/>
  <c r="S70" i="9"/>
  <c r="S69" i="9"/>
  <c r="S68" i="9"/>
  <c r="S67" i="9"/>
  <c r="S66" i="9"/>
  <c r="S65" i="9"/>
  <c r="S64" i="9"/>
  <c r="S63" i="9"/>
  <c r="S62" i="9"/>
  <c r="S13" i="9"/>
  <c r="S12" i="9"/>
  <c r="S5" i="9"/>
  <c r="S6" i="9"/>
  <c r="S7" i="9"/>
  <c r="S9" i="9"/>
  <c r="S11" i="9"/>
  <c r="AW6" i="9" l="1"/>
  <c r="AY6" i="9" s="1"/>
</calcChain>
</file>

<file path=xl/sharedStrings.xml><?xml version="1.0" encoding="utf-8"?>
<sst xmlns="http://schemas.openxmlformats.org/spreadsheetml/2006/main" count="2161" uniqueCount="109">
  <si>
    <t>Baumart</t>
  </si>
  <si>
    <t>Node-Nr</t>
  </si>
  <si>
    <t>Einpacken</t>
  </si>
  <si>
    <t>Fläche</t>
  </si>
  <si>
    <t>Datum</t>
  </si>
  <si>
    <t>Beprobungsperson</t>
  </si>
  <si>
    <t>Messperson</t>
  </si>
  <si>
    <t>Ernte</t>
  </si>
  <si>
    <t>Besonnung</t>
  </si>
  <si>
    <t>Ast</t>
  </si>
  <si>
    <t>Wetter</t>
  </si>
  <si>
    <t>Messung</t>
  </si>
  <si>
    <t>Bemerkungen</t>
  </si>
  <si>
    <t>Höhe</t>
  </si>
  <si>
    <t>Ernte (m)</t>
  </si>
  <si>
    <t>Eiche</t>
  </si>
  <si>
    <t>Baum</t>
  </si>
  <si>
    <t>Druck (bar)</t>
  </si>
  <si>
    <t>Blatt 1</t>
  </si>
  <si>
    <t>Blatt 2</t>
  </si>
  <si>
    <t>Blatt 3</t>
  </si>
  <si>
    <t>Vétroz</t>
  </si>
  <si>
    <t>Triple-Messung, eingepackt</t>
  </si>
  <si>
    <t>Triple-Messung, nicht eingepackt</t>
  </si>
  <si>
    <t>Methode</t>
  </si>
  <si>
    <t>L. Walthert</t>
  </si>
  <si>
    <t>M. Walser</t>
  </si>
  <si>
    <t>-</t>
  </si>
  <si>
    <t>schön</t>
  </si>
  <si>
    <t>nein</t>
  </si>
  <si>
    <t>ja</t>
  </si>
  <si>
    <t>halb</t>
  </si>
  <si>
    <t>Sonnenuntergang</t>
  </si>
  <si>
    <t>letzte 15 Minuten keine Sonnenbestrahlung</t>
  </si>
  <si>
    <t>Wi-zeit</t>
  </si>
  <si>
    <t>F. Wankmueller</t>
  </si>
  <si>
    <t>PSY, 17:36, 1.5m, 9, 9, 10, nein</t>
  </si>
  <si>
    <t>PSY, 08:53, 1.5m, 4, 4, 5, nein</t>
  </si>
  <si>
    <t>PSY, 12:32, 1.5m, 7, 8, 9, halb</t>
  </si>
  <si>
    <t>PSY, 15:21, 1.5m, 9, 10, 10, nein</t>
  </si>
  <si>
    <t>PSY, 08:30, 2m, 3, 3, 3, nein, 1.</t>
  </si>
  <si>
    <t>PSY, 11:57, 2m, 6, 7, 8, ja, 2.</t>
  </si>
  <si>
    <t>PSY, 14:36, 2m, 6, 7, 7, ja, 3.</t>
  </si>
  <si>
    <t>PSY, 16:41, 2m, 8, 8, 9, ja, 4.</t>
  </si>
  <si>
    <t>der Ast ist bergwärts ausgerichtet und oft am Schatten</t>
  </si>
  <si>
    <t>Messung stets am untersten Ast gemacht, an dem</t>
  </si>
  <si>
    <t>die Psychrometer montiert sind</t>
  </si>
  <si>
    <t>13*</t>
  </si>
  <si>
    <t>PSY, 03:55, 1.5m, 5, 5, 6, nein, knubelige Stielenden</t>
  </si>
  <si>
    <t>na</t>
  </si>
  <si>
    <t>12*</t>
  </si>
  <si>
    <t>Tobia Diggelmann</t>
  </si>
  <si>
    <t>Nebel von 07:00 bis 9:30, daher keine Messung</t>
  </si>
  <si>
    <t>l.bew.</t>
  </si>
  <si>
    <t>Zirren</t>
  </si>
  <si>
    <t>Blätter mit viel Mehltau</t>
  </si>
  <si>
    <t>Differenz bagged-unbagged</t>
  </si>
  <si>
    <t>Bar</t>
  </si>
  <si>
    <t>%</t>
  </si>
  <si>
    <t>TWD</t>
  </si>
  <si>
    <t>mikro_m</t>
  </si>
  <si>
    <t>14. Juni 2022</t>
  </si>
  <si>
    <t>Grund: die predawn potentials sind am 14. Juni 2022 deutlich kleiner als am 26. August 2021, der Boden ist also trockener, die Bäume haben stark geschlossene Stomata, was die Conductance Messungen belegen</t>
  </si>
  <si>
    <t>PREDAWN</t>
  </si>
  <si>
    <t>stomatal</t>
  </si>
  <si>
    <t>conductance</t>
  </si>
  <si>
    <t>sap flow</t>
  </si>
  <si>
    <t>LWP</t>
  </si>
  <si>
    <t>mean</t>
  </si>
  <si>
    <t>Oak Nr 8</t>
  </si>
  <si>
    <t xml:space="preserve">All measurements were made on sunny days between June and September with midday temperatures around 27-33 °C. </t>
  </si>
  <si>
    <t>1. Juni 2021</t>
  </si>
  <si>
    <t>21. Juli 2021</t>
  </si>
  <si>
    <t>11. Juli 2022</t>
  </si>
  <si>
    <t>Oak Nr 3</t>
  </si>
  <si>
    <t>gemessene Blätter sind grün; Blattvergilbung, -verlust des Baumes: 50%</t>
  </si>
  <si>
    <t>gemessene Blätter sind grün; Blattvergilbung, -verlust des Baumes: 70%</t>
  </si>
  <si>
    <t>gemessene Blätter sind grün; Blattvergilbung, -verlust des Baumes: 25%</t>
  </si>
  <si>
    <t>gemessene Blätter sind grün; Blattvergilbung, -verlust des Baumes: 30%</t>
  </si>
  <si>
    <t>gemessene Blätter sind gelblich-grün; Blattvergilbung, -verlust des Baumes: 95%</t>
  </si>
  <si>
    <t>gemessene Blätter sind grün; Blattvergilbung, -verlust des Baumes: 75%</t>
  </si>
  <si>
    <t>130-500</t>
  </si>
  <si>
    <t>145-410</t>
  </si>
  <si>
    <t>220-388</t>
  </si>
  <si>
    <t>140-645</t>
  </si>
  <si>
    <t>160-413</t>
  </si>
  <si>
    <t>240-551</t>
  </si>
  <si>
    <t>MIDDAY</t>
  </si>
  <si>
    <t>bagged leaves (psi_leaf)</t>
  </si>
  <si>
    <t>not bagged leaves (psi_leaf)</t>
  </si>
  <si>
    <t>l. bewölkt</t>
  </si>
  <si>
    <t>gemessene Blätter sind noch recht grün; Blattvergilbung, -verlust des Baumes: 50%</t>
  </si>
  <si>
    <t>gemessene Blätter sind noch recht grün; Blattvergilbung, -verlust des Baumes: 85%</t>
  </si>
  <si>
    <t>gemessene Blätter sind noch recht grün; Blattvergilbung, -verlust des Baumes: 60%</t>
  </si>
  <si>
    <t>gemessene Blätter sind noch recht grün; Blattvergilbung, -verlust des Baumes: 98%</t>
  </si>
  <si>
    <t>l.bewölkt</t>
  </si>
  <si>
    <t>Im Vergleich zu den ähnlich hohen Mittags-Blattwasserpotentialen vom 26. 8. 2021 ist die Differenz zwichen eingepackt und nicht eingepackt im 2022 sehr klein.</t>
  </si>
  <si>
    <t>Offenbar kontrollieren die Eichen am 14. Juli 2022 die Stomata der nicht eingepackten Blätter stärker als im 2021.</t>
  </si>
  <si>
    <t>PRI (west)</t>
  </si>
  <si>
    <t>*1000</t>
  </si>
  <si>
    <t>1 cm</t>
  </si>
  <si>
    <t>VPD</t>
  </si>
  <si>
    <t>kPa</t>
  </si>
  <si>
    <t>20 cm</t>
  </si>
  <si>
    <t>80 cm</t>
  </si>
  <si>
    <t>110 cm</t>
  </si>
  <si>
    <t>160 cm</t>
  </si>
  <si>
    <t>1-160 cm</t>
  </si>
  <si>
    <t>SMP-WP4C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</si>
</sst>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6" x14ac:knownFonts="1">
    <font>
      <sz val="11"/>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name val="Calibri"/>
      <family val="2"/>
      <scheme val="minor"/>
    </font>
    <font>
      <sz val="16"/>
      <color theme="1"/>
      <name val="Arial"/>
      <family val="2"/>
    </font>
    <font>
      <sz val="11"/>
      <color rgb="FF000000"/>
      <name val="Calibri"/>
      <family val="2"/>
      <scheme val="minor"/>
    </font>
    <font>
      <sz val="12"/>
      <color rgb="FF000000"/>
      <name val="Calibri"/>
      <family val="2"/>
      <scheme val="minor"/>
    </font>
    <font>
      <sz val="16"/>
      <color theme="1"/>
      <name val="Arial Narrow"/>
      <family val="2"/>
    </font>
    <font>
      <b/>
      <sz val="16"/>
      <color theme="1"/>
      <name val="Arial Narrow"/>
      <family val="2"/>
    </font>
    <font>
      <sz val="11"/>
      <color rgb="FF00B0F0"/>
      <name val="Calibri"/>
      <family val="2"/>
      <scheme val="minor"/>
    </font>
    <font>
      <sz val="16"/>
      <color rgb="FF000000"/>
      <name val="Arial"/>
      <family val="2"/>
    </font>
    <font>
      <b/>
      <sz val="11"/>
      <color theme="1"/>
      <name val="Calibri"/>
      <family val="2"/>
      <scheme val="minor"/>
    </font>
    <font>
      <sz val="12"/>
      <name val="Calibri"/>
      <family val="2"/>
      <scheme val="minor"/>
    </font>
    <font>
      <b/>
      <sz val="11"/>
      <color rgb="FF00B0F0"/>
      <name val="Calibri"/>
      <family val="2"/>
      <scheme val="minor"/>
    </font>
    <font>
      <b/>
      <sz val="11"/>
      <color rgb="FF0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6" tint="0.59999389629810485"/>
        <bgColor indexed="64"/>
      </patternFill>
    </fill>
    <fill>
      <patternFill patternType="solid">
        <fgColor theme="6" tint="0.59999389629810485"/>
        <bgColor rgb="FF000000"/>
      </patternFill>
    </fill>
    <fill>
      <patternFill patternType="solid">
        <fgColor rgb="FFFFFF00"/>
        <bgColor rgb="FF000000"/>
      </patternFill>
    </fill>
    <fill>
      <patternFill patternType="solid">
        <fgColor theme="9" tint="0.59999389629810485"/>
        <bgColor indexed="64"/>
      </patternFill>
    </fill>
    <fill>
      <patternFill patternType="solid">
        <fgColor theme="9" tint="0.59999389629810485"/>
        <bgColor rgb="FF000000"/>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7">
    <xf numFmtId="0" fontId="0" fillId="0" borderId="0" xfId="0"/>
    <xf numFmtId="14" fontId="0" fillId="0" borderId="0" xfId="0" applyNumberFormat="1"/>
    <xf numFmtId="20" fontId="0" fillId="0" borderId="0" xfId="0" applyNumberFormat="1"/>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xf>
    <xf numFmtId="14" fontId="0" fillId="2" borderId="0" xfId="0" applyNumberFormat="1" applyFill="1"/>
    <xf numFmtId="0" fontId="0" fillId="2" borderId="0" xfId="0" applyFill="1"/>
    <xf numFmtId="0" fontId="0" fillId="3" borderId="0" xfId="0" applyFill="1" applyAlignment="1">
      <alignment horizontal="center"/>
    </xf>
    <xf numFmtId="0" fontId="0" fillId="3" borderId="0" xfId="0" applyFill="1"/>
    <xf numFmtId="20" fontId="0" fillId="0" borderId="0" xfId="0" applyNumberFormat="1" applyAlignment="1">
      <alignment horizontal="center"/>
    </xf>
    <xf numFmtId="20" fontId="0" fillId="2" borderId="0" xfId="0" applyNumberFormat="1" applyFill="1" applyAlignment="1">
      <alignment horizontal="center"/>
    </xf>
    <xf numFmtId="0" fontId="0" fillId="0" borderId="0" xfId="0" applyAlignment="1">
      <alignment horizontal="left"/>
    </xf>
    <xf numFmtId="0" fontId="0" fillId="2" borderId="0" xfId="0" applyFill="1" applyAlignment="1">
      <alignment horizontal="left"/>
    </xf>
    <xf numFmtId="0" fontId="0" fillId="4" borderId="0" xfId="0" applyFill="1"/>
    <xf numFmtId="20" fontId="0" fillId="3" borderId="0" xfId="0" applyNumberFormat="1" applyFill="1" applyAlignment="1">
      <alignment horizontal="center"/>
    </xf>
    <xf numFmtId="0" fontId="0" fillId="3" borderId="0" xfId="0" applyFill="1" applyAlignment="1">
      <alignment horizontal="left"/>
    </xf>
    <xf numFmtId="14" fontId="0" fillId="3" borderId="0" xfId="0" applyNumberFormat="1" applyFill="1"/>
    <xf numFmtId="164" fontId="0" fillId="0" borderId="0" xfId="0" applyNumberFormat="1"/>
    <xf numFmtId="0" fontId="0" fillId="5" borderId="0" xfId="0" applyFill="1" applyAlignment="1">
      <alignment horizontal="center"/>
    </xf>
    <xf numFmtId="14" fontId="0" fillId="5" borderId="0" xfId="0" applyNumberFormat="1" applyFill="1"/>
    <xf numFmtId="20" fontId="0" fillId="5" borderId="0" xfId="0" applyNumberFormat="1" applyFill="1" applyAlignment="1">
      <alignment horizontal="center"/>
    </xf>
    <xf numFmtId="0" fontId="0" fillId="5" borderId="0" xfId="0" applyFill="1"/>
    <xf numFmtId="0" fontId="3" fillId="2"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xf numFmtId="164" fontId="5" fillId="0" borderId="0" xfId="0" applyNumberFormat="1" applyFont="1"/>
    <xf numFmtId="1" fontId="0" fillId="0" borderId="0" xfId="0" applyNumberFormat="1"/>
    <xf numFmtId="0" fontId="0" fillId="6" borderId="0" xfId="0" applyFill="1" applyAlignment="1">
      <alignment horizontal="center" vertical="center"/>
    </xf>
    <xf numFmtId="0" fontId="0" fillId="6" borderId="0" xfId="0" applyFill="1"/>
    <xf numFmtId="49" fontId="5" fillId="0" borderId="0" xfId="0" applyNumberFormat="1" applyFont="1"/>
    <xf numFmtId="0" fontId="0" fillId="8" borderId="0" xfId="0" applyFill="1"/>
    <xf numFmtId="0" fontId="0" fillId="2" borderId="0" xfId="0" applyFill="1" applyAlignment="1">
      <alignment horizontal="center" vertical="center"/>
    </xf>
    <xf numFmtId="164" fontId="0" fillId="2" borderId="0" xfId="0" applyNumberFormat="1" applyFill="1"/>
    <xf numFmtId="0" fontId="0" fillId="9" borderId="0" xfId="0" applyFill="1" applyAlignment="1">
      <alignment horizontal="center" vertical="center"/>
    </xf>
    <xf numFmtId="0" fontId="0" fillId="9" borderId="0" xfId="0" applyFill="1"/>
    <xf numFmtId="164" fontId="0" fillId="6" borderId="0" xfId="0" applyNumberFormat="1" applyFill="1"/>
    <xf numFmtId="164" fontId="0" fillId="9" borderId="0" xfId="0" applyNumberFormat="1" applyFill="1"/>
    <xf numFmtId="164" fontId="6" fillId="7" borderId="0" xfId="0" applyNumberFormat="1" applyFont="1" applyFill="1"/>
    <xf numFmtId="164" fontId="6" fillId="10" borderId="0" xfId="0" applyNumberFormat="1" applyFont="1" applyFill="1"/>
    <xf numFmtId="164" fontId="7" fillId="9" borderId="0" xfId="0" applyNumberFormat="1" applyFont="1" applyFill="1"/>
    <xf numFmtId="0" fontId="8" fillId="0" borderId="0" xfId="0" applyFont="1"/>
    <xf numFmtId="0" fontId="9" fillId="0" borderId="0" xfId="0" applyFont="1"/>
    <xf numFmtId="0" fontId="10" fillId="2" borderId="0" xfId="0" applyFont="1" applyFill="1" applyAlignment="1">
      <alignment horizontal="center"/>
    </xf>
    <xf numFmtId="14" fontId="10" fillId="2" borderId="0" xfId="0" applyNumberFormat="1" applyFont="1" applyFill="1"/>
    <xf numFmtId="20" fontId="10" fillId="2" borderId="0" xfId="0" applyNumberFormat="1" applyFont="1" applyFill="1" applyAlignment="1">
      <alignment horizontal="center"/>
    </xf>
    <xf numFmtId="0" fontId="10" fillId="2" borderId="0" xfId="0" applyFont="1" applyFill="1" applyAlignment="1">
      <alignment horizontal="left"/>
    </xf>
    <xf numFmtId="0" fontId="10" fillId="2" borderId="0" xfId="0" applyFont="1" applyFill="1"/>
    <xf numFmtId="0" fontId="10" fillId="3" borderId="0" xfId="0" applyFont="1" applyFill="1" applyAlignment="1">
      <alignment horizontal="center"/>
    </xf>
    <xf numFmtId="14" fontId="10" fillId="3" borderId="0" xfId="0" applyNumberFormat="1" applyFont="1" applyFill="1"/>
    <xf numFmtId="20" fontId="10" fillId="3" borderId="0" xfId="0" applyNumberFormat="1" applyFont="1" applyFill="1" applyAlignment="1">
      <alignment horizontal="center"/>
    </xf>
    <xf numFmtId="0" fontId="10" fillId="3" borderId="0" xfId="0" applyFont="1" applyFill="1" applyAlignment="1">
      <alignment horizontal="left"/>
    </xf>
    <xf numFmtId="0" fontId="10" fillId="3" borderId="0" xfId="0" applyFont="1" applyFill="1"/>
    <xf numFmtId="49" fontId="11" fillId="0" borderId="0" xfId="0" applyNumberFormat="1" applyFont="1"/>
    <xf numFmtId="0" fontId="0" fillId="11" borderId="0" xfId="0" applyFill="1" applyAlignment="1">
      <alignment horizontal="center" vertical="center"/>
    </xf>
    <xf numFmtId="0" fontId="0" fillId="11" borderId="0" xfId="0" applyFill="1"/>
    <xf numFmtId="164" fontId="0" fillId="11" borderId="0" xfId="0" applyNumberFormat="1" applyFill="1"/>
    <xf numFmtId="164" fontId="6" fillId="12" borderId="0" xfId="0" applyNumberFormat="1" applyFont="1" applyFill="1"/>
    <xf numFmtId="0" fontId="3" fillId="4" borderId="0" xfId="0" applyFont="1" applyFill="1"/>
    <xf numFmtId="0" fontId="12" fillId="0" borderId="0" xfId="0" applyFont="1"/>
    <xf numFmtId="0" fontId="6" fillId="0" borderId="0" xfId="0" applyFont="1" applyAlignment="1">
      <alignment horizontal="center"/>
    </xf>
    <xf numFmtId="14" fontId="6" fillId="0" borderId="0" xfId="0" applyNumberFormat="1" applyFont="1"/>
    <xf numFmtId="0" fontId="6" fillId="0" borderId="0" xfId="0" applyFont="1"/>
    <xf numFmtId="20" fontId="6" fillId="0" borderId="0" xfId="0" applyNumberFormat="1" applyFont="1"/>
    <xf numFmtId="0" fontId="0" fillId="4" borderId="0" xfId="0" applyFill="1" applyAlignment="1">
      <alignment horizontal="center" vertical="center"/>
    </xf>
    <xf numFmtId="164" fontId="0" fillId="4" borderId="0" xfId="0" applyNumberFormat="1" applyFill="1"/>
    <xf numFmtId="164" fontId="6" fillId="13" borderId="0" xfId="0" applyNumberFormat="1" applyFont="1" applyFill="1"/>
    <xf numFmtId="164" fontId="7" fillId="4" borderId="0" xfId="0" applyNumberFormat="1" applyFont="1" applyFill="1"/>
    <xf numFmtId="1" fontId="0" fillId="4" borderId="0" xfId="0" applyNumberFormat="1" applyFill="1"/>
    <xf numFmtId="1" fontId="6" fillId="13" borderId="0" xfId="0" applyNumberFormat="1" applyFont="1" applyFill="1"/>
    <xf numFmtId="165" fontId="0" fillId="4" borderId="0" xfId="0" applyNumberFormat="1" applyFill="1"/>
    <xf numFmtId="0" fontId="4" fillId="14" borderId="0" xfId="0" applyFont="1" applyFill="1" applyAlignment="1">
      <alignment horizontal="center" vertical="center"/>
    </xf>
    <xf numFmtId="0" fontId="4" fillId="14" borderId="0" xfId="0" applyFont="1" applyFill="1"/>
    <xf numFmtId="164" fontId="4" fillId="14" borderId="0" xfId="0" applyNumberFormat="1" applyFont="1" applyFill="1"/>
    <xf numFmtId="164" fontId="4" fillId="15" borderId="0" xfId="0" applyNumberFormat="1" applyFont="1" applyFill="1"/>
    <xf numFmtId="164" fontId="13" fillId="14" borderId="0" xfId="0" applyNumberFormat="1" applyFont="1" applyFill="1"/>
    <xf numFmtId="165" fontId="4" fillId="14" borderId="0" xfId="0" applyNumberFormat="1" applyFont="1" applyFill="1"/>
    <xf numFmtId="1" fontId="4" fillId="14" borderId="0" xfId="0" applyNumberFormat="1" applyFont="1" applyFill="1"/>
    <xf numFmtId="0" fontId="4" fillId="9" borderId="0" xfId="0" applyFont="1" applyFill="1" applyAlignment="1">
      <alignment horizontal="center" vertical="center"/>
    </xf>
    <xf numFmtId="0" fontId="4" fillId="9" borderId="0" xfId="0" applyFont="1" applyFill="1"/>
    <xf numFmtId="164" fontId="4" fillId="9" borderId="0" xfId="0" applyNumberFormat="1" applyFont="1" applyFill="1"/>
    <xf numFmtId="164" fontId="4" fillId="10" borderId="0" xfId="0" applyNumberFormat="1" applyFont="1" applyFill="1"/>
    <xf numFmtId="1" fontId="4" fillId="9" borderId="0" xfId="0" applyNumberFormat="1" applyFont="1" applyFill="1"/>
    <xf numFmtId="0" fontId="4" fillId="14" borderId="0" xfId="0" applyFont="1" applyFill="1" applyAlignment="1">
      <alignment horizontal="center"/>
    </xf>
    <xf numFmtId="0" fontId="4" fillId="9" borderId="0" xfId="0" applyFont="1" applyFill="1" applyAlignment="1">
      <alignment horizontal="center"/>
    </xf>
    <xf numFmtId="0" fontId="7" fillId="0" borderId="0" xfId="0" applyFont="1"/>
    <xf numFmtId="164" fontId="10" fillId="2" borderId="0" xfId="0" applyNumberFormat="1" applyFont="1" applyFill="1"/>
    <xf numFmtId="0" fontId="12" fillId="0" borderId="0" xfId="0" applyFont="1" applyAlignment="1">
      <alignment horizontal="center" vertical="center"/>
    </xf>
    <xf numFmtId="0" fontId="12" fillId="0" borderId="0" xfId="0" applyFont="1" applyAlignment="1">
      <alignment horizontal="center"/>
    </xf>
    <xf numFmtId="0" fontId="12" fillId="2" borderId="0" xfId="0" applyFont="1" applyFill="1" applyAlignment="1">
      <alignment horizontal="center"/>
    </xf>
    <xf numFmtId="0" fontId="12" fillId="3" borderId="0" xfId="0" applyFont="1" applyFill="1" applyAlignment="1">
      <alignment horizontal="center"/>
    </xf>
    <xf numFmtId="0" fontId="14" fillId="3" borderId="0" xfId="0" applyFont="1" applyFill="1" applyAlignment="1">
      <alignment horizontal="center"/>
    </xf>
    <xf numFmtId="0" fontId="15" fillId="0" borderId="0" xfId="0" applyFont="1" applyAlignment="1">
      <alignment horizontal="center"/>
    </xf>
    <xf numFmtId="0" fontId="14" fillId="2" borderId="0" xfId="0" applyFont="1" applyFill="1" applyAlignment="1">
      <alignment horizontal="center"/>
    </xf>
    <xf numFmtId="0" fontId="12" fillId="5" borderId="0" xfId="0" applyFont="1" applyFill="1" applyAlignment="1">
      <alignment horizontal="center"/>
    </xf>
    <xf numFmtId="14" fontId="11" fillId="0" borderId="0" xfId="0" applyNumberFormat="1" applyFont="1"/>
  </cellXfs>
  <cellStyles count="5">
    <cellStyle name="Besuchter Hyperlink" xfId="2" builtinId="9" hidden="1"/>
    <cellStyle name="Besuchter Hyperlink" xfId="4" builtinId="9" hidden="1"/>
    <cellStyle name="Link" xfId="1" builtinId="8" hidden="1"/>
    <cellStyle name="Link" xfId="3" builtinId="8" hidden="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Tree 1 unbagged</c:v>
          </c:tx>
          <c:spPr>
            <a:ln w="12700" cap="rnd">
              <a:solidFill>
                <a:srgbClr val="7030A0"/>
              </a:solidFill>
              <a:round/>
            </a:ln>
            <a:effectLst/>
          </c:spPr>
          <c:marker>
            <c:symbol val="circle"/>
            <c:size val="6"/>
            <c:spPr>
              <a:solidFill>
                <a:srgbClr val="7030A0"/>
              </a:solidFill>
              <a:ln w="9525">
                <a:noFill/>
              </a:ln>
              <a:effectLst/>
            </c:spPr>
          </c:marker>
          <c:xVal>
            <c:numRef>
              <c:f>Vetroz_Blätter!$H$8:$H$13</c:f>
              <c:numCache>
                <c:formatCode>h:mm</c:formatCode>
                <c:ptCount val="6"/>
                <c:pt idx="0">
                  <c:v>0.14583333333333334</c:v>
                </c:pt>
                <c:pt idx="1">
                  <c:v>0.33194444444444443</c:v>
                </c:pt>
                <c:pt idx="2">
                  <c:v>0.43263888888888885</c:v>
                </c:pt>
                <c:pt idx="3">
                  <c:v>0.52083333333333337</c:v>
                </c:pt>
                <c:pt idx="4">
                  <c:v>0.63194444444444453</c:v>
                </c:pt>
                <c:pt idx="5">
                  <c:v>0.74513888888888891</c:v>
                </c:pt>
              </c:numCache>
            </c:numRef>
          </c:xVal>
          <c:yVal>
            <c:numRef>
              <c:f>Vetroz_Blätter!$S$8:$S$13</c:f>
              <c:numCache>
                <c:formatCode>0.0</c:formatCode>
                <c:ptCount val="6"/>
                <c:pt idx="0">
                  <c:v>3.6666666666666665</c:v>
                </c:pt>
                <c:pt idx="1">
                  <c:v>7.333333333333333</c:v>
                </c:pt>
                <c:pt idx="2">
                  <c:v>13.333333333333334</c:v>
                </c:pt>
                <c:pt idx="3">
                  <c:v>16.333333333333332</c:v>
                </c:pt>
                <c:pt idx="4">
                  <c:v>16</c:v>
                </c:pt>
                <c:pt idx="5">
                  <c:v>7</c:v>
                </c:pt>
              </c:numCache>
            </c:numRef>
          </c:yVal>
          <c:smooth val="0"/>
          <c:extLst>
            <c:ext xmlns:c16="http://schemas.microsoft.com/office/drawing/2014/chart" uri="{C3380CC4-5D6E-409C-BE32-E72D297353CC}">
              <c16:uniqueId val="{00000000-69F9-8C40-83C7-2C45E3A2AAF7}"/>
            </c:ext>
          </c:extLst>
        </c:ser>
        <c:ser>
          <c:idx val="1"/>
          <c:order val="1"/>
          <c:tx>
            <c:v>Tree 1 bagged</c:v>
          </c:tx>
          <c:spPr>
            <a:ln w="12700" cap="rnd">
              <a:solidFill>
                <a:srgbClr val="7030A0"/>
              </a:solidFill>
              <a:prstDash val="dash"/>
              <a:round/>
            </a:ln>
            <a:effectLst/>
          </c:spPr>
          <c:marker>
            <c:symbol val="none"/>
          </c:marker>
          <c:xVal>
            <c:numRef>
              <c:f>Vetroz_Blätter!$H$3:$H$7</c:f>
              <c:numCache>
                <c:formatCode>h:mm</c:formatCode>
                <c:ptCount val="5"/>
                <c:pt idx="0">
                  <c:v>0.33194444444444443</c:v>
                </c:pt>
                <c:pt idx="1">
                  <c:v>0.43541666666666662</c:v>
                </c:pt>
                <c:pt idx="2">
                  <c:v>0.52500000000000002</c:v>
                </c:pt>
                <c:pt idx="3">
                  <c:v>0.63541666666666674</c:v>
                </c:pt>
                <c:pt idx="4">
                  <c:v>0.74305555555555558</c:v>
                </c:pt>
              </c:numCache>
            </c:numRef>
          </c:xVal>
          <c:yVal>
            <c:numRef>
              <c:f>Vetroz_Blätter!$S$3:$S$7</c:f>
              <c:numCache>
                <c:formatCode>0.0</c:formatCode>
                <c:ptCount val="5"/>
                <c:pt idx="0">
                  <c:v>5.333333333333333</c:v>
                </c:pt>
                <c:pt idx="1">
                  <c:v>8</c:v>
                </c:pt>
                <c:pt idx="2">
                  <c:v>9.3333333333333339</c:v>
                </c:pt>
                <c:pt idx="3">
                  <c:v>9</c:v>
                </c:pt>
                <c:pt idx="4">
                  <c:v>8</c:v>
                </c:pt>
              </c:numCache>
            </c:numRef>
          </c:yVal>
          <c:smooth val="0"/>
          <c:extLst>
            <c:ext xmlns:c16="http://schemas.microsoft.com/office/drawing/2014/chart" uri="{C3380CC4-5D6E-409C-BE32-E72D297353CC}">
              <c16:uniqueId val="{00000001-69F9-8C40-83C7-2C45E3A2AAF7}"/>
            </c:ext>
          </c:extLst>
        </c:ser>
        <c:ser>
          <c:idx val="2"/>
          <c:order val="2"/>
          <c:tx>
            <c:v>Tree 2 unbagged</c:v>
          </c:tx>
          <c:spPr>
            <a:ln w="12700" cap="rnd">
              <a:solidFill>
                <a:srgbClr val="FFC000"/>
              </a:solidFill>
              <a:round/>
            </a:ln>
            <a:effectLst/>
          </c:spPr>
          <c:marker>
            <c:symbol val="circle"/>
            <c:size val="6"/>
            <c:spPr>
              <a:solidFill>
                <a:srgbClr val="FFC000"/>
              </a:solidFill>
              <a:ln w="9525">
                <a:noFill/>
              </a:ln>
              <a:effectLst/>
            </c:spPr>
          </c:marker>
          <c:xVal>
            <c:numRef>
              <c:f>Vetroz_Blätter!$H$67:$H$72</c:f>
              <c:numCache>
                <c:formatCode>h:mm</c:formatCode>
                <c:ptCount val="6"/>
                <c:pt idx="0">
                  <c:v>0.15486111111111112</c:v>
                </c:pt>
                <c:pt idx="1">
                  <c:v>0.32500000000000001</c:v>
                </c:pt>
                <c:pt idx="2">
                  <c:v>0.40416666666666662</c:v>
                </c:pt>
                <c:pt idx="3">
                  <c:v>0.51250000000000007</c:v>
                </c:pt>
                <c:pt idx="4">
                  <c:v>0.62361111111111112</c:v>
                </c:pt>
                <c:pt idx="5">
                  <c:v>0.73750000000000004</c:v>
                </c:pt>
              </c:numCache>
            </c:numRef>
          </c:xVal>
          <c:yVal>
            <c:numRef>
              <c:f>Vetroz_Blätter!$S$67:$S$72</c:f>
              <c:numCache>
                <c:formatCode>0.0</c:formatCode>
                <c:ptCount val="6"/>
                <c:pt idx="0">
                  <c:v>4.333333333333333</c:v>
                </c:pt>
                <c:pt idx="1">
                  <c:v>6.666666666666667</c:v>
                </c:pt>
                <c:pt idx="2">
                  <c:v>9.3333333333333339</c:v>
                </c:pt>
                <c:pt idx="3">
                  <c:v>13.333333333333334</c:v>
                </c:pt>
                <c:pt idx="4">
                  <c:v>13</c:v>
                </c:pt>
                <c:pt idx="5">
                  <c:v>7.666666666666667</c:v>
                </c:pt>
              </c:numCache>
            </c:numRef>
          </c:yVal>
          <c:smooth val="0"/>
          <c:extLst>
            <c:ext xmlns:c16="http://schemas.microsoft.com/office/drawing/2014/chart" uri="{C3380CC4-5D6E-409C-BE32-E72D297353CC}">
              <c16:uniqueId val="{00000002-69F9-8C40-83C7-2C45E3A2AAF7}"/>
            </c:ext>
          </c:extLst>
        </c:ser>
        <c:ser>
          <c:idx val="3"/>
          <c:order val="3"/>
          <c:tx>
            <c:v>Tree 2 bagged</c:v>
          </c:tx>
          <c:spPr>
            <a:ln w="12700" cap="rnd">
              <a:solidFill>
                <a:srgbClr val="FFC000"/>
              </a:solidFill>
              <a:prstDash val="dash"/>
              <a:round/>
            </a:ln>
            <a:effectLst/>
          </c:spPr>
          <c:marker>
            <c:symbol val="none"/>
          </c:marker>
          <c:xVal>
            <c:numRef>
              <c:f>Vetroz_Blätter!$H$62:$H$66</c:f>
              <c:numCache>
                <c:formatCode>h:mm</c:formatCode>
                <c:ptCount val="5"/>
                <c:pt idx="0">
                  <c:v>0.32500000000000001</c:v>
                </c:pt>
                <c:pt idx="1">
                  <c:v>0.40833333333333333</c:v>
                </c:pt>
                <c:pt idx="2">
                  <c:v>0.51527777777777783</c:v>
                </c:pt>
                <c:pt idx="3">
                  <c:v>0.62847222222222221</c:v>
                </c:pt>
                <c:pt idx="4">
                  <c:v>0.73888888888888893</c:v>
                </c:pt>
              </c:numCache>
            </c:numRef>
          </c:xVal>
          <c:yVal>
            <c:numRef>
              <c:f>Vetroz_Blätter!$S$62:$S$66</c:f>
              <c:numCache>
                <c:formatCode>0.0</c:formatCode>
                <c:ptCount val="5"/>
                <c:pt idx="0">
                  <c:v>5</c:v>
                </c:pt>
                <c:pt idx="1">
                  <c:v>7.666666666666667</c:v>
                </c:pt>
                <c:pt idx="2">
                  <c:v>9</c:v>
                </c:pt>
                <c:pt idx="3">
                  <c:v>9.3333333333333339</c:v>
                </c:pt>
                <c:pt idx="4">
                  <c:v>6.666666666666667</c:v>
                </c:pt>
              </c:numCache>
            </c:numRef>
          </c:yVal>
          <c:smooth val="0"/>
          <c:extLst>
            <c:ext xmlns:c16="http://schemas.microsoft.com/office/drawing/2014/chart" uri="{C3380CC4-5D6E-409C-BE32-E72D297353CC}">
              <c16:uniqueId val="{00000003-69F9-8C40-83C7-2C45E3A2AAF7}"/>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Vetroz_Blätter!$H$130:$H$135</c:f>
              <c:numCache>
                <c:formatCode>h:mm</c:formatCode>
                <c:ptCount val="6"/>
                <c:pt idx="0">
                  <c:v>0.14166666666666669</c:v>
                </c:pt>
                <c:pt idx="1">
                  <c:v>0.32152777777777775</c:v>
                </c:pt>
                <c:pt idx="2">
                  <c:v>0.41319444444444442</c:v>
                </c:pt>
                <c:pt idx="3">
                  <c:v>0.50416666666666665</c:v>
                </c:pt>
                <c:pt idx="4">
                  <c:v>0.61458333333333337</c:v>
                </c:pt>
                <c:pt idx="5">
                  <c:v>0.7270833333333333</c:v>
                </c:pt>
              </c:numCache>
            </c:numRef>
          </c:xVal>
          <c:yVal>
            <c:numRef>
              <c:f>Vetroz_Blätter!$S$130:$S$135</c:f>
              <c:numCache>
                <c:formatCode>0.0</c:formatCode>
                <c:ptCount val="6"/>
                <c:pt idx="0">
                  <c:v>4.666666666666667</c:v>
                </c:pt>
                <c:pt idx="1">
                  <c:v>10.666666666666666</c:v>
                </c:pt>
                <c:pt idx="2">
                  <c:v>15.666666666666666</c:v>
                </c:pt>
                <c:pt idx="3">
                  <c:v>15</c:v>
                </c:pt>
                <c:pt idx="4">
                  <c:v>18</c:v>
                </c:pt>
                <c:pt idx="5">
                  <c:v>9.3333333333333339</c:v>
                </c:pt>
              </c:numCache>
            </c:numRef>
          </c:yVal>
          <c:smooth val="0"/>
          <c:extLst>
            <c:ext xmlns:c16="http://schemas.microsoft.com/office/drawing/2014/chart" uri="{C3380CC4-5D6E-409C-BE32-E72D297353CC}">
              <c16:uniqueId val="{00000004-69F9-8C40-83C7-2C45E3A2AAF7}"/>
            </c:ext>
          </c:extLst>
        </c:ser>
        <c:ser>
          <c:idx val="5"/>
          <c:order val="5"/>
          <c:tx>
            <c:v>Tree 3 bagged</c:v>
          </c:tx>
          <c:spPr>
            <a:ln w="12700" cap="rnd">
              <a:solidFill>
                <a:schemeClr val="tx1"/>
              </a:solidFill>
              <a:prstDash val="dash"/>
              <a:round/>
            </a:ln>
            <a:effectLst/>
          </c:spPr>
          <c:marker>
            <c:symbol val="none"/>
          </c:marker>
          <c:xVal>
            <c:numRef>
              <c:f>Vetroz_Blätter!$H$125:$H$129</c:f>
              <c:numCache>
                <c:formatCode>h:mm</c:formatCode>
                <c:ptCount val="5"/>
                <c:pt idx="0">
                  <c:v>0.32152777777777775</c:v>
                </c:pt>
                <c:pt idx="1">
                  <c:v>0.41527777777777775</c:v>
                </c:pt>
                <c:pt idx="2">
                  <c:v>0.5083333333333333</c:v>
                </c:pt>
                <c:pt idx="3">
                  <c:v>0.62013888888888891</c:v>
                </c:pt>
                <c:pt idx="4">
                  <c:v>0.72916666666666674</c:v>
                </c:pt>
              </c:numCache>
            </c:numRef>
          </c:xVal>
          <c:yVal>
            <c:numRef>
              <c:f>Vetroz_Blätter!$S$125:$S$129</c:f>
              <c:numCache>
                <c:formatCode>0.0</c:formatCode>
                <c:ptCount val="5"/>
                <c:pt idx="0">
                  <c:v>6.333333333333333</c:v>
                </c:pt>
                <c:pt idx="1">
                  <c:v>8</c:v>
                </c:pt>
                <c:pt idx="2">
                  <c:v>9.3333333333333339</c:v>
                </c:pt>
                <c:pt idx="3">
                  <c:v>10.666666666666666</c:v>
                </c:pt>
                <c:pt idx="4">
                  <c:v>7.666666666666667</c:v>
                </c:pt>
              </c:numCache>
            </c:numRef>
          </c:yVal>
          <c:smooth val="0"/>
          <c:extLst>
            <c:ext xmlns:c16="http://schemas.microsoft.com/office/drawing/2014/chart" uri="{C3380CC4-5D6E-409C-BE32-E72D297353CC}">
              <c16:uniqueId val="{00000005-69F9-8C40-83C7-2C45E3A2AAF7}"/>
            </c:ext>
          </c:extLst>
        </c:ser>
        <c:ser>
          <c:idx val="6"/>
          <c:order val="6"/>
          <c:tx>
            <c:v>Tree 8 unbagged</c:v>
          </c:tx>
          <c:spPr>
            <a:ln w="12700" cap="rnd">
              <a:solidFill>
                <a:srgbClr val="FF0000"/>
              </a:solidFill>
              <a:prstDash val="solid"/>
              <a:round/>
            </a:ln>
            <a:effectLst/>
          </c:spPr>
          <c:marker>
            <c:symbol val="circle"/>
            <c:size val="6"/>
            <c:spPr>
              <a:solidFill>
                <a:srgbClr val="FF0000"/>
              </a:solidFill>
              <a:ln w="9525">
                <a:noFill/>
              </a:ln>
              <a:effectLst/>
            </c:spPr>
          </c:marker>
          <c:xVal>
            <c:numRef>
              <c:f>Vetroz_Blätter!$H$195:$H$200</c:f>
              <c:numCache>
                <c:formatCode>h:mm</c:formatCode>
                <c:ptCount val="6"/>
                <c:pt idx="0">
                  <c:v>0.13125000000000003</c:v>
                </c:pt>
                <c:pt idx="1">
                  <c:v>0.3118055555555555</c:v>
                </c:pt>
                <c:pt idx="2">
                  <c:v>0.39583333333333331</c:v>
                </c:pt>
                <c:pt idx="3">
                  <c:v>0.49166666666666664</c:v>
                </c:pt>
                <c:pt idx="4">
                  <c:v>0.60833333333333339</c:v>
                </c:pt>
                <c:pt idx="5">
                  <c:v>0.72083333333333344</c:v>
                </c:pt>
              </c:numCache>
            </c:numRef>
          </c:xVal>
          <c:yVal>
            <c:numRef>
              <c:f>Vetroz_Blätter!$S$195:$S$200</c:f>
              <c:numCache>
                <c:formatCode>0.0</c:formatCode>
                <c:ptCount val="6"/>
                <c:pt idx="0">
                  <c:v>3.6666666666666665</c:v>
                </c:pt>
                <c:pt idx="1">
                  <c:v>9.6666666666666661</c:v>
                </c:pt>
                <c:pt idx="2">
                  <c:v>13.333333333333334</c:v>
                </c:pt>
                <c:pt idx="3">
                  <c:v>13</c:v>
                </c:pt>
                <c:pt idx="4">
                  <c:v>14.333333333333334</c:v>
                </c:pt>
                <c:pt idx="5">
                  <c:v>13.666666666666666</c:v>
                </c:pt>
              </c:numCache>
            </c:numRef>
          </c:yVal>
          <c:smooth val="0"/>
          <c:extLst>
            <c:ext xmlns:c16="http://schemas.microsoft.com/office/drawing/2014/chart" uri="{C3380CC4-5D6E-409C-BE32-E72D297353CC}">
              <c16:uniqueId val="{00000006-69F9-8C40-83C7-2C45E3A2AAF7}"/>
            </c:ext>
          </c:extLst>
        </c:ser>
        <c:ser>
          <c:idx val="7"/>
          <c:order val="7"/>
          <c:tx>
            <c:v>Tree 8 bagged</c:v>
          </c:tx>
          <c:spPr>
            <a:ln w="12700" cap="rnd">
              <a:solidFill>
                <a:srgbClr val="FF0000"/>
              </a:solidFill>
              <a:prstDash val="dash"/>
              <a:round/>
            </a:ln>
            <a:effectLst/>
          </c:spPr>
          <c:marker>
            <c:symbol val="none"/>
          </c:marker>
          <c:xVal>
            <c:numRef>
              <c:f>Vetroz_Blätter!$H$190:$H$194</c:f>
              <c:numCache>
                <c:formatCode>h:mm</c:formatCode>
                <c:ptCount val="5"/>
                <c:pt idx="0">
                  <c:v>0.3118055555555555</c:v>
                </c:pt>
                <c:pt idx="1">
                  <c:v>0.39930555555555558</c:v>
                </c:pt>
                <c:pt idx="2">
                  <c:v>0.49722222222222218</c:v>
                </c:pt>
                <c:pt idx="3">
                  <c:v>0.61250000000000004</c:v>
                </c:pt>
                <c:pt idx="4">
                  <c:v>0.7236111111111112</c:v>
                </c:pt>
              </c:numCache>
            </c:numRef>
          </c:xVal>
          <c:yVal>
            <c:numRef>
              <c:f>Vetroz_Blätter!$S$190:$S$194</c:f>
              <c:numCache>
                <c:formatCode>0.0</c:formatCode>
                <c:ptCount val="5"/>
                <c:pt idx="0">
                  <c:v>6.666666666666667</c:v>
                </c:pt>
                <c:pt idx="1">
                  <c:v>7.666666666666667</c:v>
                </c:pt>
                <c:pt idx="2">
                  <c:v>8</c:v>
                </c:pt>
                <c:pt idx="3">
                  <c:v>9.3333333333333339</c:v>
                </c:pt>
                <c:pt idx="4">
                  <c:v>7.666666666666667</c:v>
                </c:pt>
              </c:numCache>
            </c:numRef>
          </c:yVal>
          <c:smooth val="0"/>
          <c:extLst>
            <c:ext xmlns:c16="http://schemas.microsoft.com/office/drawing/2014/chart" uri="{C3380CC4-5D6E-409C-BE32-E72D297353CC}">
              <c16:uniqueId val="{00000007-69F9-8C40-83C7-2C45E3A2AAF7}"/>
            </c:ext>
          </c:extLst>
        </c:ser>
        <c:ser>
          <c:idx val="8"/>
          <c:order val="8"/>
          <c:tx>
            <c:v>Tree 13 unbagged</c:v>
          </c:tx>
          <c:spPr>
            <a:ln w="12700" cap="rnd">
              <a:solidFill>
                <a:srgbClr val="00B0F0"/>
              </a:solidFill>
              <a:round/>
            </a:ln>
            <a:effectLst/>
          </c:spPr>
          <c:marker>
            <c:symbol val="circle"/>
            <c:size val="6"/>
            <c:spPr>
              <a:solidFill>
                <a:srgbClr val="00B0F0"/>
              </a:solidFill>
              <a:ln w="9525">
                <a:noFill/>
              </a:ln>
              <a:effectLst/>
            </c:spPr>
          </c:marker>
          <c:xVal>
            <c:numRef>
              <c:f>Vetroz_Blätter!$H$271:$H$276</c:f>
              <c:numCache>
                <c:formatCode>h:mm</c:formatCode>
                <c:ptCount val="6"/>
                <c:pt idx="0">
                  <c:v>0.12222222222222223</c:v>
                </c:pt>
                <c:pt idx="1">
                  <c:v>0.3041666666666667</c:v>
                </c:pt>
                <c:pt idx="2">
                  <c:v>0.38541666666666663</c:v>
                </c:pt>
                <c:pt idx="3">
                  <c:v>0.48472222222222222</c:v>
                </c:pt>
                <c:pt idx="4">
                  <c:v>0.59722222222222232</c:v>
                </c:pt>
                <c:pt idx="5">
                  <c:v>0.7152777777777779</c:v>
                </c:pt>
              </c:numCache>
            </c:numRef>
          </c:xVal>
          <c:yVal>
            <c:numRef>
              <c:f>Vetroz_Blätter!$S$271:$S$276</c:f>
              <c:numCache>
                <c:formatCode>0.0</c:formatCode>
                <c:ptCount val="6"/>
                <c:pt idx="0">
                  <c:v>4.333333333333333</c:v>
                </c:pt>
                <c:pt idx="1">
                  <c:v>6.333333333333333</c:v>
                </c:pt>
                <c:pt idx="2">
                  <c:v>9.3333333333333339</c:v>
                </c:pt>
                <c:pt idx="3">
                  <c:v>11.333333333333334</c:v>
                </c:pt>
                <c:pt idx="4">
                  <c:v>11.333333333333334</c:v>
                </c:pt>
                <c:pt idx="5">
                  <c:v>7</c:v>
                </c:pt>
              </c:numCache>
            </c:numRef>
          </c:yVal>
          <c:smooth val="0"/>
          <c:extLst>
            <c:ext xmlns:c16="http://schemas.microsoft.com/office/drawing/2014/chart" uri="{C3380CC4-5D6E-409C-BE32-E72D297353CC}">
              <c16:uniqueId val="{00000008-69F9-8C40-83C7-2C45E3A2AAF7}"/>
            </c:ext>
          </c:extLst>
        </c:ser>
        <c:ser>
          <c:idx val="9"/>
          <c:order val="9"/>
          <c:tx>
            <c:v>Tree 13 bagged</c:v>
          </c:tx>
          <c:spPr>
            <a:ln w="12700" cap="rnd">
              <a:solidFill>
                <a:srgbClr val="00B0F0"/>
              </a:solidFill>
              <a:prstDash val="dash"/>
              <a:round/>
            </a:ln>
            <a:effectLst/>
          </c:spPr>
          <c:marker>
            <c:symbol val="none"/>
          </c:marker>
          <c:xVal>
            <c:numRef>
              <c:f>Vetroz_Blätter!$H$266:$H$270</c:f>
              <c:numCache>
                <c:formatCode>h:mm</c:formatCode>
                <c:ptCount val="5"/>
                <c:pt idx="0">
                  <c:v>0.3041666666666667</c:v>
                </c:pt>
                <c:pt idx="1">
                  <c:v>0.3888888888888889</c:v>
                </c:pt>
                <c:pt idx="2">
                  <c:v>0.48819444444444443</c:v>
                </c:pt>
                <c:pt idx="3">
                  <c:v>0.60347222222222219</c:v>
                </c:pt>
                <c:pt idx="4">
                  <c:v>0.71666666666666667</c:v>
                </c:pt>
              </c:numCache>
            </c:numRef>
          </c:xVal>
          <c:yVal>
            <c:numRef>
              <c:f>Vetroz_Blätter!$S$266:$S$270</c:f>
              <c:numCache>
                <c:formatCode>0.0</c:formatCode>
                <c:ptCount val="5"/>
                <c:pt idx="0">
                  <c:v>5.333333333333333</c:v>
                </c:pt>
                <c:pt idx="1">
                  <c:v>6</c:v>
                </c:pt>
                <c:pt idx="2">
                  <c:v>7</c:v>
                </c:pt>
                <c:pt idx="3">
                  <c:v>7.333333333333333</c:v>
                </c:pt>
                <c:pt idx="4">
                  <c:v>7.333333333333333</c:v>
                </c:pt>
              </c:numCache>
            </c:numRef>
          </c:yVal>
          <c:smooth val="0"/>
          <c:extLst>
            <c:ext xmlns:c16="http://schemas.microsoft.com/office/drawing/2014/chart" uri="{C3380CC4-5D6E-409C-BE32-E72D297353CC}">
              <c16:uniqueId val="{00000009-69F9-8C40-83C7-2C45E3A2AAF7}"/>
            </c:ext>
          </c:extLst>
        </c:ser>
        <c:ser>
          <c:idx val="10"/>
          <c:order val="10"/>
          <c:spPr>
            <a:ln w="12700" cap="rnd">
              <a:solidFill>
                <a:srgbClr val="92D050"/>
              </a:solidFill>
              <a:round/>
            </a:ln>
            <a:effectLst/>
          </c:spPr>
          <c:marker>
            <c:symbol val="circle"/>
            <c:size val="6"/>
            <c:spPr>
              <a:solidFill>
                <a:srgbClr val="92D050"/>
              </a:solidFill>
              <a:ln w="9525">
                <a:noFill/>
              </a:ln>
              <a:effectLst/>
            </c:spPr>
          </c:marker>
          <c:xVal>
            <c:numRef>
              <c:f>Vetroz_Blätter!$H$347:$H$352</c:f>
              <c:numCache>
                <c:formatCode>h:mm</c:formatCode>
                <c:ptCount val="6"/>
                <c:pt idx="0">
                  <c:v>0.1138888888888889</c:v>
                </c:pt>
                <c:pt idx="1">
                  <c:v>0.29652777777777778</c:v>
                </c:pt>
                <c:pt idx="2">
                  <c:v>0.37777777777777777</c:v>
                </c:pt>
                <c:pt idx="3">
                  <c:v>0.47986111111111113</c:v>
                </c:pt>
                <c:pt idx="4">
                  <c:v>0.58888888888888891</c:v>
                </c:pt>
                <c:pt idx="5">
                  <c:v>0.70902777777777781</c:v>
                </c:pt>
              </c:numCache>
            </c:numRef>
          </c:xVal>
          <c:yVal>
            <c:numRef>
              <c:f>Vetroz_Blätter!$S$347:$S$352</c:f>
              <c:numCache>
                <c:formatCode>0.0</c:formatCode>
                <c:ptCount val="6"/>
                <c:pt idx="0">
                  <c:v>4.333333333333333</c:v>
                </c:pt>
                <c:pt idx="1">
                  <c:v>7.333333333333333</c:v>
                </c:pt>
                <c:pt idx="2">
                  <c:v>9.3333333333333339</c:v>
                </c:pt>
                <c:pt idx="3">
                  <c:v>11.333333333333334</c:v>
                </c:pt>
                <c:pt idx="4">
                  <c:v>14.333333333333334</c:v>
                </c:pt>
                <c:pt idx="5">
                  <c:v>8</c:v>
                </c:pt>
              </c:numCache>
            </c:numRef>
          </c:yVal>
          <c:smooth val="0"/>
          <c:extLst>
            <c:ext xmlns:c16="http://schemas.microsoft.com/office/drawing/2014/chart" uri="{C3380CC4-5D6E-409C-BE32-E72D297353CC}">
              <c16:uniqueId val="{0000000A-69F9-8C40-83C7-2C45E3A2AAF7}"/>
            </c:ext>
          </c:extLst>
        </c:ser>
        <c:ser>
          <c:idx val="11"/>
          <c:order val="11"/>
          <c:tx>
            <c:v>Tree 14 bagged</c:v>
          </c:tx>
          <c:spPr>
            <a:ln w="12700" cap="rnd">
              <a:solidFill>
                <a:srgbClr val="92D050"/>
              </a:solidFill>
              <a:prstDash val="dash"/>
              <a:round/>
            </a:ln>
            <a:effectLst/>
          </c:spPr>
          <c:marker>
            <c:symbol val="none"/>
          </c:marker>
          <c:xVal>
            <c:numRef>
              <c:f>Vetroz_Blätter!$H$342:$H$346</c:f>
              <c:numCache>
                <c:formatCode>h:mm</c:formatCode>
                <c:ptCount val="5"/>
                <c:pt idx="0">
                  <c:v>0.29652777777777778</c:v>
                </c:pt>
                <c:pt idx="1">
                  <c:v>0.37916666666666665</c:v>
                </c:pt>
                <c:pt idx="2">
                  <c:v>0.48125000000000001</c:v>
                </c:pt>
                <c:pt idx="3">
                  <c:v>0.59305555555555556</c:v>
                </c:pt>
                <c:pt idx="4">
                  <c:v>0.7104166666666667</c:v>
                </c:pt>
              </c:numCache>
            </c:numRef>
          </c:xVal>
          <c:yVal>
            <c:numRef>
              <c:f>Vetroz_Blätter!$S$341:$S$345</c:f>
              <c:numCache>
                <c:formatCode>0.0</c:formatCode>
                <c:ptCount val="5"/>
                <c:pt idx="1">
                  <c:v>5</c:v>
                </c:pt>
                <c:pt idx="2">
                  <c:v>6</c:v>
                </c:pt>
                <c:pt idx="3">
                  <c:v>8.6666666666666661</c:v>
                </c:pt>
                <c:pt idx="4">
                  <c:v>9.3333333333333339</c:v>
                </c:pt>
              </c:numCache>
            </c:numRef>
          </c:yVal>
          <c:smooth val="0"/>
          <c:extLst>
            <c:ext xmlns:c16="http://schemas.microsoft.com/office/drawing/2014/chart" uri="{C3380CC4-5D6E-409C-BE32-E72D297353CC}">
              <c16:uniqueId val="{0000000B-69F9-8C40-83C7-2C45E3A2AAF7}"/>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116491688538932"/>
                  <c:y val="9.71788422280548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(Vetroz_Blätter!$S$130,Vetroz_Blätter!$S$141,Vetroz_Blätter!$S$149,Vetroz_Blätter!$S$155,Vetroz_Blätter!$S$162,Vetroz_Blätter!$S$168,Vetroz_Blätter!$S$172)</c:f>
              <c:numCache>
                <c:formatCode>0.0</c:formatCode>
                <c:ptCount val="7"/>
                <c:pt idx="0">
                  <c:v>4.666666666666667</c:v>
                </c:pt>
                <c:pt idx="1">
                  <c:v>3.6666666666666665</c:v>
                </c:pt>
                <c:pt idx="2">
                  <c:v>9.3333333333333339</c:v>
                </c:pt>
                <c:pt idx="3">
                  <c:v>19</c:v>
                </c:pt>
                <c:pt idx="4">
                  <c:v>14</c:v>
                </c:pt>
                <c:pt idx="5">
                  <c:v>26.666666666666668</c:v>
                </c:pt>
                <c:pt idx="6">
                  <c:v>40</c:v>
                </c:pt>
              </c:numCache>
            </c:numRef>
          </c:xVal>
          <c:yVal>
            <c:numRef>
              <c:f>(Vetroz_Blätter!$T$130,Vetroz_Blätter!$T$141,Vetroz_Blätter!$T$149,Vetroz_Blätter!$T$155,Vetroz_Blätter!$T$162,Vetroz_Blätter!$T$168,Vetroz_Blätter!$T$172)</c:f>
              <c:numCache>
                <c:formatCode>0.0</c:formatCode>
                <c:ptCount val="7"/>
                <c:pt idx="0">
                  <c:v>217</c:v>
                </c:pt>
                <c:pt idx="1">
                  <c:v>263</c:v>
                </c:pt>
                <c:pt idx="2">
                  <c:v>285</c:v>
                </c:pt>
                <c:pt idx="3">
                  <c:v>437</c:v>
                </c:pt>
                <c:pt idx="4">
                  <c:v>260</c:v>
                </c:pt>
                <c:pt idx="5">
                  <c:v>350</c:v>
                </c:pt>
                <c:pt idx="6">
                  <c:v>388</c:v>
                </c:pt>
              </c:numCache>
            </c:numRef>
          </c:yVal>
          <c:smooth val="0"/>
          <c:extLst>
            <c:ext xmlns:c16="http://schemas.microsoft.com/office/drawing/2014/chart" uri="{C3380CC4-5D6E-409C-BE32-E72D297353CC}">
              <c16:uniqueId val="{00000002-426E-9F4F-A061-18753086B98A}"/>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116491688538932"/>
                  <c:y val="9.71788422280548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(Vetroz_Blätter!$S$195,Vetroz_Blätter!$S$206,Vetroz_Blätter!$S$214,Vetroz_Blätter!$S$220,Vetroz_Blätter!$S$227,Vetroz_Blätter!$S$233,Vetroz_Blätter!$S$237)</c:f>
              <c:numCache>
                <c:formatCode>0.0</c:formatCode>
                <c:ptCount val="7"/>
                <c:pt idx="0">
                  <c:v>3.6666666666666665</c:v>
                </c:pt>
                <c:pt idx="1">
                  <c:v>3.3333333333333335</c:v>
                </c:pt>
                <c:pt idx="2">
                  <c:v>7.666666666666667</c:v>
                </c:pt>
                <c:pt idx="3">
                  <c:v>17.333333333333332</c:v>
                </c:pt>
                <c:pt idx="4">
                  <c:v>13.333333333333334</c:v>
                </c:pt>
                <c:pt idx="5">
                  <c:v>24.333333333333332</c:v>
                </c:pt>
                <c:pt idx="6">
                  <c:v>39.333333333333336</c:v>
                </c:pt>
              </c:numCache>
            </c:numRef>
          </c:xVal>
          <c:yVal>
            <c:numRef>
              <c:f>(Vetroz_Blätter!$T$195,Vetroz_Blätter!$T$206,Vetroz_Blätter!$T$214,Vetroz_Blätter!$T$220,Vetroz_Blätter!$T$227,Vetroz_Blätter!$T$233,Vetroz_Blätter!$T$237)</c:f>
              <c:numCache>
                <c:formatCode>0.0</c:formatCode>
                <c:ptCount val="7"/>
                <c:pt idx="0">
                  <c:v>108</c:v>
                </c:pt>
                <c:pt idx="1">
                  <c:v>183</c:v>
                </c:pt>
                <c:pt idx="2">
                  <c:v>185</c:v>
                </c:pt>
                <c:pt idx="3">
                  <c:v>331</c:v>
                </c:pt>
                <c:pt idx="4">
                  <c:v>260</c:v>
                </c:pt>
                <c:pt idx="5">
                  <c:v>375</c:v>
                </c:pt>
                <c:pt idx="6">
                  <c:v>645</c:v>
                </c:pt>
              </c:numCache>
            </c:numRef>
          </c:yVal>
          <c:smooth val="0"/>
          <c:extLst>
            <c:ext xmlns:c16="http://schemas.microsoft.com/office/drawing/2014/chart" uri="{C3380CC4-5D6E-409C-BE32-E72D297353CC}">
              <c16:uniqueId val="{00000002-1553-7B47-B395-501E8DAB7C8B}"/>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116491688538932"/>
                  <c:y val="9.71788422280548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(Vetroz_Blätter!$S$271,Vetroz_Blätter!$S$282,Vetroz_Blätter!$S$290,Vetroz_Blätter!$S$296,Vetroz_Blätter!$S$303,Vetroz_Blätter!$S$309,Vetroz_Blätter!$S$313)</c:f>
              <c:numCache>
                <c:formatCode>0.0</c:formatCode>
                <c:ptCount val="7"/>
                <c:pt idx="0">
                  <c:v>4.333333333333333</c:v>
                </c:pt>
                <c:pt idx="1">
                  <c:v>3.3333333333333335</c:v>
                </c:pt>
                <c:pt idx="2">
                  <c:v>10.666666666666666</c:v>
                </c:pt>
                <c:pt idx="3">
                  <c:v>17.333333333333332</c:v>
                </c:pt>
                <c:pt idx="4">
                  <c:v>14.333333333333334</c:v>
                </c:pt>
                <c:pt idx="5">
                  <c:v>23.333333333333332</c:v>
                </c:pt>
                <c:pt idx="6">
                  <c:v>35</c:v>
                </c:pt>
              </c:numCache>
            </c:numRef>
          </c:xVal>
          <c:yVal>
            <c:numRef>
              <c:f>(Vetroz_Blätter!$T$271,Vetroz_Blätter!$T$282,Vetroz_Blätter!$T$290,Vetroz_Blätter!$T$296,Vetroz_Blätter!$T$303,Vetroz_Blätter!$T$309,Vetroz_Blätter!$T$313)</c:f>
              <c:numCache>
                <c:formatCode>0.0</c:formatCode>
                <c:ptCount val="7"/>
                <c:pt idx="0">
                  <c:v>167</c:v>
                </c:pt>
                <c:pt idx="1">
                  <c:v>182</c:v>
                </c:pt>
                <c:pt idx="2">
                  <c:v>184</c:v>
                </c:pt>
                <c:pt idx="3">
                  <c:v>283</c:v>
                </c:pt>
                <c:pt idx="4">
                  <c:v>230</c:v>
                </c:pt>
                <c:pt idx="5">
                  <c:v>305</c:v>
                </c:pt>
                <c:pt idx="6">
                  <c:v>413</c:v>
                </c:pt>
              </c:numCache>
            </c:numRef>
          </c:yVal>
          <c:smooth val="0"/>
          <c:extLst>
            <c:ext xmlns:c16="http://schemas.microsoft.com/office/drawing/2014/chart" uri="{C3380CC4-5D6E-409C-BE32-E72D297353CC}">
              <c16:uniqueId val="{00000002-AB1F-854E-8A42-496CD83E485B}"/>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14</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116491688538932"/>
                  <c:y val="9.71788422280548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(Vetroz_Blätter!$S$347,Vetroz_Blätter!$S$358,Vetroz_Blätter!$S$366,Vetroz_Blätter!$S$372,Vetroz_Blätter!$S$379,Vetroz_Blätter!$S$385,Vetroz_Blätter!$S$389)</c:f>
              <c:numCache>
                <c:formatCode>0.0</c:formatCode>
                <c:ptCount val="7"/>
                <c:pt idx="0">
                  <c:v>4.333333333333333</c:v>
                </c:pt>
                <c:pt idx="1">
                  <c:v>3.3333333333333335</c:v>
                </c:pt>
                <c:pt idx="2">
                  <c:v>7.333333333333333</c:v>
                </c:pt>
                <c:pt idx="3">
                  <c:v>17</c:v>
                </c:pt>
                <c:pt idx="4">
                  <c:v>17</c:v>
                </c:pt>
                <c:pt idx="5">
                  <c:v>26</c:v>
                </c:pt>
                <c:pt idx="6">
                  <c:v>37.666666666666664</c:v>
                </c:pt>
              </c:numCache>
            </c:numRef>
          </c:xVal>
          <c:yVal>
            <c:numRef>
              <c:f>(Vetroz_Blätter!$T$347,Vetroz_Blätter!$T$358,Vetroz_Blätter!$T$366,Vetroz_Blätter!$T$372,Vetroz_Blätter!$T$379,Vetroz_Blätter!$T$385,Vetroz_Blätter!$T$389)</c:f>
              <c:numCache>
                <c:formatCode>0.0</c:formatCode>
                <c:ptCount val="7"/>
                <c:pt idx="0">
                  <c:v>217</c:v>
                </c:pt>
                <c:pt idx="1">
                  <c:v>258</c:v>
                </c:pt>
                <c:pt idx="2">
                  <c:v>295</c:v>
                </c:pt>
                <c:pt idx="3">
                  <c:v>392</c:v>
                </c:pt>
                <c:pt idx="4">
                  <c:v>350</c:v>
                </c:pt>
                <c:pt idx="5">
                  <c:v>430</c:v>
                </c:pt>
                <c:pt idx="6">
                  <c:v>551</c:v>
                </c:pt>
              </c:numCache>
            </c:numRef>
          </c:yVal>
          <c:smooth val="0"/>
          <c:extLst>
            <c:ext xmlns:c16="http://schemas.microsoft.com/office/drawing/2014/chart" uri="{C3380CC4-5D6E-409C-BE32-E72D297353CC}">
              <c16:uniqueId val="{00000002-2DB2-A84C-BEF5-48B1A6C72ACF}"/>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4.5805555555555558E-2"/>
                  <c:y val="-0.1602391367745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(Vetroz_Blätter!$S$11,Vetroz_Blätter!$S$21,Vetroz_Blätter!$S$28,Vetroz_Blätter!$S$34,Vetroz_Blätter!$S$42,Vetroz_Blätter!$S$47,Vetroz_Blätter!$S$51)</c:f>
              <c:numCache>
                <c:formatCode>0.0</c:formatCode>
                <c:ptCount val="7"/>
                <c:pt idx="0">
                  <c:v>16.333333333333332</c:v>
                </c:pt>
                <c:pt idx="1">
                  <c:v>20.333333333333332</c:v>
                </c:pt>
                <c:pt idx="2">
                  <c:v>24</c:v>
                </c:pt>
                <c:pt idx="3">
                  <c:v>29</c:v>
                </c:pt>
                <c:pt idx="4">
                  <c:v>25</c:v>
                </c:pt>
                <c:pt idx="5">
                  <c:v>31.666666666666668</c:v>
                </c:pt>
                <c:pt idx="6">
                  <c:v>44.333333333333336</c:v>
                </c:pt>
              </c:numCache>
            </c:numRef>
          </c:xVal>
          <c:yVal>
            <c:numRef>
              <c:f>(Vetroz_Blätter!$U$11,Vetroz_Blätter!$U$21,Vetroz_Blätter!$U$28,Vetroz_Blätter!$U$34,Vetroz_Blätter!$U$42,Vetroz_Blätter!$U$47,Vetroz_Blätter!$U$51)</c:f>
              <c:numCache>
                <c:formatCode>0.0</c:formatCode>
                <c:ptCount val="7"/>
                <c:pt idx="0">
                  <c:v>270.3</c:v>
                </c:pt>
                <c:pt idx="1">
                  <c:v>372.33333333333331</c:v>
                </c:pt>
                <c:pt idx="2">
                  <c:v>325.8</c:v>
                </c:pt>
                <c:pt idx="3">
                  <c:v>125.46</c:v>
                </c:pt>
                <c:pt idx="4">
                  <c:v>70.05</c:v>
                </c:pt>
                <c:pt idx="5">
                  <c:v>36.424999999999997</c:v>
                </c:pt>
                <c:pt idx="6">
                  <c:v>24.174999999999997</c:v>
                </c:pt>
              </c:numCache>
            </c:numRef>
          </c:yVal>
          <c:smooth val="0"/>
          <c:extLst>
            <c:ext xmlns:c16="http://schemas.microsoft.com/office/drawing/2014/chart" uri="{C3380CC4-5D6E-409C-BE32-E72D297353CC}">
              <c16:uniqueId val="{00000001-92F9-4B48-81E4-A4023B74F5A4}"/>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a:t>
                </a:r>
                <a:r>
                  <a:rPr lang="de-DE" baseline="0"/>
                  <a:t> </a:t>
                </a:r>
                <a:r>
                  <a:rPr lang="de-DE"/>
                  <a:t>(bar)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 cond (mmol/m2s-1)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8.4694444444444447E-2"/>
                  <c:y val="-0.192646544181977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(Vetroz_Blätter!$S$133,Vetroz_Blätter!$S$143,Vetroz_Blätter!$S$150,Vetroz_Blätter!$S$156,Vetroz_Blätter!$S$164,Vetroz_Blätter!$S$169,Vetroz_Blätter!$S$173)</c:f>
              <c:numCache>
                <c:formatCode>0.0</c:formatCode>
                <c:ptCount val="7"/>
                <c:pt idx="0">
                  <c:v>15</c:v>
                </c:pt>
                <c:pt idx="1">
                  <c:v>18.666666666666668</c:v>
                </c:pt>
                <c:pt idx="2">
                  <c:v>27.666666666666668</c:v>
                </c:pt>
                <c:pt idx="3">
                  <c:v>30</c:v>
                </c:pt>
                <c:pt idx="4">
                  <c:v>23.333333333333332</c:v>
                </c:pt>
                <c:pt idx="5">
                  <c:v>32.666666666666664</c:v>
                </c:pt>
                <c:pt idx="6">
                  <c:v>44.333333333333336</c:v>
                </c:pt>
              </c:numCache>
            </c:numRef>
          </c:xVal>
          <c:yVal>
            <c:numRef>
              <c:f>(Vetroz_Blätter!$U$133,Vetroz_Blätter!$U$143,Vetroz_Blätter!$U$150,Vetroz_Blätter!$U$156,Vetroz_Blätter!$U$164,Vetroz_Blätter!$U$169,Vetroz_Blätter!$U$173)</c:f>
              <c:numCache>
                <c:formatCode>0.0</c:formatCode>
                <c:ptCount val="7"/>
                <c:pt idx="0">
                  <c:v>328.7</c:v>
                </c:pt>
                <c:pt idx="1">
                  <c:v>465.43333333333334</c:v>
                </c:pt>
                <c:pt idx="2">
                  <c:v>378.3</c:v>
                </c:pt>
                <c:pt idx="3">
                  <c:v>244.12500000000003</c:v>
                </c:pt>
                <c:pt idx="4">
                  <c:v>115.9</c:v>
                </c:pt>
                <c:pt idx="5">
                  <c:v>79.474999999999994</c:v>
                </c:pt>
                <c:pt idx="6">
                  <c:v>25.14</c:v>
                </c:pt>
              </c:numCache>
            </c:numRef>
          </c:yVal>
          <c:smooth val="0"/>
          <c:extLst>
            <c:ext xmlns:c16="http://schemas.microsoft.com/office/drawing/2014/chart" uri="{C3380CC4-5D6E-409C-BE32-E72D297353CC}">
              <c16:uniqueId val="{00000001-30A4-084B-A76B-1807DF8176B8}"/>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5.4433070866141735E-2"/>
                  <c:y val="-0.137090988626421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(Vetroz_Blätter!$S$198,Vetroz_Blätter!$S$208,Vetroz_Blätter!$S$215,Vetroz_Blätter!$S$221,Vetroz_Blätter!$S$229,Vetroz_Blätter!$S$234,Vetroz_Blätter!$S$238)</c:f>
              <c:numCache>
                <c:formatCode>0.0</c:formatCode>
                <c:ptCount val="7"/>
                <c:pt idx="0">
                  <c:v>13</c:v>
                </c:pt>
                <c:pt idx="1">
                  <c:v>20.666666666666668</c:v>
                </c:pt>
                <c:pt idx="2">
                  <c:v>22.333333333333332</c:v>
                </c:pt>
                <c:pt idx="3">
                  <c:v>24.333333333333332</c:v>
                </c:pt>
                <c:pt idx="4">
                  <c:v>22.333333333333332</c:v>
                </c:pt>
                <c:pt idx="5">
                  <c:v>29.666666666666668</c:v>
                </c:pt>
                <c:pt idx="6">
                  <c:v>45.333333333333336</c:v>
                </c:pt>
              </c:numCache>
            </c:numRef>
          </c:xVal>
          <c:yVal>
            <c:numRef>
              <c:f>(Vetroz_Blätter!$U$198,Vetroz_Blätter!$U$208,Vetroz_Blätter!$U$215,Vetroz_Blätter!$U$221,Vetroz_Blätter!$U$229,Vetroz_Blätter!$U$234,Vetroz_Blätter!$U$238)</c:f>
              <c:numCache>
                <c:formatCode>0.0</c:formatCode>
                <c:ptCount val="7"/>
                <c:pt idx="0">
                  <c:v>252</c:v>
                </c:pt>
                <c:pt idx="1">
                  <c:v>318.8</c:v>
                </c:pt>
                <c:pt idx="2">
                  <c:v>331.6</c:v>
                </c:pt>
                <c:pt idx="3">
                  <c:v>164.65</c:v>
                </c:pt>
                <c:pt idx="4">
                  <c:v>115.81999999999998</c:v>
                </c:pt>
                <c:pt idx="5">
                  <c:v>85.7</c:v>
                </c:pt>
                <c:pt idx="6" formatCode="General">
                  <c:v>28.380000000000003</c:v>
                </c:pt>
              </c:numCache>
            </c:numRef>
          </c:yVal>
          <c:smooth val="0"/>
          <c:extLst>
            <c:ext xmlns:c16="http://schemas.microsoft.com/office/drawing/2014/chart" uri="{C3380CC4-5D6E-409C-BE32-E72D297353CC}">
              <c16:uniqueId val="{00000001-B7E3-5F49-A69A-3B229CFB6358}"/>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930227471566054"/>
                  <c:y val="-0.14440653251676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(Vetroz_Blätter!$S$274,Vetroz_Blätter!$S$284,Vetroz_Blätter!$S$291,Vetroz_Blätter!$S$297,Vetroz_Blätter!$S$305,Vetroz_Blätter!$S$310,Vetroz_Blätter!$S$314)</c:f>
              <c:numCache>
                <c:formatCode>0.0</c:formatCode>
                <c:ptCount val="7"/>
                <c:pt idx="0">
                  <c:v>11.333333333333334</c:v>
                </c:pt>
                <c:pt idx="1">
                  <c:v>18.666666666666668</c:v>
                </c:pt>
                <c:pt idx="2">
                  <c:v>23.333333333333332</c:v>
                </c:pt>
                <c:pt idx="3">
                  <c:v>28</c:v>
                </c:pt>
                <c:pt idx="4">
                  <c:v>20</c:v>
                </c:pt>
                <c:pt idx="5">
                  <c:v>29.333333333333332</c:v>
                </c:pt>
                <c:pt idx="6">
                  <c:v>37.333333333333336</c:v>
                </c:pt>
              </c:numCache>
            </c:numRef>
          </c:xVal>
          <c:yVal>
            <c:numRef>
              <c:f>(Vetroz_Blätter!$U$274,Vetroz_Blätter!$U$284,Vetroz_Blätter!$U$291,Vetroz_Blätter!$U$297,Vetroz_Blätter!$U$305,Vetroz_Blätter!$U$310,Vetroz_Blätter!$U$314)</c:f>
              <c:numCache>
                <c:formatCode>0.0</c:formatCode>
                <c:ptCount val="7"/>
                <c:pt idx="0">
                  <c:v>207.3</c:v>
                </c:pt>
                <c:pt idx="1">
                  <c:v>392.63333333333338</c:v>
                </c:pt>
                <c:pt idx="2">
                  <c:v>343.2</c:v>
                </c:pt>
                <c:pt idx="3">
                  <c:v>110.925</c:v>
                </c:pt>
                <c:pt idx="4">
                  <c:v>104</c:v>
                </c:pt>
                <c:pt idx="5">
                  <c:v>59.775000000000006</c:v>
                </c:pt>
                <c:pt idx="6" formatCode="General">
                  <c:v>34.725000000000001</c:v>
                </c:pt>
              </c:numCache>
            </c:numRef>
          </c:yVal>
          <c:smooth val="0"/>
          <c:extLst>
            <c:ext xmlns:c16="http://schemas.microsoft.com/office/drawing/2014/chart" uri="{C3380CC4-5D6E-409C-BE32-E72D297353CC}">
              <c16:uniqueId val="{00000001-DBCB-1E4A-867C-450F0E26D684}"/>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14</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1704746281714785"/>
                  <c:y val="-0.104736803732866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(Vetroz_Blätter!$S$350,Vetroz_Blätter!$S$360,Vetroz_Blätter!$S$367,Vetroz_Blätter!$S$373,Vetroz_Blätter!$S$381,Vetroz_Blätter!$S$386,Vetroz_Blätter!$S$390)</c:f>
              <c:numCache>
                <c:formatCode>0.0</c:formatCode>
                <c:ptCount val="7"/>
                <c:pt idx="0">
                  <c:v>11.333333333333334</c:v>
                </c:pt>
                <c:pt idx="1">
                  <c:v>14.666666666666666</c:v>
                </c:pt>
                <c:pt idx="2">
                  <c:v>24.666666666666668</c:v>
                </c:pt>
                <c:pt idx="3">
                  <c:v>29.333333333333332</c:v>
                </c:pt>
                <c:pt idx="4">
                  <c:v>26.333333333333332</c:v>
                </c:pt>
                <c:pt idx="5">
                  <c:v>31.666666666666668</c:v>
                </c:pt>
                <c:pt idx="6">
                  <c:v>41</c:v>
                </c:pt>
              </c:numCache>
            </c:numRef>
          </c:xVal>
          <c:yVal>
            <c:numRef>
              <c:f>(Vetroz_Blätter!$U$350,Vetroz_Blätter!$U$360,Vetroz_Blätter!$U$367,Vetroz_Blätter!$U$373,Vetroz_Blätter!$U$381,Vetroz_Blätter!$U$386,Vetroz_Blätter!$U$390)</c:f>
              <c:numCache>
                <c:formatCode>0.0</c:formatCode>
                <c:ptCount val="7"/>
                <c:pt idx="0">
                  <c:v>242.6</c:v>
                </c:pt>
                <c:pt idx="1">
                  <c:v>402.56666666666666</c:v>
                </c:pt>
                <c:pt idx="2">
                  <c:v>423.5</c:v>
                </c:pt>
                <c:pt idx="3">
                  <c:v>179.05</c:v>
                </c:pt>
                <c:pt idx="4">
                  <c:v>62.500000000000007</c:v>
                </c:pt>
                <c:pt idx="5">
                  <c:v>74.55</c:v>
                </c:pt>
                <c:pt idx="6" formatCode="General">
                  <c:v>24.875</c:v>
                </c:pt>
              </c:numCache>
            </c:numRef>
          </c:yVal>
          <c:smooth val="0"/>
          <c:extLst>
            <c:ext xmlns:c16="http://schemas.microsoft.com/office/drawing/2014/chart" uri="{C3380CC4-5D6E-409C-BE32-E72D297353CC}">
              <c16:uniqueId val="{00000001-9BBD-3149-AA81-A174227D19BA}"/>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2</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4.5805555555555558E-2"/>
                  <c:y val="-0.1602391367745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(Vetroz_Blätter!$S$70,Vetroz_Blätter!$S$80,Vetroz_Blätter!$S$87,Vetroz_Blätter!$S$93,Vetroz_Blätter!$S$101,Vetroz_Blätter!$S$106,Vetroz_Blätter!$S$110)</c:f>
              <c:numCache>
                <c:formatCode>0.0</c:formatCode>
                <c:ptCount val="7"/>
                <c:pt idx="0">
                  <c:v>13.333333333333334</c:v>
                </c:pt>
                <c:pt idx="1">
                  <c:v>19.333333333333332</c:v>
                </c:pt>
                <c:pt idx="2">
                  <c:v>24.333333333333332</c:v>
                </c:pt>
                <c:pt idx="3">
                  <c:v>28.666666666666668</c:v>
                </c:pt>
                <c:pt idx="4">
                  <c:v>25.666666666666668</c:v>
                </c:pt>
                <c:pt idx="5">
                  <c:v>31.333333333333332</c:v>
                </c:pt>
                <c:pt idx="6">
                  <c:v>42.333333333333336</c:v>
                </c:pt>
              </c:numCache>
            </c:numRef>
          </c:xVal>
          <c:yVal>
            <c:numRef>
              <c:f>(Vetroz_Blätter!$U$70,Vetroz_Blätter!$U$80,Vetroz_Blätter!$U$87,Vetroz_Blätter!$U$93,Vetroz_Blätter!$U$101,Vetroz_Blätter!$U$106,Vetroz_Blätter!$U$110)</c:f>
              <c:numCache>
                <c:formatCode>0.0</c:formatCode>
                <c:ptCount val="7"/>
                <c:pt idx="0">
                  <c:v>254.5</c:v>
                </c:pt>
                <c:pt idx="1">
                  <c:v>465.7</c:v>
                </c:pt>
                <c:pt idx="2">
                  <c:v>374.2</c:v>
                </c:pt>
                <c:pt idx="3">
                  <c:v>193.94</c:v>
                </c:pt>
                <c:pt idx="4">
                  <c:v>119.44000000000001</c:v>
                </c:pt>
                <c:pt idx="5">
                  <c:v>46.324999999999996</c:v>
                </c:pt>
                <c:pt idx="6">
                  <c:v>24.125</c:v>
                </c:pt>
              </c:numCache>
            </c:numRef>
          </c:yVal>
          <c:smooth val="0"/>
          <c:extLst>
            <c:ext xmlns:c16="http://schemas.microsoft.com/office/drawing/2014/chart" uri="{C3380CC4-5D6E-409C-BE32-E72D297353CC}">
              <c16:uniqueId val="{00000001-AB34-814D-A3DB-F8F8C556BAC4}"/>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Tree 1 unbagged</c:v>
          </c:tx>
          <c:spPr>
            <a:ln w="12700" cap="rnd">
              <a:solidFill>
                <a:srgbClr val="7030A0"/>
              </a:solidFill>
              <a:round/>
            </a:ln>
            <a:effectLst/>
          </c:spPr>
          <c:marker>
            <c:symbol val="circle"/>
            <c:size val="6"/>
            <c:spPr>
              <a:solidFill>
                <a:srgbClr val="7030A0"/>
              </a:solidFill>
              <a:ln w="9525">
                <a:noFill/>
              </a:ln>
              <a:effectLst/>
            </c:spPr>
          </c:marker>
          <c:xVal>
            <c:numRef>
              <c:f>Vetroz_Blätter!$H$19:$H$23</c:f>
              <c:numCache>
                <c:formatCode>h:mm</c:formatCode>
                <c:ptCount val="5"/>
                <c:pt idx="0">
                  <c:v>0.17430555555555557</c:v>
                </c:pt>
                <c:pt idx="1">
                  <c:v>0.3972222222222222</c:v>
                </c:pt>
                <c:pt idx="2">
                  <c:v>0.53819444444444442</c:v>
                </c:pt>
                <c:pt idx="3">
                  <c:v>0.64513888888888893</c:v>
                </c:pt>
                <c:pt idx="4">
                  <c:v>0.72777777777777775</c:v>
                </c:pt>
              </c:numCache>
            </c:numRef>
          </c:xVal>
          <c:yVal>
            <c:numRef>
              <c:f>Vetroz_Blätter!$S$19:$S$23</c:f>
              <c:numCache>
                <c:formatCode>0.0</c:formatCode>
                <c:ptCount val="5"/>
                <c:pt idx="0">
                  <c:v>3</c:v>
                </c:pt>
                <c:pt idx="1">
                  <c:v>12.333333333333334</c:v>
                </c:pt>
                <c:pt idx="2">
                  <c:v>20.333333333333332</c:v>
                </c:pt>
                <c:pt idx="3">
                  <c:v>19</c:v>
                </c:pt>
                <c:pt idx="4">
                  <c:v>19.5</c:v>
                </c:pt>
              </c:numCache>
            </c:numRef>
          </c:yVal>
          <c:smooth val="0"/>
          <c:extLst>
            <c:ext xmlns:c16="http://schemas.microsoft.com/office/drawing/2014/chart" uri="{C3380CC4-5D6E-409C-BE32-E72D297353CC}">
              <c16:uniqueId val="{00000000-139D-1A4B-B9B9-4110485EADB0}"/>
            </c:ext>
          </c:extLst>
        </c:ser>
        <c:ser>
          <c:idx val="1"/>
          <c:order val="1"/>
          <c:tx>
            <c:v>Tree 1 bagged</c:v>
          </c:tx>
          <c:spPr>
            <a:ln w="12700" cap="rnd">
              <a:solidFill>
                <a:srgbClr val="7030A0"/>
              </a:solidFill>
              <a:prstDash val="dash"/>
              <a:round/>
            </a:ln>
            <a:effectLst/>
          </c:spPr>
          <c:marker>
            <c:symbol val="none"/>
          </c:marker>
          <c:xVal>
            <c:numRef>
              <c:f>Vetroz_Blätter!$H$15:$H$18</c:f>
              <c:numCache>
                <c:formatCode>h:mm</c:formatCode>
                <c:ptCount val="4"/>
                <c:pt idx="0">
                  <c:v>0.39097222222222217</c:v>
                </c:pt>
                <c:pt idx="1">
                  <c:v>0.53263888888888888</c:v>
                </c:pt>
                <c:pt idx="2">
                  <c:v>0.64097222222222228</c:v>
                </c:pt>
                <c:pt idx="3">
                  <c:v>0.7236111111111112</c:v>
                </c:pt>
              </c:numCache>
            </c:numRef>
          </c:xVal>
          <c:yVal>
            <c:numRef>
              <c:f>Vetroz_Blätter!$S$15:$S$18</c:f>
              <c:numCache>
                <c:formatCode>0.0</c:formatCode>
                <c:ptCount val="4"/>
                <c:pt idx="0">
                  <c:v>6.666666666666667</c:v>
                </c:pt>
                <c:pt idx="1">
                  <c:v>10.333333333333334</c:v>
                </c:pt>
                <c:pt idx="2">
                  <c:v>11.666666666666666</c:v>
                </c:pt>
                <c:pt idx="3">
                  <c:v>12</c:v>
                </c:pt>
              </c:numCache>
            </c:numRef>
          </c:yVal>
          <c:smooth val="0"/>
          <c:extLst>
            <c:ext xmlns:c16="http://schemas.microsoft.com/office/drawing/2014/chart" uri="{C3380CC4-5D6E-409C-BE32-E72D297353CC}">
              <c16:uniqueId val="{00000001-139D-1A4B-B9B9-4110485EADB0}"/>
            </c:ext>
          </c:extLst>
        </c:ser>
        <c:ser>
          <c:idx val="2"/>
          <c:order val="2"/>
          <c:tx>
            <c:v>Tree 2 unbagged</c:v>
          </c:tx>
          <c:spPr>
            <a:ln w="12700" cap="rnd">
              <a:solidFill>
                <a:srgbClr val="FFC000"/>
              </a:solidFill>
              <a:round/>
            </a:ln>
            <a:effectLst/>
          </c:spPr>
          <c:marker>
            <c:symbol val="circle"/>
            <c:size val="6"/>
            <c:spPr>
              <a:solidFill>
                <a:srgbClr val="FFC000"/>
              </a:solidFill>
              <a:ln w="9525">
                <a:noFill/>
              </a:ln>
              <a:effectLst/>
            </c:spPr>
          </c:marker>
          <c:xVal>
            <c:numRef>
              <c:f>Vetroz_Blätter!$H$78:$H$82</c:f>
              <c:numCache>
                <c:formatCode>h:mm</c:formatCode>
                <c:ptCount val="5"/>
                <c:pt idx="0">
                  <c:v>0.1652777777777778</c:v>
                </c:pt>
                <c:pt idx="1">
                  <c:v>0.38680555555555551</c:v>
                </c:pt>
                <c:pt idx="2">
                  <c:v>0.52916666666666667</c:v>
                </c:pt>
                <c:pt idx="3">
                  <c:v>0.6347222222222223</c:v>
                </c:pt>
                <c:pt idx="4">
                  <c:v>0.72083333333333344</c:v>
                </c:pt>
              </c:numCache>
            </c:numRef>
          </c:xVal>
          <c:yVal>
            <c:numRef>
              <c:f>Vetroz_Blätter!$S$78:$S$82</c:f>
              <c:numCache>
                <c:formatCode>0.0</c:formatCode>
                <c:ptCount val="5"/>
                <c:pt idx="0">
                  <c:v>3.6666666666666665</c:v>
                </c:pt>
                <c:pt idx="1">
                  <c:v>12</c:v>
                </c:pt>
                <c:pt idx="2">
                  <c:v>19.333333333333332</c:v>
                </c:pt>
                <c:pt idx="3">
                  <c:v>20</c:v>
                </c:pt>
                <c:pt idx="4">
                  <c:v>17</c:v>
                </c:pt>
              </c:numCache>
            </c:numRef>
          </c:yVal>
          <c:smooth val="0"/>
          <c:extLst>
            <c:ext xmlns:c16="http://schemas.microsoft.com/office/drawing/2014/chart" uri="{C3380CC4-5D6E-409C-BE32-E72D297353CC}">
              <c16:uniqueId val="{00000002-139D-1A4B-B9B9-4110485EADB0}"/>
            </c:ext>
          </c:extLst>
        </c:ser>
        <c:ser>
          <c:idx val="3"/>
          <c:order val="3"/>
          <c:tx>
            <c:v>Tree 2 bagged</c:v>
          </c:tx>
          <c:spPr>
            <a:ln w="12700" cap="rnd">
              <a:solidFill>
                <a:srgbClr val="FFC000"/>
              </a:solidFill>
              <a:prstDash val="dash"/>
              <a:round/>
            </a:ln>
            <a:effectLst/>
          </c:spPr>
          <c:marker>
            <c:symbol val="none"/>
          </c:marker>
          <c:xVal>
            <c:numRef>
              <c:f>Vetroz_Blätter!$H$74:$H$77</c:f>
              <c:numCache>
                <c:formatCode>h:mm</c:formatCode>
                <c:ptCount val="4"/>
                <c:pt idx="0">
                  <c:v>0.38263888888888886</c:v>
                </c:pt>
                <c:pt idx="1">
                  <c:v>0.52500000000000002</c:v>
                </c:pt>
                <c:pt idx="2">
                  <c:v>0.63055555555555554</c:v>
                </c:pt>
                <c:pt idx="3">
                  <c:v>0.71458333333333335</c:v>
                </c:pt>
              </c:numCache>
            </c:numRef>
          </c:xVal>
          <c:yVal>
            <c:numRef>
              <c:f>Vetroz_Blätter!$S$74:$S$77</c:f>
              <c:numCache>
                <c:formatCode>0.0</c:formatCode>
                <c:ptCount val="4"/>
                <c:pt idx="0">
                  <c:v>5</c:v>
                </c:pt>
                <c:pt idx="1">
                  <c:v>8.6666666666666661</c:v>
                </c:pt>
                <c:pt idx="2">
                  <c:v>10</c:v>
                </c:pt>
                <c:pt idx="3">
                  <c:v>7.333333333333333</c:v>
                </c:pt>
              </c:numCache>
            </c:numRef>
          </c:yVal>
          <c:smooth val="0"/>
          <c:extLst>
            <c:ext xmlns:c16="http://schemas.microsoft.com/office/drawing/2014/chart" uri="{C3380CC4-5D6E-409C-BE32-E72D297353CC}">
              <c16:uniqueId val="{00000003-139D-1A4B-B9B9-4110485EADB0}"/>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Vetroz_Blätter!$H$141:$H$145</c:f>
              <c:numCache>
                <c:formatCode>h:mm</c:formatCode>
                <c:ptCount val="5"/>
                <c:pt idx="0">
                  <c:v>0.18124999999999999</c:v>
                </c:pt>
                <c:pt idx="1">
                  <c:v>0.37638888888888888</c:v>
                </c:pt>
                <c:pt idx="2">
                  <c:v>0.51736111111111116</c:v>
                </c:pt>
                <c:pt idx="3">
                  <c:v>0.62708333333333344</c:v>
                </c:pt>
                <c:pt idx="4">
                  <c:v>0.71180555555555558</c:v>
                </c:pt>
              </c:numCache>
            </c:numRef>
          </c:xVal>
          <c:yVal>
            <c:numRef>
              <c:f>Vetroz_Blätter!$S$141:$S$145</c:f>
              <c:numCache>
                <c:formatCode>0.0</c:formatCode>
                <c:ptCount val="5"/>
                <c:pt idx="0">
                  <c:v>3.6666666666666665</c:v>
                </c:pt>
                <c:pt idx="1">
                  <c:v>17.666666666666668</c:v>
                </c:pt>
                <c:pt idx="2">
                  <c:v>18.666666666666668</c:v>
                </c:pt>
                <c:pt idx="3">
                  <c:v>21.5</c:v>
                </c:pt>
                <c:pt idx="4">
                  <c:v>22</c:v>
                </c:pt>
              </c:numCache>
            </c:numRef>
          </c:yVal>
          <c:smooth val="0"/>
          <c:extLst>
            <c:ext xmlns:c16="http://schemas.microsoft.com/office/drawing/2014/chart" uri="{C3380CC4-5D6E-409C-BE32-E72D297353CC}">
              <c16:uniqueId val="{00000004-139D-1A4B-B9B9-4110485EADB0}"/>
            </c:ext>
          </c:extLst>
        </c:ser>
        <c:ser>
          <c:idx val="5"/>
          <c:order val="5"/>
          <c:tx>
            <c:v>Tree 3 bagged</c:v>
          </c:tx>
          <c:spPr>
            <a:ln w="12700" cap="rnd">
              <a:solidFill>
                <a:schemeClr val="tx1"/>
              </a:solidFill>
              <a:prstDash val="dash"/>
              <a:round/>
            </a:ln>
            <a:effectLst/>
          </c:spPr>
          <c:marker>
            <c:symbol val="none"/>
          </c:marker>
          <c:xVal>
            <c:numRef>
              <c:f>Vetroz_Blätter!$H$137:$H$140</c:f>
              <c:numCache>
                <c:formatCode>h:mm</c:formatCode>
                <c:ptCount val="4"/>
                <c:pt idx="0">
                  <c:v>0.37152777777777773</c:v>
                </c:pt>
                <c:pt idx="1">
                  <c:v>0.51250000000000007</c:v>
                </c:pt>
                <c:pt idx="2">
                  <c:v>0.62152777777777779</c:v>
                </c:pt>
                <c:pt idx="3">
                  <c:v>0.70486111111111116</c:v>
                </c:pt>
              </c:numCache>
            </c:numRef>
          </c:xVal>
          <c:yVal>
            <c:numRef>
              <c:f>Vetroz_Blätter!$S$137:$S$140</c:f>
              <c:numCache>
                <c:formatCode>0.0</c:formatCode>
                <c:ptCount val="4"/>
                <c:pt idx="0">
                  <c:v>7.333333333333333</c:v>
                </c:pt>
                <c:pt idx="1">
                  <c:v>13</c:v>
                </c:pt>
                <c:pt idx="2">
                  <c:v>10.333333333333334</c:v>
                </c:pt>
                <c:pt idx="3">
                  <c:v>10</c:v>
                </c:pt>
              </c:numCache>
            </c:numRef>
          </c:yVal>
          <c:smooth val="0"/>
          <c:extLst>
            <c:ext xmlns:c16="http://schemas.microsoft.com/office/drawing/2014/chart" uri="{C3380CC4-5D6E-409C-BE32-E72D297353CC}">
              <c16:uniqueId val="{00000005-139D-1A4B-B9B9-4110485EADB0}"/>
            </c:ext>
          </c:extLst>
        </c:ser>
        <c:ser>
          <c:idx val="6"/>
          <c:order val="6"/>
          <c:tx>
            <c:v>Tree 8 unbagged</c:v>
          </c:tx>
          <c:spPr>
            <a:ln w="12700" cap="rnd">
              <a:solidFill>
                <a:srgbClr val="FF0000"/>
              </a:solidFill>
              <a:prstDash val="solid"/>
              <a:round/>
            </a:ln>
            <a:effectLst/>
          </c:spPr>
          <c:marker>
            <c:symbol val="circle"/>
            <c:size val="6"/>
            <c:spPr>
              <a:solidFill>
                <a:srgbClr val="FF0000"/>
              </a:solidFill>
              <a:ln w="9525">
                <a:noFill/>
              </a:ln>
              <a:effectLst/>
            </c:spPr>
          </c:marker>
          <c:xVal>
            <c:numRef>
              <c:f>Vetroz_Blätter!$H$206:$H$210</c:f>
              <c:numCache>
                <c:formatCode>h:mm</c:formatCode>
                <c:ptCount val="5"/>
                <c:pt idx="0">
                  <c:v>0.14375000000000002</c:v>
                </c:pt>
                <c:pt idx="1">
                  <c:v>0.36388888888888882</c:v>
                </c:pt>
                <c:pt idx="2">
                  <c:v>0.50694444444444442</c:v>
                </c:pt>
                <c:pt idx="3">
                  <c:v>0.61805555555555558</c:v>
                </c:pt>
                <c:pt idx="4">
                  <c:v>0.70208333333333339</c:v>
                </c:pt>
              </c:numCache>
            </c:numRef>
          </c:xVal>
          <c:yVal>
            <c:numRef>
              <c:f>Vetroz_Blätter!$S$206:$S$210</c:f>
              <c:numCache>
                <c:formatCode>0.0</c:formatCode>
                <c:ptCount val="5"/>
                <c:pt idx="0">
                  <c:v>3.3333333333333335</c:v>
                </c:pt>
                <c:pt idx="1">
                  <c:v>14.666666666666666</c:v>
                </c:pt>
                <c:pt idx="2">
                  <c:v>20.666666666666668</c:v>
                </c:pt>
                <c:pt idx="3">
                  <c:v>16.666666666666668</c:v>
                </c:pt>
                <c:pt idx="4">
                  <c:v>15.333333333333334</c:v>
                </c:pt>
              </c:numCache>
            </c:numRef>
          </c:yVal>
          <c:smooth val="0"/>
          <c:extLst>
            <c:ext xmlns:c16="http://schemas.microsoft.com/office/drawing/2014/chart" uri="{C3380CC4-5D6E-409C-BE32-E72D297353CC}">
              <c16:uniqueId val="{00000006-139D-1A4B-B9B9-4110485EADB0}"/>
            </c:ext>
          </c:extLst>
        </c:ser>
        <c:ser>
          <c:idx val="7"/>
          <c:order val="7"/>
          <c:tx>
            <c:v>Tree 8 bagged</c:v>
          </c:tx>
          <c:spPr>
            <a:ln w="12700" cap="rnd">
              <a:solidFill>
                <a:srgbClr val="FF0000"/>
              </a:solidFill>
              <a:prstDash val="dash"/>
              <a:round/>
            </a:ln>
            <a:effectLst/>
          </c:spPr>
          <c:marker>
            <c:symbol val="none"/>
          </c:marker>
          <c:xVal>
            <c:numRef>
              <c:f>Vetroz_Blätter!$H$202:$H$205</c:f>
              <c:numCache>
                <c:formatCode>h:mm</c:formatCode>
                <c:ptCount val="4"/>
                <c:pt idx="0">
                  <c:v>0.35902777777777778</c:v>
                </c:pt>
                <c:pt idx="1">
                  <c:v>0.49999999999999994</c:v>
                </c:pt>
                <c:pt idx="2">
                  <c:v>0.61319444444444449</c:v>
                </c:pt>
                <c:pt idx="3">
                  <c:v>0.69652777777777775</c:v>
                </c:pt>
              </c:numCache>
            </c:numRef>
          </c:xVal>
          <c:yVal>
            <c:numRef>
              <c:f>Vetroz_Blätter!$S$202:$S$205</c:f>
              <c:numCache>
                <c:formatCode>0.0</c:formatCode>
                <c:ptCount val="4"/>
                <c:pt idx="0">
                  <c:v>6.666666666666667</c:v>
                </c:pt>
                <c:pt idx="1">
                  <c:v>9</c:v>
                </c:pt>
                <c:pt idx="2">
                  <c:v>8.3333333333333339</c:v>
                </c:pt>
                <c:pt idx="3">
                  <c:v>10</c:v>
                </c:pt>
              </c:numCache>
            </c:numRef>
          </c:yVal>
          <c:smooth val="0"/>
          <c:extLst>
            <c:ext xmlns:c16="http://schemas.microsoft.com/office/drawing/2014/chart" uri="{C3380CC4-5D6E-409C-BE32-E72D297353CC}">
              <c16:uniqueId val="{00000007-139D-1A4B-B9B9-4110485EADB0}"/>
            </c:ext>
          </c:extLst>
        </c:ser>
        <c:ser>
          <c:idx val="8"/>
          <c:order val="8"/>
          <c:tx>
            <c:v>Tree 13 unbagged</c:v>
          </c:tx>
          <c:spPr>
            <a:ln w="12700" cap="rnd">
              <a:solidFill>
                <a:srgbClr val="00B0F0"/>
              </a:solidFill>
              <a:round/>
            </a:ln>
            <a:effectLst/>
          </c:spPr>
          <c:marker>
            <c:symbol val="circle"/>
            <c:size val="6"/>
            <c:spPr>
              <a:solidFill>
                <a:srgbClr val="00B0F0"/>
              </a:solidFill>
              <a:ln w="9525">
                <a:noFill/>
              </a:ln>
              <a:effectLst/>
            </c:spPr>
          </c:marker>
          <c:xVal>
            <c:numRef>
              <c:f>Vetroz_Blätter!$H$282:$H$286</c:f>
              <c:numCache>
                <c:formatCode>h:mm</c:formatCode>
                <c:ptCount val="5"/>
                <c:pt idx="0">
                  <c:v>0.13194444444444448</c:v>
                </c:pt>
                <c:pt idx="1">
                  <c:v>0.34861111111111109</c:v>
                </c:pt>
                <c:pt idx="2">
                  <c:v>0.49236111111111108</c:v>
                </c:pt>
                <c:pt idx="3">
                  <c:v>0.60972222222222228</c:v>
                </c:pt>
                <c:pt idx="4">
                  <c:v>0.69097222222222221</c:v>
                </c:pt>
              </c:numCache>
            </c:numRef>
          </c:xVal>
          <c:yVal>
            <c:numRef>
              <c:f>Vetroz_Blätter!$S$282:$S$286</c:f>
              <c:numCache>
                <c:formatCode>0.0</c:formatCode>
                <c:ptCount val="5"/>
                <c:pt idx="0">
                  <c:v>3.3333333333333335</c:v>
                </c:pt>
                <c:pt idx="1">
                  <c:v>9</c:v>
                </c:pt>
                <c:pt idx="2">
                  <c:v>18.666666666666668</c:v>
                </c:pt>
                <c:pt idx="3">
                  <c:v>19</c:v>
                </c:pt>
                <c:pt idx="4">
                  <c:v>19</c:v>
                </c:pt>
              </c:numCache>
            </c:numRef>
          </c:yVal>
          <c:smooth val="0"/>
          <c:extLst>
            <c:ext xmlns:c16="http://schemas.microsoft.com/office/drawing/2014/chart" uri="{C3380CC4-5D6E-409C-BE32-E72D297353CC}">
              <c16:uniqueId val="{00000008-139D-1A4B-B9B9-4110485EADB0}"/>
            </c:ext>
          </c:extLst>
        </c:ser>
        <c:ser>
          <c:idx val="9"/>
          <c:order val="9"/>
          <c:tx>
            <c:v>Tree 13 bagged</c:v>
          </c:tx>
          <c:spPr>
            <a:ln w="12700" cap="rnd">
              <a:solidFill>
                <a:srgbClr val="00B0F0"/>
              </a:solidFill>
              <a:prstDash val="dash"/>
              <a:round/>
            </a:ln>
            <a:effectLst/>
          </c:spPr>
          <c:marker>
            <c:symbol val="none"/>
          </c:marker>
          <c:xVal>
            <c:numRef>
              <c:f>Vetroz_Blätter!$H$278:$H$281</c:f>
              <c:numCache>
                <c:formatCode>h:mm</c:formatCode>
                <c:ptCount val="4"/>
                <c:pt idx="0">
                  <c:v>0.34375</c:v>
                </c:pt>
                <c:pt idx="1">
                  <c:v>0.48749999999999999</c:v>
                </c:pt>
                <c:pt idx="2">
                  <c:v>0.60625000000000007</c:v>
                </c:pt>
                <c:pt idx="3">
                  <c:v>0.68611111111111112</c:v>
                </c:pt>
              </c:numCache>
            </c:numRef>
          </c:xVal>
          <c:yVal>
            <c:numRef>
              <c:f>Vetroz_Blätter!$S$278:$S$281</c:f>
              <c:numCache>
                <c:formatCode>0.0</c:formatCode>
                <c:ptCount val="4"/>
                <c:pt idx="0">
                  <c:v>3.6666666666666665</c:v>
                </c:pt>
                <c:pt idx="1">
                  <c:v>6.333333333333333</c:v>
                </c:pt>
                <c:pt idx="2">
                  <c:v>6.666666666666667</c:v>
                </c:pt>
                <c:pt idx="3">
                  <c:v>8.3333333333333339</c:v>
                </c:pt>
              </c:numCache>
            </c:numRef>
          </c:yVal>
          <c:smooth val="0"/>
          <c:extLst>
            <c:ext xmlns:c16="http://schemas.microsoft.com/office/drawing/2014/chart" uri="{C3380CC4-5D6E-409C-BE32-E72D297353CC}">
              <c16:uniqueId val="{00000009-139D-1A4B-B9B9-4110485EADB0}"/>
            </c:ext>
          </c:extLst>
        </c:ser>
        <c:ser>
          <c:idx val="10"/>
          <c:order val="10"/>
          <c:tx>
            <c:v>Tree 14 unbagged</c:v>
          </c:tx>
          <c:spPr>
            <a:ln w="12700" cap="rnd">
              <a:solidFill>
                <a:srgbClr val="92D050"/>
              </a:solidFill>
              <a:round/>
            </a:ln>
            <a:effectLst/>
          </c:spPr>
          <c:marker>
            <c:symbol val="circle"/>
            <c:size val="6"/>
            <c:spPr>
              <a:solidFill>
                <a:srgbClr val="92D050"/>
              </a:solidFill>
              <a:ln w="9525">
                <a:noFill/>
              </a:ln>
              <a:effectLst/>
            </c:spPr>
          </c:marker>
          <c:xVal>
            <c:numRef>
              <c:f>Vetroz_Blätter!$H$358:$H$362</c:f>
              <c:numCache>
                <c:formatCode>h:mm</c:formatCode>
                <c:ptCount val="5"/>
                <c:pt idx="0">
                  <c:v>0.12361111111111112</c:v>
                </c:pt>
                <c:pt idx="1">
                  <c:v>0.34027777777777773</c:v>
                </c:pt>
                <c:pt idx="2">
                  <c:v>0.48402777777777778</c:v>
                </c:pt>
                <c:pt idx="3">
                  <c:v>0.60277777777777786</c:v>
                </c:pt>
                <c:pt idx="4">
                  <c:v>0.6840277777777779</c:v>
                </c:pt>
              </c:numCache>
            </c:numRef>
          </c:xVal>
          <c:yVal>
            <c:numRef>
              <c:f>Vetroz_Blätter!$S$358:$S$362</c:f>
              <c:numCache>
                <c:formatCode>0.0</c:formatCode>
                <c:ptCount val="5"/>
                <c:pt idx="0">
                  <c:v>3.3333333333333335</c:v>
                </c:pt>
                <c:pt idx="1">
                  <c:v>5.333333333333333</c:v>
                </c:pt>
                <c:pt idx="2">
                  <c:v>14.666666666666666</c:v>
                </c:pt>
                <c:pt idx="3">
                  <c:v>15.666666666666666</c:v>
                </c:pt>
                <c:pt idx="4">
                  <c:v>17</c:v>
                </c:pt>
              </c:numCache>
            </c:numRef>
          </c:yVal>
          <c:smooth val="0"/>
          <c:extLst>
            <c:ext xmlns:c16="http://schemas.microsoft.com/office/drawing/2014/chart" uri="{C3380CC4-5D6E-409C-BE32-E72D297353CC}">
              <c16:uniqueId val="{0000000A-139D-1A4B-B9B9-4110485EADB0}"/>
            </c:ext>
          </c:extLst>
        </c:ser>
        <c:ser>
          <c:idx val="11"/>
          <c:order val="11"/>
          <c:tx>
            <c:v>Tree 14 bagged</c:v>
          </c:tx>
          <c:spPr>
            <a:ln w="12700" cap="rnd">
              <a:solidFill>
                <a:srgbClr val="92D050"/>
              </a:solidFill>
              <a:prstDash val="dash"/>
              <a:round/>
            </a:ln>
            <a:effectLst/>
          </c:spPr>
          <c:marker>
            <c:symbol val="none"/>
          </c:marker>
          <c:xVal>
            <c:numRef>
              <c:f>Vetroz_Blätter!$H$354:$H$357</c:f>
              <c:numCache>
                <c:formatCode>h:mm</c:formatCode>
                <c:ptCount val="4"/>
                <c:pt idx="0">
                  <c:v>0.3354166666666667</c:v>
                </c:pt>
                <c:pt idx="1">
                  <c:v>0.4777777777777778</c:v>
                </c:pt>
                <c:pt idx="2">
                  <c:v>0.5986111111111112</c:v>
                </c:pt>
                <c:pt idx="3">
                  <c:v>0.67777777777777781</c:v>
                </c:pt>
              </c:numCache>
            </c:numRef>
          </c:xVal>
          <c:yVal>
            <c:numRef>
              <c:f>Vetroz_Blätter!$S$354:$S$357</c:f>
              <c:numCache>
                <c:formatCode>0.0</c:formatCode>
                <c:ptCount val="4"/>
                <c:pt idx="0">
                  <c:v>3.6666666666666665</c:v>
                </c:pt>
                <c:pt idx="1">
                  <c:v>7</c:v>
                </c:pt>
                <c:pt idx="2">
                  <c:v>8</c:v>
                </c:pt>
                <c:pt idx="3">
                  <c:v>7</c:v>
                </c:pt>
              </c:numCache>
            </c:numRef>
          </c:yVal>
          <c:smooth val="0"/>
          <c:extLst>
            <c:ext xmlns:c16="http://schemas.microsoft.com/office/drawing/2014/chart" uri="{C3380CC4-5D6E-409C-BE32-E72D297353CC}">
              <c16:uniqueId val="{0000000B-139D-1A4B-B9B9-4110485EADB0}"/>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4.5805555555555558E-2"/>
                  <c:y val="-0.1602391367745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(Vetroz_Blätter!$S$5,Vetroz_Blätter!$S$16,Vetroz_Blätter!$S$25,Vetroz_Blätter!$S$31,Vetroz_Blätter!$S$38,Vetroz_Blätter!$S$45,Vetroz_Blätter!$S$49)</c:f>
              <c:numCache>
                <c:formatCode>0.0</c:formatCode>
                <c:ptCount val="7"/>
                <c:pt idx="0">
                  <c:v>9.3333333333333339</c:v>
                </c:pt>
                <c:pt idx="1">
                  <c:v>10.333333333333334</c:v>
                </c:pt>
                <c:pt idx="2">
                  <c:v>18.333333333333332</c:v>
                </c:pt>
                <c:pt idx="3">
                  <c:v>27</c:v>
                </c:pt>
                <c:pt idx="4">
                  <c:v>23.666666666666668</c:v>
                </c:pt>
                <c:pt idx="5">
                  <c:v>31.666666666666668</c:v>
                </c:pt>
                <c:pt idx="6">
                  <c:v>44</c:v>
                </c:pt>
              </c:numCache>
            </c:numRef>
          </c:xVal>
          <c:yVal>
            <c:numRef>
              <c:f>(Vetroz_Blätter!$U$5,Vetroz_Blätter!$U$16,Vetroz_Blätter!$U$25,Vetroz_Blätter!$U$31,Vetroz_Blätter!$U$38,Vetroz_Blätter!$U$45,Vetroz_Blätter!$U$49)</c:f>
              <c:numCache>
                <c:formatCode>0.0</c:formatCode>
                <c:ptCount val="7"/>
                <c:pt idx="0">
                  <c:v>270.3</c:v>
                </c:pt>
                <c:pt idx="1">
                  <c:v>372.33333333333331</c:v>
                </c:pt>
                <c:pt idx="2">
                  <c:v>325.8</c:v>
                </c:pt>
                <c:pt idx="3">
                  <c:v>125.46</c:v>
                </c:pt>
                <c:pt idx="4">
                  <c:v>70.05</c:v>
                </c:pt>
                <c:pt idx="5">
                  <c:v>36.424999999999997</c:v>
                </c:pt>
                <c:pt idx="6">
                  <c:v>24.174999999999997</c:v>
                </c:pt>
              </c:numCache>
            </c:numRef>
          </c:yVal>
          <c:smooth val="0"/>
          <c:extLst>
            <c:ext xmlns:c16="http://schemas.microsoft.com/office/drawing/2014/chart" uri="{C3380CC4-5D6E-409C-BE32-E72D297353CC}">
              <c16:uniqueId val="{00000001-EF16-A44A-8054-A77DBEA7C74D}"/>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2</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4.5805555555555558E-2"/>
                  <c:y val="-0.1602391367745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(Vetroz_Blätter!$S$64,Vetroz_Blätter!$S$75,Vetroz_Blätter!$S$84,Vetroz_Blätter!$S$90,Vetroz_Blätter!$S$97,Vetroz_Blätter!$S$104,Vetroz_Blätter!$S$108)</c:f>
              <c:numCache>
                <c:formatCode>0.0</c:formatCode>
                <c:ptCount val="7"/>
                <c:pt idx="0">
                  <c:v>9</c:v>
                </c:pt>
                <c:pt idx="1">
                  <c:v>8.6666666666666661</c:v>
                </c:pt>
                <c:pt idx="2">
                  <c:v>19.666666666666668</c:v>
                </c:pt>
                <c:pt idx="3">
                  <c:v>26</c:v>
                </c:pt>
                <c:pt idx="4">
                  <c:v>23</c:v>
                </c:pt>
                <c:pt idx="5">
                  <c:v>31.666666666666668</c:v>
                </c:pt>
                <c:pt idx="6">
                  <c:v>41.666666666666664</c:v>
                </c:pt>
              </c:numCache>
            </c:numRef>
          </c:xVal>
          <c:yVal>
            <c:numRef>
              <c:f>(Vetroz_Blätter!$U$64,Vetroz_Blätter!$U$75,Vetroz_Blätter!$U$84,Vetroz_Blätter!$U$90,Vetroz_Blätter!$U$97,Vetroz_Blätter!$U$104,Vetroz_Blätter!$U$108)</c:f>
              <c:numCache>
                <c:formatCode>0.0</c:formatCode>
                <c:ptCount val="7"/>
                <c:pt idx="0">
                  <c:v>254.5</c:v>
                </c:pt>
                <c:pt idx="1">
                  <c:v>465.7</c:v>
                </c:pt>
                <c:pt idx="2">
                  <c:v>374.2</c:v>
                </c:pt>
                <c:pt idx="3">
                  <c:v>193.94</c:v>
                </c:pt>
                <c:pt idx="4">
                  <c:v>119.44000000000001</c:v>
                </c:pt>
                <c:pt idx="5">
                  <c:v>46.324999999999996</c:v>
                </c:pt>
                <c:pt idx="6">
                  <c:v>24.125</c:v>
                </c:pt>
              </c:numCache>
            </c:numRef>
          </c:yVal>
          <c:smooth val="0"/>
          <c:extLst>
            <c:ext xmlns:c16="http://schemas.microsoft.com/office/drawing/2014/chart" uri="{C3380CC4-5D6E-409C-BE32-E72D297353CC}">
              <c16:uniqueId val="{00000001-83BD-8F40-91BD-FD91F82799A6}"/>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8.4694444444444447E-2"/>
                  <c:y val="-0.192646544181977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(Vetroz_Blätter!$S$127,Vetroz_Blätter!$S$138,Vetroz_Blätter!$S$147,Vetroz_Blätter!$S$153,Vetroz_Blätter!$S$160,Vetroz_Blätter!$S$167,Vetroz_Blätter!$S$171)</c:f>
              <c:numCache>
                <c:formatCode>0.0</c:formatCode>
                <c:ptCount val="7"/>
                <c:pt idx="0">
                  <c:v>9.3333333333333339</c:v>
                </c:pt>
                <c:pt idx="1">
                  <c:v>13</c:v>
                </c:pt>
                <c:pt idx="2">
                  <c:v>17.666666666666668</c:v>
                </c:pt>
                <c:pt idx="3">
                  <c:v>26.666666666666668</c:v>
                </c:pt>
                <c:pt idx="4">
                  <c:v>23.666666666666668</c:v>
                </c:pt>
                <c:pt idx="5">
                  <c:v>31.666666666666668</c:v>
                </c:pt>
                <c:pt idx="6">
                  <c:v>44.333333333333336</c:v>
                </c:pt>
              </c:numCache>
            </c:numRef>
          </c:xVal>
          <c:yVal>
            <c:numRef>
              <c:f>(Vetroz_Blätter!$U$127,Vetroz_Blätter!$U$138,Vetroz_Blätter!$U$147,Vetroz_Blätter!$U$153,Vetroz_Blätter!$U$160,Vetroz_Blätter!$U$167,Vetroz_Blätter!$U$171)</c:f>
              <c:numCache>
                <c:formatCode>0.0</c:formatCode>
                <c:ptCount val="7"/>
                <c:pt idx="0">
                  <c:v>328.7</c:v>
                </c:pt>
                <c:pt idx="1">
                  <c:v>465.43333333333334</c:v>
                </c:pt>
                <c:pt idx="2">
                  <c:v>378.3</c:v>
                </c:pt>
                <c:pt idx="3">
                  <c:v>244.12500000000003</c:v>
                </c:pt>
                <c:pt idx="4">
                  <c:v>115.9</c:v>
                </c:pt>
                <c:pt idx="5">
                  <c:v>79.474999999999994</c:v>
                </c:pt>
                <c:pt idx="6">
                  <c:v>25.14</c:v>
                </c:pt>
              </c:numCache>
            </c:numRef>
          </c:yVal>
          <c:smooth val="0"/>
          <c:extLst>
            <c:ext xmlns:c16="http://schemas.microsoft.com/office/drawing/2014/chart" uri="{C3380CC4-5D6E-409C-BE32-E72D297353CC}">
              <c16:uniqueId val="{00000001-6F93-D348-8D0C-D3863C61A19B}"/>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5.4433070866141735E-2"/>
                  <c:y val="-0.137090988626421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(Vetroz_Blätter!$S$192,Vetroz_Blätter!$S$203,Vetroz_Blätter!$S$212,Vetroz_Blätter!$S$218,Vetroz_Blätter!$S$225,Vetroz_Blätter!$S$232,Vetroz_Blätter!$S$236)</c:f>
              <c:numCache>
                <c:formatCode>0.0</c:formatCode>
                <c:ptCount val="7"/>
                <c:pt idx="0">
                  <c:v>8</c:v>
                </c:pt>
                <c:pt idx="1">
                  <c:v>9</c:v>
                </c:pt>
                <c:pt idx="2">
                  <c:v>14</c:v>
                </c:pt>
                <c:pt idx="3">
                  <c:v>23.666666666666668</c:v>
                </c:pt>
                <c:pt idx="4">
                  <c:v>19.666666666666668</c:v>
                </c:pt>
                <c:pt idx="5">
                  <c:v>29.333333333333332</c:v>
                </c:pt>
                <c:pt idx="6">
                  <c:v>44</c:v>
                </c:pt>
              </c:numCache>
            </c:numRef>
          </c:xVal>
          <c:yVal>
            <c:numRef>
              <c:f>(Vetroz_Blätter!$U$192,Vetroz_Blätter!$U$203,Vetroz_Blätter!$U$212,Vetroz_Blätter!$U$218,Vetroz_Blätter!$U$225,Vetroz_Blätter!$U$232,Vetroz_Blätter!$U$236)</c:f>
              <c:numCache>
                <c:formatCode>0.0</c:formatCode>
                <c:ptCount val="7"/>
                <c:pt idx="0">
                  <c:v>252</c:v>
                </c:pt>
                <c:pt idx="1">
                  <c:v>318.8</c:v>
                </c:pt>
                <c:pt idx="2">
                  <c:v>331.6</c:v>
                </c:pt>
                <c:pt idx="3">
                  <c:v>164.65</c:v>
                </c:pt>
                <c:pt idx="4">
                  <c:v>115.81999999999998</c:v>
                </c:pt>
                <c:pt idx="5">
                  <c:v>85.7</c:v>
                </c:pt>
                <c:pt idx="6" formatCode="General">
                  <c:v>28.380000000000003</c:v>
                </c:pt>
              </c:numCache>
            </c:numRef>
          </c:yVal>
          <c:smooth val="0"/>
          <c:extLst>
            <c:ext xmlns:c16="http://schemas.microsoft.com/office/drawing/2014/chart" uri="{C3380CC4-5D6E-409C-BE32-E72D297353CC}">
              <c16:uniqueId val="{00000001-8989-8D47-A335-B916C27E2854}"/>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0.14930227471566054"/>
                  <c:y val="-0.14440653251676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(Vetroz_Blätter!$S$268,Vetroz_Blätter!$S$279,Vetroz_Blätter!$S$288,Vetroz_Blätter!$S$294,Vetroz_Blätter!$S$301,Vetroz_Blätter!$S$308,Vetroz_Blätter!$S$312)</c:f>
              <c:numCache>
                <c:formatCode>0.0</c:formatCode>
                <c:ptCount val="7"/>
                <c:pt idx="0">
                  <c:v>7</c:v>
                </c:pt>
                <c:pt idx="1">
                  <c:v>6.333333333333333</c:v>
                </c:pt>
                <c:pt idx="2">
                  <c:v>14.333333333333334</c:v>
                </c:pt>
                <c:pt idx="3">
                  <c:v>26</c:v>
                </c:pt>
                <c:pt idx="4">
                  <c:v>19.666666666666668</c:v>
                </c:pt>
                <c:pt idx="5">
                  <c:v>27.666666666666668</c:v>
                </c:pt>
                <c:pt idx="6">
                  <c:v>37.333333333333336</c:v>
                </c:pt>
              </c:numCache>
            </c:numRef>
          </c:xVal>
          <c:yVal>
            <c:numRef>
              <c:f>(Vetroz_Blätter!$U$268,Vetroz_Blätter!$U$279,Vetroz_Blätter!$U$288,Vetroz_Blätter!$U$294,Vetroz_Blätter!$U$301,Vetroz_Blätter!$U$308,Vetroz_Blätter!$U$312)</c:f>
              <c:numCache>
                <c:formatCode>0.0</c:formatCode>
                <c:ptCount val="7"/>
                <c:pt idx="0">
                  <c:v>207.3</c:v>
                </c:pt>
                <c:pt idx="1">
                  <c:v>392.63333333333338</c:v>
                </c:pt>
                <c:pt idx="2">
                  <c:v>343.2</c:v>
                </c:pt>
                <c:pt idx="3">
                  <c:v>110.925</c:v>
                </c:pt>
                <c:pt idx="4">
                  <c:v>104</c:v>
                </c:pt>
                <c:pt idx="5">
                  <c:v>59.775000000000006</c:v>
                </c:pt>
                <c:pt idx="6" formatCode="General">
                  <c:v>34.725000000000001</c:v>
                </c:pt>
              </c:numCache>
            </c:numRef>
          </c:yVal>
          <c:smooth val="0"/>
          <c:extLst>
            <c:ext xmlns:c16="http://schemas.microsoft.com/office/drawing/2014/chart" uri="{C3380CC4-5D6E-409C-BE32-E72D297353CC}">
              <c16:uniqueId val="{00000001-0BAA-5C46-8F90-3DC0CB25745A}"/>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14</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0"/>
            <c:trendlineLbl>
              <c:layout>
                <c:manualLayout>
                  <c:x val="0.11704746281714785"/>
                  <c:y val="-0.104736803732866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(Vetroz_Blätter!$S$344,Vetroz_Blätter!$S$355,Vetroz_Blätter!$S$364,Vetroz_Blätter!$S$370,Vetroz_Blätter!$S$377,Vetroz_Blätter!$S$384,Vetroz_Blätter!$S$388)</c:f>
              <c:numCache>
                <c:formatCode>0.0</c:formatCode>
                <c:ptCount val="7"/>
                <c:pt idx="0">
                  <c:v>8.6666666666666661</c:v>
                </c:pt>
                <c:pt idx="1">
                  <c:v>7</c:v>
                </c:pt>
                <c:pt idx="2">
                  <c:v>16</c:v>
                </c:pt>
                <c:pt idx="3">
                  <c:v>26.666666666666668</c:v>
                </c:pt>
                <c:pt idx="4">
                  <c:v>24.333333333333332</c:v>
                </c:pt>
                <c:pt idx="5">
                  <c:v>30.333333333333332</c:v>
                </c:pt>
                <c:pt idx="6">
                  <c:v>40</c:v>
                </c:pt>
              </c:numCache>
            </c:numRef>
          </c:xVal>
          <c:yVal>
            <c:numRef>
              <c:f>(Vetroz_Blätter!$U$344,Vetroz_Blätter!$U$355,Vetroz_Blätter!$U$364,Vetroz_Blätter!$U$370,Vetroz_Blätter!$U$377,Vetroz_Blätter!$U$384,Vetroz_Blätter!$U$388)</c:f>
              <c:numCache>
                <c:formatCode>0.0</c:formatCode>
                <c:ptCount val="7"/>
                <c:pt idx="0">
                  <c:v>242.6</c:v>
                </c:pt>
                <c:pt idx="1">
                  <c:v>402.56666666666666</c:v>
                </c:pt>
                <c:pt idx="2">
                  <c:v>423.5</c:v>
                </c:pt>
                <c:pt idx="3">
                  <c:v>179.05</c:v>
                </c:pt>
                <c:pt idx="4">
                  <c:v>62.500000000000007</c:v>
                </c:pt>
                <c:pt idx="5">
                  <c:v>74.55</c:v>
                </c:pt>
                <c:pt idx="6" formatCode="General">
                  <c:v>24.875</c:v>
                </c:pt>
              </c:numCache>
            </c:numRef>
          </c:yVal>
          <c:smooth val="0"/>
          <c:extLst>
            <c:ext xmlns:c16="http://schemas.microsoft.com/office/drawing/2014/chart" uri="{C3380CC4-5D6E-409C-BE32-E72D297353CC}">
              <c16:uniqueId val="{00000001-B104-3E46-B98B-E97363EBD034}"/>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4.5805555555555558E-2"/>
                  <c:y val="-0.1602391367745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(Vetroz_Blätter!$T$11,Vetroz_Blätter!$T$21,Vetroz_Blätter!$T$28,Vetroz_Blätter!$T$34,Vetroz_Blätter!$T$42,Vetroz_Blätter!$T$47,Vetroz_Blätter!$T$51)</c:f>
              <c:numCache>
                <c:formatCode>0.0</c:formatCode>
                <c:ptCount val="7"/>
                <c:pt idx="0">
                  <c:v>130</c:v>
                </c:pt>
                <c:pt idx="1">
                  <c:v>174</c:v>
                </c:pt>
                <c:pt idx="2">
                  <c:v>220</c:v>
                </c:pt>
                <c:pt idx="3">
                  <c:v>321</c:v>
                </c:pt>
                <c:pt idx="4">
                  <c:v>310</c:v>
                </c:pt>
                <c:pt idx="5">
                  <c:v>360</c:v>
                </c:pt>
                <c:pt idx="6">
                  <c:v>489</c:v>
                </c:pt>
              </c:numCache>
            </c:numRef>
          </c:xVal>
          <c:yVal>
            <c:numRef>
              <c:f>(Vetroz_Blätter!$U$11,Vetroz_Blätter!$U$21,Vetroz_Blätter!$U$28,Vetroz_Blätter!$U$34,Vetroz_Blätter!$U$42,Vetroz_Blätter!$U$47,Vetroz_Blätter!$U$51)</c:f>
              <c:numCache>
                <c:formatCode>0.0</c:formatCode>
                <c:ptCount val="7"/>
                <c:pt idx="0">
                  <c:v>270.3</c:v>
                </c:pt>
                <c:pt idx="1">
                  <c:v>372.33333333333331</c:v>
                </c:pt>
                <c:pt idx="2">
                  <c:v>325.8</c:v>
                </c:pt>
                <c:pt idx="3">
                  <c:v>125.46</c:v>
                </c:pt>
                <c:pt idx="4">
                  <c:v>70.05</c:v>
                </c:pt>
                <c:pt idx="5">
                  <c:v>36.424999999999997</c:v>
                </c:pt>
                <c:pt idx="6">
                  <c:v>24.174999999999997</c:v>
                </c:pt>
              </c:numCache>
            </c:numRef>
          </c:yVal>
          <c:smooth val="0"/>
          <c:extLst>
            <c:ext xmlns:c16="http://schemas.microsoft.com/office/drawing/2014/chart" uri="{C3380CC4-5D6E-409C-BE32-E72D297353CC}">
              <c16:uniqueId val="{00000001-3D9E-CD47-A33A-9B7747FEE684}"/>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 cond (mmol/m2s-1)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9680730533683288"/>
                  <c:y val="-0.193767497812773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(Vetroz_Blätter!$T$133,Vetroz_Blätter!$T$143,Vetroz_Blätter!$T$150,Vetroz_Blätter!$T$156,Vetroz_Blätter!$T$164,Vetroz_Blätter!$T$169,Vetroz_Blätter!$T$173)</c:f>
              <c:numCache>
                <c:formatCode>0.0</c:formatCode>
                <c:ptCount val="7"/>
                <c:pt idx="0">
                  <c:v>237</c:v>
                </c:pt>
                <c:pt idx="1">
                  <c:v>282</c:v>
                </c:pt>
                <c:pt idx="2">
                  <c:v>312</c:v>
                </c:pt>
                <c:pt idx="3">
                  <c:v>480</c:v>
                </c:pt>
                <c:pt idx="4">
                  <c:v>310</c:v>
                </c:pt>
                <c:pt idx="5">
                  <c:v>365</c:v>
                </c:pt>
                <c:pt idx="6">
                  <c:v>380</c:v>
                </c:pt>
              </c:numCache>
            </c:numRef>
          </c:xVal>
          <c:yVal>
            <c:numRef>
              <c:f>(Vetroz_Blätter!$U$133,Vetroz_Blätter!$U$143,Vetroz_Blätter!$U$150,Vetroz_Blätter!$U$156,Vetroz_Blätter!$U$164,Vetroz_Blätter!$U$169,Vetroz_Blätter!$U$173)</c:f>
              <c:numCache>
                <c:formatCode>0.0</c:formatCode>
                <c:ptCount val="7"/>
                <c:pt idx="0">
                  <c:v>328.7</c:v>
                </c:pt>
                <c:pt idx="1">
                  <c:v>465.43333333333334</c:v>
                </c:pt>
                <c:pt idx="2">
                  <c:v>378.3</c:v>
                </c:pt>
                <c:pt idx="3">
                  <c:v>244.12500000000003</c:v>
                </c:pt>
                <c:pt idx="4">
                  <c:v>115.9</c:v>
                </c:pt>
                <c:pt idx="5">
                  <c:v>79.474999999999994</c:v>
                </c:pt>
                <c:pt idx="6">
                  <c:v>25.14</c:v>
                </c:pt>
              </c:numCache>
            </c:numRef>
          </c:yVal>
          <c:smooth val="0"/>
          <c:extLst>
            <c:ext xmlns:c16="http://schemas.microsoft.com/office/drawing/2014/chart" uri="{C3380CC4-5D6E-409C-BE32-E72D297353CC}">
              <c16:uniqueId val="{00000001-AAB7-5F4B-BA88-1B86ABD4157E}"/>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TWD (mikro_m)</a:t>
                </a:r>
                <a:endParaRPr lang="de-CH"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5.641513560804899E-3"/>
                  <c:y val="-0.174128025663458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(Vetroz_Blätter!$T$198,Vetroz_Blätter!$T$208,Vetroz_Blätter!$T$215,Vetroz_Blätter!$T$221,Vetroz_Blätter!$T$229,Vetroz_Blätter!$T$234,Vetroz_Blätter!$T$238)</c:f>
              <c:numCache>
                <c:formatCode>0.0</c:formatCode>
                <c:ptCount val="7"/>
                <c:pt idx="0">
                  <c:v>133</c:v>
                </c:pt>
                <c:pt idx="1">
                  <c:v>202</c:v>
                </c:pt>
                <c:pt idx="2">
                  <c:v>215</c:v>
                </c:pt>
                <c:pt idx="3">
                  <c:v>372</c:v>
                </c:pt>
                <c:pt idx="4">
                  <c:v>320</c:v>
                </c:pt>
                <c:pt idx="5">
                  <c:v>400</c:v>
                </c:pt>
                <c:pt idx="6">
                  <c:v>642</c:v>
                </c:pt>
              </c:numCache>
            </c:numRef>
          </c:xVal>
          <c:yVal>
            <c:numRef>
              <c:f>(Vetroz_Blätter!$U$198,Vetroz_Blätter!$U$208,Vetroz_Blätter!$U$215,Vetroz_Blätter!$U$221,Vetroz_Blätter!$U$229,Vetroz_Blätter!$U$234,Vetroz_Blätter!$U$238)</c:f>
              <c:numCache>
                <c:formatCode>0.0</c:formatCode>
                <c:ptCount val="7"/>
                <c:pt idx="0">
                  <c:v>252</c:v>
                </c:pt>
                <c:pt idx="1">
                  <c:v>318.8</c:v>
                </c:pt>
                <c:pt idx="2">
                  <c:v>331.6</c:v>
                </c:pt>
                <c:pt idx="3">
                  <c:v>164.65</c:v>
                </c:pt>
                <c:pt idx="4">
                  <c:v>115.81999999999998</c:v>
                </c:pt>
                <c:pt idx="5">
                  <c:v>85.7</c:v>
                </c:pt>
                <c:pt idx="6" formatCode="General">
                  <c:v>28.380000000000003</c:v>
                </c:pt>
              </c:numCache>
            </c:numRef>
          </c:yVal>
          <c:smooth val="0"/>
          <c:extLst>
            <c:ext xmlns:c16="http://schemas.microsoft.com/office/drawing/2014/chart" uri="{C3380CC4-5D6E-409C-BE32-E72D297353CC}">
              <c16:uniqueId val="{00000001-BFB5-6A42-8495-A6F3D387A3B2}"/>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TWD (mikro_m)</a:t>
                </a:r>
                <a:endParaRPr lang="de-CH"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4930227471566054"/>
                  <c:y val="-0.144406532516768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(Vetroz_Blätter!$T$274,Vetroz_Blätter!$T$284,Vetroz_Blätter!$T$291,Vetroz_Blätter!$T$297,Vetroz_Blätter!$T$305,Vetroz_Blätter!$T$310,Vetroz_Blätter!$T$314)</c:f>
              <c:numCache>
                <c:formatCode>0.0</c:formatCode>
                <c:ptCount val="7"/>
                <c:pt idx="0">
                  <c:v>170</c:v>
                </c:pt>
                <c:pt idx="1">
                  <c:v>181</c:v>
                </c:pt>
                <c:pt idx="2">
                  <c:v>203</c:v>
                </c:pt>
                <c:pt idx="3">
                  <c:v>302</c:v>
                </c:pt>
                <c:pt idx="4">
                  <c:v>260</c:v>
                </c:pt>
                <c:pt idx="5">
                  <c:v>310</c:v>
                </c:pt>
                <c:pt idx="6">
                  <c:v>399</c:v>
                </c:pt>
              </c:numCache>
            </c:numRef>
          </c:xVal>
          <c:yVal>
            <c:numRef>
              <c:f>(Vetroz_Blätter!$U$274,Vetroz_Blätter!$U$284,Vetroz_Blätter!$U$291,Vetroz_Blätter!$U$297,Vetroz_Blätter!$U$305,Vetroz_Blätter!$U$310,Vetroz_Blätter!$U$314)</c:f>
              <c:numCache>
                <c:formatCode>0.0</c:formatCode>
                <c:ptCount val="7"/>
                <c:pt idx="0">
                  <c:v>207.3</c:v>
                </c:pt>
                <c:pt idx="1">
                  <c:v>392.63333333333338</c:v>
                </c:pt>
                <c:pt idx="2">
                  <c:v>343.2</c:v>
                </c:pt>
                <c:pt idx="3">
                  <c:v>110.925</c:v>
                </c:pt>
                <c:pt idx="4">
                  <c:v>104</c:v>
                </c:pt>
                <c:pt idx="5">
                  <c:v>59.775000000000006</c:v>
                </c:pt>
                <c:pt idx="6" formatCode="General">
                  <c:v>34.725000000000001</c:v>
                </c:pt>
              </c:numCache>
            </c:numRef>
          </c:yVal>
          <c:smooth val="0"/>
          <c:extLst>
            <c:ext xmlns:c16="http://schemas.microsoft.com/office/drawing/2014/chart" uri="{C3380CC4-5D6E-409C-BE32-E72D297353CC}">
              <c16:uniqueId val="{00000001-DDA3-3F43-AD30-9834AF5CF68F}"/>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TWD (mikro_m)</a:t>
                </a:r>
                <a:endParaRPr lang="de-CH"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2700" cap="rnd">
              <a:solidFill>
                <a:srgbClr val="7030A0"/>
              </a:solidFill>
              <a:round/>
            </a:ln>
            <a:effectLst/>
          </c:spPr>
          <c:marker>
            <c:symbol val="circle"/>
            <c:size val="6"/>
            <c:spPr>
              <a:solidFill>
                <a:srgbClr val="7030A0"/>
              </a:solidFill>
              <a:ln w="9525">
                <a:noFill/>
              </a:ln>
              <a:effectLst/>
            </c:spPr>
          </c:marker>
          <c:xVal>
            <c:numRef>
              <c:f>Vetroz_Blätter!$H$27:$H$29</c:f>
              <c:numCache>
                <c:formatCode>h:mm</c:formatCode>
                <c:ptCount val="3"/>
                <c:pt idx="0">
                  <c:v>0.17361111111111113</c:v>
                </c:pt>
                <c:pt idx="1">
                  <c:v>0.53194444444444444</c:v>
                </c:pt>
                <c:pt idx="2">
                  <c:v>0.6479166666666667</c:v>
                </c:pt>
              </c:numCache>
            </c:numRef>
          </c:xVal>
          <c:yVal>
            <c:numRef>
              <c:f>Vetroz_Blätter!$S$27:$S$29</c:f>
              <c:numCache>
                <c:formatCode>0.0</c:formatCode>
                <c:ptCount val="3"/>
                <c:pt idx="0">
                  <c:v>6.666666666666667</c:v>
                </c:pt>
                <c:pt idx="1">
                  <c:v>24</c:v>
                </c:pt>
                <c:pt idx="2">
                  <c:v>24.666666666666668</c:v>
                </c:pt>
              </c:numCache>
            </c:numRef>
          </c:yVal>
          <c:smooth val="0"/>
          <c:extLst>
            <c:ext xmlns:c16="http://schemas.microsoft.com/office/drawing/2014/chart" uri="{C3380CC4-5D6E-409C-BE32-E72D297353CC}">
              <c16:uniqueId val="{00000000-9E35-6444-8D82-B8FC3C331AE8}"/>
            </c:ext>
          </c:extLst>
        </c:ser>
        <c:ser>
          <c:idx val="1"/>
          <c:order val="1"/>
          <c:spPr>
            <a:ln w="12700" cap="rnd">
              <a:solidFill>
                <a:srgbClr val="7030A0"/>
              </a:solidFill>
              <a:prstDash val="dash"/>
              <a:round/>
            </a:ln>
            <a:effectLst/>
          </c:spPr>
          <c:marker>
            <c:symbol val="none"/>
          </c:marker>
          <c:xVal>
            <c:numRef>
              <c:f>Vetroz_Blätter!$H$25:$H$26</c:f>
              <c:numCache>
                <c:formatCode>h:mm</c:formatCode>
                <c:ptCount val="2"/>
                <c:pt idx="0">
                  <c:v>0.52708333333333335</c:v>
                </c:pt>
                <c:pt idx="1">
                  <c:v>0.64444444444444449</c:v>
                </c:pt>
              </c:numCache>
            </c:numRef>
          </c:xVal>
          <c:yVal>
            <c:numRef>
              <c:f>Vetroz_Blätter!$S$25:$S$26</c:f>
              <c:numCache>
                <c:formatCode>0.0</c:formatCode>
                <c:ptCount val="2"/>
                <c:pt idx="0">
                  <c:v>18.333333333333332</c:v>
                </c:pt>
                <c:pt idx="1">
                  <c:v>19.333333333333332</c:v>
                </c:pt>
              </c:numCache>
            </c:numRef>
          </c:yVal>
          <c:smooth val="0"/>
          <c:extLst>
            <c:ext xmlns:c16="http://schemas.microsoft.com/office/drawing/2014/chart" uri="{C3380CC4-5D6E-409C-BE32-E72D297353CC}">
              <c16:uniqueId val="{00000001-9E35-6444-8D82-B8FC3C331AE8}"/>
            </c:ext>
          </c:extLst>
        </c:ser>
        <c:ser>
          <c:idx val="2"/>
          <c:order val="2"/>
          <c:spPr>
            <a:ln w="12700" cap="rnd">
              <a:solidFill>
                <a:srgbClr val="FFC000"/>
              </a:solidFill>
              <a:round/>
            </a:ln>
            <a:effectLst/>
          </c:spPr>
          <c:marker>
            <c:symbol val="circle"/>
            <c:size val="6"/>
            <c:spPr>
              <a:solidFill>
                <a:srgbClr val="FFC000"/>
              </a:solidFill>
              <a:ln w="9525">
                <a:noFill/>
              </a:ln>
              <a:effectLst/>
            </c:spPr>
          </c:marker>
          <c:xVal>
            <c:numRef>
              <c:f>Vetroz_Blätter!$H$86:$H$88</c:f>
              <c:numCache>
                <c:formatCode>h:mm</c:formatCode>
                <c:ptCount val="3"/>
                <c:pt idx="0">
                  <c:v>0.16388888888888889</c:v>
                </c:pt>
                <c:pt idx="1">
                  <c:v>0.5229166666666667</c:v>
                </c:pt>
                <c:pt idx="2">
                  <c:v>0.64027777777777783</c:v>
                </c:pt>
              </c:numCache>
            </c:numRef>
          </c:xVal>
          <c:yVal>
            <c:numRef>
              <c:f>Vetroz_Blätter!$S$86:$S$88</c:f>
              <c:numCache>
                <c:formatCode>0.0</c:formatCode>
                <c:ptCount val="3"/>
                <c:pt idx="0">
                  <c:v>7</c:v>
                </c:pt>
                <c:pt idx="1">
                  <c:v>24.333333333333332</c:v>
                </c:pt>
                <c:pt idx="2">
                  <c:v>24</c:v>
                </c:pt>
              </c:numCache>
            </c:numRef>
          </c:yVal>
          <c:smooth val="0"/>
          <c:extLst>
            <c:ext xmlns:c16="http://schemas.microsoft.com/office/drawing/2014/chart" uri="{C3380CC4-5D6E-409C-BE32-E72D297353CC}">
              <c16:uniqueId val="{00000002-9E35-6444-8D82-B8FC3C331AE8}"/>
            </c:ext>
          </c:extLst>
        </c:ser>
        <c:ser>
          <c:idx val="3"/>
          <c:order val="3"/>
          <c:spPr>
            <a:ln w="12700" cap="rnd">
              <a:solidFill>
                <a:srgbClr val="FFC000"/>
              </a:solidFill>
              <a:prstDash val="dash"/>
              <a:round/>
            </a:ln>
            <a:effectLst/>
          </c:spPr>
          <c:marker>
            <c:symbol val="none"/>
          </c:marker>
          <c:xVal>
            <c:numRef>
              <c:f>Vetroz_Blätter!$H$84:$H$85</c:f>
              <c:numCache>
                <c:formatCode>h:mm</c:formatCode>
                <c:ptCount val="2"/>
                <c:pt idx="0">
                  <c:v>0.51874999999999993</c:v>
                </c:pt>
                <c:pt idx="1">
                  <c:v>0.63611111111111118</c:v>
                </c:pt>
              </c:numCache>
            </c:numRef>
          </c:xVal>
          <c:yVal>
            <c:numRef>
              <c:f>Vetroz_Blätter!$S$84:$S$85</c:f>
              <c:numCache>
                <c:formatCode>0.0</c:formatCode>
                <c:ptCount val="2"/>
                <c:pt idx="0">
                  <c:v>19.666666666666668</c:v>
                </c:pt>
                <c:pt idx="1">
                  <c:v>19</c:v>
                </c:pt>
              </c:numCache>
            </c:numRef>
          </c:yVal>
          <c:smooth val="0"/>
          <c:extLst>
            <c:ext xmlns:c16="http://schemas.microsoft.com/office/drawing/2014/chart" uri="{C3380CC4-5D6E-409C-BE32-E72D297353CC}">
              <c16:uniqueId val="{00000003-9E35-6444-8D82-B8FC3C331AE8}"/>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Vetroz_Blätter!$H$149:$H$151</c:f>
              <c:numCache>
                <c:formatCode>h:mm</c:formatCode>
                <c:ptCount val="3"/>
                <c:pt idx="0">
                  <c:v>0.15347222222222223</c:v>
                </c:pt>
                <c:pt idx="1">
                  <c:v>0.51041666666666663</c:v>
                </c:pt>
                <c:pt idx="2">
                  <c:v>0.63055555555555554</c:v>
                </c:pt>
              </c:numCache>
            </c:numRef>
          </c:xVal>
          <c:yVal>
            <c:numRef>
              <c:f>Vetroz_Blätter!$S$149:$S$151</c:f>
              <c:numCache>
                <c:formatCode>0.0</c:formatCode>
                <c:ptCount val="3"/>
                <c:pt idx="0">
                  <c:v>9.3333333333333339</c:v>
                </c:pt>
                <c:pt idx="1">
                  <c:v>27.666666666666668</c:v>
                </c:pt>
                <c:pt idx="2">
                  <c:v>27</c:v>
                </c:pt>
              </c:numCache>
            </c:numRef>
          </c:yVal>
          <c:smooth val="0"/>
          <c:extLst>
            <c:ext xmlns:c16="http://schemas.microsoft.com/office/drawing/2014/chart" uri="{C3380CC4-5D6E-409C-BE32-E72D297353CC}">
              <c16:uniqueId val="{00000004-9E35-6444-8D82-B8FC3C331AE8}"/>
            </c:ext>
          </c:extLst>
        </c:ser>
        <c:ser>
          <c:idx val="5"/>
          <c:order val="5"/>
          <c:spPr>
            <a:ln w="12700" cap="rnd">
              <a:solidFill>
                <a:schemeClr val="tx1"/>
              </a:solidFill>
              <a:prstDash val="dash"/>
              <a:round/>
            </a:ln>
            <a:effectLst/>
          </c:spPr>
          <c:marker>
            <c:symbol val="none"/>
          </c:marker>
          <c:xVal>
            <c:numRef>
              <c:f>Vetroz_Blätter!$H$147:$H$148</c:f>
              <c:numCache>
                <c:formatCode>h:mm</c:formatCode>
                <c:ptCount val="2"/>
                <c:pt idx="0">
                  <c:v>0.50555555555555554</c:v>
                </c:pt>
                <c:pt idx="1">
                  <c:v>0.62430555555555556</c:v>
                </c:pt>
              </c:numCache>
            </c:numRef>
          </c:xVal>
          <c:yVal>
            <c:numRef>
              <c:f>Vetroz_Blätter!$S$147:$S$148</c:f>
              <c:numCache>
                <c:formatCode>0.0</c:formatCode>
                <c:ptCount val="2"/>
                <c:pt idx="0">
                  <c:v>17.666666666666668</c:v>
                </c:pt>
                <c:pt idx="1">
                  <c:v>20</c:v>
                </c:pt>
              </c:numCache>
            </c:numRef>
          </c:yVal>
          <c:smooth val="0"/>
          <c:extLst>
            <c:ext xmlns:c16="http://schemas.microsoft.com/office/drawing/2014/chart" uri="{C3380CC4-5D6E-409C-BE32-E72D297353CC}">
              <c16:uniqueId val="{00000005-9E35-6444-8D82-B8FC3C331AE8}"/>
            </c:ext>
          </c:extLst>
        </c:ser>
        <c:ser>
          <c:idx val="6"/>
          <c:order val="6"/>
          <c:spPr>
            <a:ln w="12700" cap="rnd">
              <a:solidFill>
                <a:srgbClr val="FF0000"/>
              </a:solidFill>
              <a:prstDash val="solid"/>
              <a:round/>
            </a:ln>
            <a:effectLst/>
          </c:spPr>
          <c:marker>
            <c:symbol val="circle"/>
            <c:size val="6"/>
            <c:spPr>
              <a:solidFill>
                <a:srgbClr val="FF0000"/>
              </a:solidFill>
              <a:ln w="9525">
                <a:noFill/>
              </a:ln>
              <a:effectLst/>
            </c:spPr>
          </c:marker>
          <c:xVal>
            <c:numRef>
              <c:f>Vetroz_Blätter!$H$214:$H$216</c:f>
              <c:numCache>
                <c:formatCode>h:mm</c:formatCode>
                <c:ptCount val="3"/>
                <c:pt idx="0">
                  <c:v>0.14444444444444446</c:v>
                </c:pt>
                <c:pt idx="1">
                  <c:v>0.5</c:v>
                </c:pt>
                <c:pt idx="2">
                  <c:v>0.61875000000000002</c:v>
                </c:pt>
              </c:numCache>
            </c:numRef>
          </c:xVal>
          <c:yVal>
            <c:numRef>
              <c:f>Vetroz_Blätter!$S$214:$S$216</c:f>
              <c:numCache>
                <c:formatCode>0.0</c:formatCode>
                <c:ptCount val="3"/>
                <c:pt idx="0">
                  <c:v>7.666666666666667</c:v>
                </c:pt>
                <c:pt idx="1">
                  <c:v>22.333333333333332</c:v>
                </c:pt>
                <c:pt idx="2">
                  <c:v>27.666666666666668</c:v>
                </c:pt>
              </c:numCache>
            </c:numRef>
          </c:yVal>
          <c:smooth val="0"/>
          <c:extLst>
            <c:ext xmlns:c16="http://schemas.microsoft.com/office/drawing/2014/chart" uri="{C3380CC4-5D6E-409C-BE32-E72D297353CC}">
              <c16:uniqueId val="{00000006-9E35-6444-8D82-B8FC3C331AE8}"/>
            </c:ext>
          </c:extLst>
        </c:ser>
        <c:ser>
          <c:idx val="7"/>
          <c:order val="7"/>
          <c:spPr>
            <a:ln w="12700" cap="rnd">
              <a:solidFill>
                <a:srgbClr val="FF0000"/>
              </a:solidFill>
              <a:prstDash val="dash"/>
              <a:round/>
            </a:ln>
            <a:effectLst/>
          </c:spPr>
          <c:marker>
            <c:symbol val="none"/>
          </c:marker>
          <c:xVal>
            <c:numRef>
              <c:f>Vetroz_Blätter!$H$212:$H$213</c:f>
              <c:numCache>
                <c:formatCode>h:mm</c:formatCode>
                <c:ptCount val="2"/>
                <c:pt idx="0">
                  <c:v>0.49513888888888885</c:v>
                </c:pt>
                <c:pt idx="1">
                  <c:v>0.61458333333333337</c:v>
                </c:pt>
              </c:numCache>
            </c:numRef>
          </c:xVal>
          <c:yVal>
            <c:numRef>
              <c:f>Vetroz_Blätter!$S$212:$S$213</c:f>
              <c:numCache>
                <c:formatCode>0.0</c:formatCode>
                <c:ptCount val="2"/>
                <c:pt idx="0">
                  <c:v>14</c:v>
                </c:pt>
                <c:pt idx="1">
                  <c:v>16.666666666666668</c:v>
                </c:pt>
              </c:numCache>
            </c:numRef>
          </c:yVal>
          <c:smooth val="0"/>
          <c:extLst>
            <c:ext xmlns:c16="http://schemas.microsoft.com/office/drawing/2014/chart" uri="{C3380CC4-5D6E-409C-BE32-E72D297353CC}">
              <c16:uniqueId val="{00000007-9E35-6444-8D82-B8FC3C331AE8}"/>
            </c:ext>
          </c:extLst>
        </c:ser>
        <c:ser>
          <c:idx val="8"/>
          <c:order val="8"/>
          <c:spPr>
            <a:ln w="12700" cap="rnd">
              <a:solidFill>
                <a:srgbClr val="00B0F0"/>
              </a:solidFill>
              <a:round/>
            </a:ln>
            <a:effectLst/>
          </c:spPr>
          <c:marker>
            <c:symbol val="circle"/>
            <c:size val="6"/>
            <c:spPr>
              <a:solidFill>
                <a:srgbClr val="00B0F0"/>
              </a:solidFill>
              <a:ln w="9525">
                <a:noFill/>
              </a:ln>
              <a:effectLst/>
            </c:spPr>
          </c:marker>
          <c:xVal>
            <c:numRef>
              <c:f>Vetroz_Blätter!$H$290:$H$292</c:f>
              <c:numCache>
                <c:formatCode>h:mm</c:formatCode>
                <c:ptCount val="3"/>
                <c:pt idx="0">
                  <c:v>0.13402777777777777</c:v>
                </c:pt>
                <c:pt idx="1">
                  <c:v>0.49027777777777781</c:v>
                </c:pt>
                <c:pt idx="2">
                  <c:v>0.60972222222222217</c:v>
                </c:pt>
              </c:numCache>
            </c:numRef>
          </c:xVal>
          <c:yVal>
            <c:numRef>
              <c:f>Vetroz_Blätter!$S$290:$S$292</c:f>
              <c:numCache>
                <c:formatCode>0.0</c:formatCode>
                <c:ptCount val="3"/>
                <c:pt idx="0">
                  <c:v>10.666666666666666</c:v>
                </c:pt>
                <c:pt idx="1">
                  <c:v>23.333333333333332</c:v>
                </c:pt>
                <c:pt idx="2">
                  <c:v>25</c:v>
                </c:pt>
              </c:numCache>
            </c:numRef>
          </c:yVal>
          <c:smooth val="0"/>
          <c:extLst>
            <c:ext xmlns:c16="http://schemas.microsoft.com/office/drawing/2014/chart" uri="{C3380CC4-5D6E-409C-BE32-E72D297353CC}">
              <c16:uniqueId val="{00000008-9E35-6444-8D82-B8FC3C331AE8}"/>
            </c:ext>
          </c:extLst>
        </c:ser>
        <c:ser>
          <c:idx val="9"/>
          <c:order val="9"/>
          <c:spPr>
            <a:ln w="12700" cap="rnd">
              <a:solidFill>
                <a:srgbClr val="00B0F0"/>
              </a:solidFill>
              <a:prstDash val="dash"/>
              <a:round/>
            </a:ln>
            <a:effectLst/>
          </c:spPr>
          <c:marker>
            <c:symbol val="none"/>
          </c:marker>
          <c:xVal>
            <c:numRef>
              <c:f>Vetroz_Blätter!$H$288:$H$289</c:f>
              <c:numCache>
                <c:formatCode>h:mm</c:formatCode>
                <c:ptCount val="2"/>
                <c:pt idx="0">
                  <c:v>0.4861111111111111</c:v>
                </c:pt>
                <c:pt idx="1">
                  <c:v>0.60555555555555551</c:v>
                </c:pt>
              </c:numCache>
            </c:numRef>
          </c:xVal>
          <c:yVal>
            <c:numRef>
              <c:f>Vetroz_Blätter!$S$288:$S$289</c:f>
              <c:numCache>
                <c:formatCode>0.0</c:formatCode>
                <c:ptCount val="2"/>
                <c:pt idx="0">
                  <c:v>14.333333333333334</c:v>
                </c:pt>
                <c:pt idx="1">
                  <c:v>19.666666666666668</c:v>
                </c:pt>
              </c:numCache>
            </c:numRef>
          </c:yVal>
          <c:smooth val="0"/>
          <c:extLst>
            <c:ext xmlns:c16="http://schemas.microsoft.com/office/drawing/2014/chart" uri="{C3380CC4-5D6E-409C-BE32-E72D297353CC}">
              <c16:uniqueId val="{00000009-9E35-6444-8D82-B8FC3C331AE8}"/>
            </c:ext>
          </c:extLst>
        </c:ser>
        <c:ser>
          <c:idx val="10"/>
          <c:order val="10"/>
          <c:spPr>
            <a:ln w="12700" cap="rnd">
              <a:solidFill>
                <a:srgbClr val="92D050"/>
              </a:solidFill>
              <a:round/>
            </a:ln>
            <a:effectLst/>
          </c:spPr>
          <c:marker>
            <c:symbol val="circle"/>
            <c:size val="6"/>
            <c:spPr>
              <a:solidFill>
                <a:srgbClr val="92D050"/>
              </a:solidFill>
              <a:ln w="9525">
                <a:noFill/>
              </a:ln>
              <a:effectLst/>
            </c:spPr>
          </c:marker>
          <c:xVal>
            <c:numRef>
              <c:f>Vetroz_Blätter!$H$366:$H$368</c:f>
              <c:numCache>
                <c:formatCode>h:mm</c:formatCode>
                <c:ptCount val="3"/>
                <c:pt idx="0">
                  <c:v>0.12361111111111112</c:v>
                </c:pt>
                <c:pt idx="1">
                  <c:v>0.48055555555555557</c:v>
                </c:pt>
                <c:pt idx="2">
                  <c:v>0.59791666666666665</c:v>
                </c:pt>
              </c:numCache>
            </c:numRef>
          </c:xVal>
          <c:yVal>
            <c:numRef>
              <c:f>Vetroz_Blätter!$S$366:$S$368</c:f>
              <c:numCache>
                <c:formatCode>0.0</c:formatCode>
                <c:ptCount val="3"/>
                <c:pt idx="0">
                  <c:v>7.333333333333333</c:v>
                </c:pt>
                <c:pt idx="1">
                  <c:v>24.666666666666668</c:v>
                </c:pt>
                <c:pt idx="2">
                  <c:v>24.666666666666668</c:v>
                </c:pt>
              </c:numCache>
            </c:numRef>
          </c:yVal>
          <c:smooth val="0"/>
          <c:extLst>
            <c:ext xmlns:c16="http://schemas.microsoft.com/office/drawing/2014/chart" uri="{C3380CC4-5D6E-409C-BE32-E72D297353CC}">
              <c16:uniqueId val="{0000000A-9E35-6444-8D82-B8FC3C331AE8}"/>
            </c:ext>
          </c:extLst>
        </c:ser>
        <c:ser>
          <c:idx val="11"/>
          <c:order val="11"/>
          <c:spPr>
            <a:ln w="12700" cap="rnd">
              <a:solidFill>
                <a:srgbClr val="92D050"/>
              </a:solidFill>
              <a:prstDash val="dash"/>
              <a:round/>
            </a:ln>
            <a:effectLst/>
          </c:spPr>
          <c:marker>
            <c:symbol val="none"/>
          </c:marker>
          <c:xVal>
            <c:numRef>
              <c:f>Vetroz_Blätter!$H$364:$H$365</c:f>
              <c:numCache>
                <c:formatCode>h:mm</c:formatCode>
                <c:ptCount val="2"/>
                <c:pt idx="0">
                  <c:v>0.47500000000000003</c:v>
                </c:pt>
                <c:pt idx="1">
                  <c:v>0.59305555555555556</c:v>
                </c:pt>
              </c:numCache>
            </c:numRef>
          </c:xVal>
          <c:yVal>
            <c:numRef>
              <c:f>Vetroz_Blätter!$S$364:$S$365</c:f>
              <c:numCache>
                <c:formatCode>0.0</c:formatCode>
                <c:ptCount val="2"/>
                <c:pt idx="0">
                  <c:v>16</c:v>
                </c:pt>
                <c:pt idx="1">
                  <c:v>20</c:v>
                </c:pt>
              </c:numCache>
            </c:numRef>
          </c:yVal>
          <c:smooth val="0"/>
          <c:extLst>
            <c:ext xmlns:c16="http://schemas.microsoft.com/office/drawing/2014/chart" uri="{C3380CC4-5D6E-409C-BE32-E72D297353CC}">
              <c16:uniqueId val="{0000000B-9E35-6444-8D82-B8FC3C331AE8}"/>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14</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1704746281714785"/>
                  <c:y val="-0.104736803732866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(Vetroz_Blätter!$T$350,Vetroz_Blätter!$T$360,Vetroz_Blätter!$T$367,Vetroz_Blätter!$T$373,Vetroz_Blätter!$T$381,Vetroz_Blätter!$T$386,Vetroz_Blätter!$T$390)</c:f>
              <c:numCache>
                <c:formatCode>0.0</c:formatCode>
                <c:ptCount val="7"/>
                <c:pt idx="0">
                  <c:v>235</c:v>
                </c:pt>
                <c:pt idx="1">
                  <c:v>268</c:v>
                </c:pt>
                <c:pt idx="2">
                  <c:v>335</c:v>
                </c:pt>
                <c:pt idx="3">
                  <c:v>437</c:v>
                </c:pt>
                <c:pt idx="4">
                  <c:v>410</c:v>
                </c:pt>
                <c:pt idx="5">
                  <c:v>440</c:v>
                </c:pt>
                <c:pt idx="6">
                  <c:v>538</c:v>
                </c:pt>
              </c:numCache>
            </c:numRef>
          </c:xVal>
          <c:yVal>
            <c:numRef>
              <c:f>(Vetroz_Blätter!$U$350,Vetroz_Blätter!$U$360,Vetroz_Blätter!$U$367,Vetroz_Blätter!$U$373,Vetroz_Blätter!$U$381,Vetroz_Blätter!$U$386,Vetroz_Blätter!$U$390)</c:f>
              <c:numCache>
                <c:formatCode>0.0</c:formatCode>
                <c:ptCount val="7"/>
                <c:pt idx="0">
                  <c:v>242.6</c:v>
                </c:pt>
                <c:pt idx="1">
                  <c:v>402.56666666666666</c:v>
                </c:pt>
                <c:pt idx="2">
                  <c:v>423.5</c:v>
                </c:pt>
                <c:pt idx="3">
                  <c:v>179.05</c:v>
                </c:pt>
                <c:pt idx="4">
                  <c:v>62.500000000000007</c:v>
                </c:pt>
                <c:pt idx="5">
                  <c:v>74.55</c:v>
                </c:pt>
                <c:pt idx="6" formatCode="General">
                  <c:v>24.875</c:v>
                </c:pt>
              </c:numCache>
            </c:numRef>
          </c:yVal>
          <c:smooth val="0"/>
          <c:extLst>
            <c:ext xmlns:c16="http://schemas.microsoft.com/office/drawing/2014/chart" uri="{C3380CC4-5D6E-409C-BE32-E72D297353CC}">
              <c16:uniqueId val="{00000001-252E-D644-A66A-84FC1034052B}"/>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TWD (mikro_m)</a:t>
                </a:r>
                <a:endParaRPr lang="de-CH"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2</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1022878390201225"/>
                  <c:y val="-0.16949839603382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(Vetroz_Blätter!$T$70,Vetroz_Blätter!$T$80,Vetroz_Blätter!$T$87,Vetroz_Blätter!$T$93,Vetroz_Blätter!$T$101,Vetroz_Blätter!$T$106,Vetroz_Blätter!$T$110)</c:f>
              <c:numCache>
                <c:formatCode>0.0</c:formatCode>
                <c:ptCount val="7"/>
                <c:pt idx="0">
                  <c:v>142</c:v>
                </c:pt>
                <c:pt idx="1">
                  <c:v>155</c:v>
                </c:pt>
                <c:pt idx="2">
                  <c:v>200</c:v>
                </c:pt>
                <c:pt idx="3">
                  <c:v>333</c:v>
                </c:pt>
                <c:pt idx="4">
                  <c:v>280</c:v>
                </c:pt>
                <c:pt idx="5">
                  <c:v>315</c:v>
                </c:pt>
                <c:pt idx="6">
                  <c:v>408</c:v>
                </c:pt>
              </c:numCache>
            </c:numRef>
          </c:xVal>
          <c:yVal>
            <c:numRef>
              <c:f>(Vetroz_Blätter!$U$70,Vetroz_Blätter!$U$80,Vetroz_Blätter!$U$87,Vetroz_Blätter!$U$93,Vetroz_Blätter!$U$101,Vetroz_Blätter!$U$106,Vetroz_Blätter!$U$110)</c:f>
              <c:numCache>
                <c:formatCode>0.0</c:formatCode>
                <c:ptCount val="7"/>
                <c:pt idx="0">
                  <c:v>254.5</c:v>
                </c:pt>
                <c:pt idx="1">
                  <c:v>465.7</c:v>
                </c:pt>
                <c:pt idx="2">
                  <c:v>374.2</c:v>
                </c:pt>
                <c:pt idx="3">
                  <c:v>193.94</c:v>
                </c:pt>
                <c:pt idx="4">
                  <c:v>119.44000000000001</c:v>
                </c:pt>
                <c:pt idx="5">
                  <c:v>46.324999999999996</c:v>
                </c:pt>
                <c:pt idx="6">
                  <c:v>24.125</c:v>
                </c:pt>
              </c:numCache>
            </c:numRef>
          </c:yVal>
          <c:smooth val="0"/>
          <c:extLst>
            <c:ext xmlns:c16="http://schemas.microsoft.com/office/drawing/2014/chart" uri="{C3380CC4-5D6E-409C-BE32-E72D297353CC}">
              <c16:uniqueId val="{00000001-8CCC-9B4F-8DC5-4699745D330A}"/>
            </c:ext>
          </c:extLst>
        </c:ser>
        <c:dLbls>
          <c:showLegendKey val="0"/>
          <c:showVal val="0"/>
          <c:showCatName val="0"/>
          <c:showSerName val="0"/>
          <c:showPercent val="0"/>
          <c:showBubbleSize val="0"/>
        </c:dLbls>
        <c:axId val="1164875583"/>
        <c:axId val="1190766015"/>
      </c:scatterChart>
      <c:valAx>
        <c:axId val="1164875583"/>
        <c:scaling>
          <c:orientation val="minMax"/>
          <c:max val="65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TWD (mikro_m)</a:t>
                </a:r>
                <a:endParaRPr lang="de-CH"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majorUnit val="50"/>
      </c:valAx>
      <c:valAx>
        <c:axId val="119076601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baseline="0">
                    <a:effectLst/>
                  </a:rPr>
                  <a:t>S. cond (mmol/m2s-1)</a:t>
                </a:r>
                <a:endParaRPr lang="de-CH"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CH"/>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r>
              <a:rPr lang="de-DE" sz="1600" b="1">
                <a:latin typeface="Arial Narrow" panose="020B0604020202020204" pitchFamily="34" charset="0"/>
                <a:cs typeface="Arial Narrow" panose="020B0604020202020204" pitchFamily="34" charset="0"/>
              </a:rPr>
              <a:t>Vétroz, oak nr 8</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title>
    <c:autoTitleDeleted val="0"/>
    <c:plotArea>
      <c:layout/>
      <c:scatterChart>
        <c:scatterStyle val="lineMarker"/>
        <c:varyColors val="0"/>
        <c:ser>
          <c:idx val="0"/>
          <c:order val="0"/>
          <c:tx>
            <c:v>ψ_leaf_midday_bagged</c:v>
          </c:tx>
          <c:spPr>
            <a:ln w="28575" cap="rnd">
              <a:solidFill>
                <a:schemeClr val="tx1"/>
              </a:solidFill>
              <a:prstDash val="sysDot"/>
              <a:round/>
            </a:ln>
            <a:effectLst/>
          </c:spPr>
          <c:marker>
            <c:symbol val="circle"/>
            <c:size val="5"/>
            <c:spPr>
              <a:solidFill>
                <a:schemeClr val="tx1"/>
              </a:solidFill>
              <a:ln w="9525">
                <a:noFill/>
              </a:ln>
              <a:effectLst/>
            </c:spPr>
          </c:marker>
          <c:xVal>
            <c:numRef>
              <c:f>(Vetroz_Blätter!$R$192,Vetroz_Blätter!$R$203,Vetroz_Blätter!$R$212,Vetroz_Blätter!$R$218,Vetroz_Blätter!$R$225,Vetroz_Blätter!$R$232,Vetroz_Blätter!$R$236)</c:f>
              <c:numCache>
                <c:formatCode>m/d/yy</c:formatCode>
                <c:ptCount val="7"/>
                <c:pt idx="0">
                  <c:v>44348</c:v>
                </c:pt>
                <c:pt idx="1">
                  <c:v>44398</c:v>
                </c:pt>
                <c:pt idx="2">
                  <c:v>44434</c:v>
                </c:pt>
                <c:pt idx="3">
                  <c:v>44446</c:v>
                </c:pt>
                <c:pt idx="4">
                  <c:v>44726</c:v>
                </c:pt>
                <c:pt idx="5">
                  <c:v>44753</c:v>
                </c:pt>
                <c:pt idx="6">
                  <c:v>44786</c:v>
                </c:pt>
              </c:numCache>
            </c:numRef>
          </c:xVal>
          <c:yVal>
            <c:numRef>
              <c:f>(Vetroz_Blätter!$S$192,Vetroz_Blätter!$S$203,Vetroz_Blätter!$S$212,Vetroz_Blätter!$S$218,Vetroz_Blätter!$S$225,Vetroz_Blätter!$S$232,Vetroz_Blätter!$S$236)</c:f>
              <c:numCache>
                <c:formatCode>0.0</c:formatCode>
                <c:ptCount val="7"/>
                <c:pt idx="0">
                  <c:v>8</c:v>
                </c:pt>
                <c:pt idx="1">
                  <c:v>9</c:v>
                </c:pt>
                <c:pt idx="2">
                  <c:v>14</c:v>
                </c:pt>
                <c:pt idx="3">
                  <c:v>23.666666666666668</c:v>
                </c:pt>
                <c:pt idx="4">
                  <c:v>19.666666666666668</c:v>
                </c:pt>
                <c:pt idx="5">
                  <c:v>29.333333333333332</c:v>
                </c:pt>
                <c:pt idx="6">
                  <c:v>44</c:v>
                </c:pt>
              </c:numCache>
            </c:numRef>
          </c:yVal>
          <c:smooth val="0"/>
          <c:extLst>
            <c:ext xmlns:c16="http://schemas.microsoft.com/office/drawing/2014/chart" uri="{C3380CC4-5D6E-409C-BE32-E72D297353CC}">
              <c16:uniqueId val="{00000000-D3A2-214E-BFF2-93EEFAAA514A}"/>
            </c:ext>
          </c:extLst>
        </c:ser>
        <c:ser>
          <c:idx val="3"/>
          <c:order val="3"/>
          <c:tx>
            <c:v>sapflow_stem_midday_raw</c:v>
          </c:tx>
          <c:spPr>
            <a:ln w="28575" cap="rnd">
              <a:solidFill>
                <a:srgbClr val="00B0F0"/>
              </a:solidFill>
              <a:prstDash val="sysDot"/>
              <a:round/>
            </a:ln>
            <a:effectLst/>
          </c:spPr>
          <c:marker>
            <c:symbol val="circle"/>
            <c:size val="5"/>
            <c:spPr>
              <a:solidFill>
                <a:srgbClr val="00B0F0"/>
              </a:solidFill>
              <a:ln w="9525">
                <a:noFill/>
              </a:ln>
              <a:effectLst/>
            </c:spPr>
          </c:marker>
          <c:xVal>
            <c:numRef>
              <c:f>(Vetroz_Blätter!$R$192,Vetroz_Blätter!$R$203,Vetroz_Blätter!$R$212,Vetroz_Blätter!$R$218,Vetroz_Blätter!$R$225,Vetroz_Blätter!$R$232,Vetroz_Blätter!$R$236)</c:f>
              <c:numCache>
                <c:formatCode>m/d/yy</c:formatCode>
                <c:ptCount val="7"/>
                <c:pt idx="0">
                  <c:v>44348</c:v>
                </c:pt>
                <c:pt idx="1">
                  <c:v>44398</c:v>
                </c:pt>
                <c:pt idx="2">
                  <c:v>44434</c:v>
                </c:pt>
                <c:pt idx="3">
                  <c:v>44446</c:v>
                </c:pt>
                <c:pt idx="4">
                  <c:v>44726</c:v>
                </c:pt>
                <c:pt idx="5">
                  <c:v>44753</c:v>
                </c:pt>
                <c:pt idx="6">
                  <c:v>44786</c:v>
                </c:pt>
              </c:numCache>
            </c:numRef>
          </c:xVal>
          <c:yVal>
            <c:numRef>
              <c:f>(Vetroz_Blätter!$V$192,Vetroz_Blätter!$V$203,Vetroz_Blätter!$V$212,Vetroz_Blätter!$V$218,Vetroz_Blätter!$V$225,Vetroz_Blätter!$V$232,Vetroz_Blätter!$V$236)</c:f>
              <c:numCache>
                <c:formatCode>0.0</c:formatCode>
                <c:ptCount val="7"/>
                <c:pt idx="0">
                  <c:v>7.6189999999999998</c:v>
                </c:pt>
                <c:pt idx="1">
                  <c:v>8.1010000000000009</c:v>
                </c:pt>
                <c:pt idx="2">
                  <c:v>6.7</c:v>
                </c:pt>
                <c:pt idx="3">
                  <c:v>4.8289999999999997</c:v>
                </c:pt>
                <c:pt idx="4">
                  <c:v>4.5</c:v>
                </c:pt>
                <c:pt idx="5">
                  <c:v>3.5</c:v>
                </c:pt>
                <c:pt idx="6">
                  <c:v>2</c:v>
                </c:pt>
              </c:numCache>
            </c:numRef>
          </c:yVal>
          <c:smooth val="0"/>
          <c:extLst>
            <c:ext xmlns:c16="http://schemas.microsoft.com/office/drawing/2014/chart" uri="{C3380CC4-5D6E-409C-BE32-E72D297353CC}">
              <c16:uniqueId val="{00000001-D3A2-214E-BFF2-93EEFAAA514A}"/>
            </c:ext>
          </c:extLst>
        </c:ser>
        <c:dLbls>
          <c:showLegendKey val="0"/>
          <c:showVal val="0"/>
          <c:showCatName val="0"/>
          <c:showSerName val="0"/>
          <c:showPercent val="0"/>
          <c:showBubbleSize val="0"/>
        </c:dLbls>
        <c:axId val="1712873312"/>
        <c:axId val="1712548544"/>
      </c:scatterChart>
      <c:scatterChart>
        <c:scatterStyle val="lineMarker"/>
        <c:varyColors val="0"/>
        <c:ser>
          <c:idx val="1"/>
          <c:order val="1"/>
          <c:tx>
            <c:v>TWD_midday</c:v>
          </c:tx>
          <c:spPr>
            <a:ln w="28575" cap="rnd">
              <a:solidFill>
                <a:srgbClr val="FF0000"/>
              </a:solidFill>
              <a:prstDash val="sysDot"/>
              <a:round/>
            </a:ln>
            <a:effectLst/>
          </c:spPr>
          <c:marker>
            <c:symbol val="circle"/>
            <c:size val="5"/>
            <c:spPr>
              <a:solidFill>
                <a:srgbClr val="FF0000"/>
              </a:solidFill>
              <a:ln w="9525">
                <a:noFill/>
              </a:ln>
              <a:effectLst/>
            </c:spPr>
          </c:marker>
          <c:xVal>
            <c:numRef>
              <c:f>(Vetroz_Blätter!$R$192,Vetroz_Blätter!$R$203,Vetroz_Blätter!$R$212,Vetroz_Blätter!$R$218,Vetroz_Blätter!$R$225,Vetroz_Blätter!$R$232,Vetroz_Blätter!$R$236)</c:f>
              <c:numCache>
                <c:formatCode>m/d/yy</c:formatCode>
                <c:ptCount val="7"/>
                <c:pt idx="0">
                  <c:v>44348</c:v>
                </c:pt>
                <c:pt idx="1">
                  <c:v>44398</c:v>
                </c:pt>
                <c:pt idx="2">
                  <c:v>44434</c:v>
                </c:pt>
                <c:pt idx="3">
                  <c:v>44446</c:v>
                </c:pt>
                <c:pt idx="4">
                  <c:v>44726</c:v>
                </c:pt>
                <c:pt idx="5">
                  <c:v>44753</c:v>
                </c:pt>
                <c:pt idx="6">
                  <c:v>44786</c:v>
                </c:pt>
              </c:numCache>
            </c:numRef>
          </c:xVal>
          <c:yVal>
            <c:numRef>
              <c:f>(Vetroz_Blätter!$T$192,Vetroz_Blätter!$T$203,Vetroz_Blätter!$T$212,Vetroz_Blätter!$T$218,Vetroz_Blätter!$T$225,Vetroz_Blätter!$T$232,Vetroz_Blätter!$T$236)</c:f>
              <c:numCache>
                <c:formatCode>0.0</c:formatCode>
                <c:ptCount val="7"/>
                <c:pt idx="0">
                  <c:v>133</c:v>
                </c:pt>
                <c:pt idx="1">
                  <c:v>202</c:v>
                </c:pt>
                <c:pt idx="2">
                  <c:v>215</c:v>
                </c:pt>
                <c:pt idx="3">
                  <c:v>372</c:v>
                </c:pt>
                <c:pt idx="4">
                  <c:v>320</c:v>
                </c:pt>
                <c:pt idx="5">
                  <c:v>400</c:v>
                </c:pt>
                <c:pt idx="6">
                  <c:v>642</c:v>
                </c:pt>
              </c:numCache>
            </c:numRef>
          </c:yVal>
          <c:smooth val="0"/>
          <c:extLst>
            <c:ext xmlns:c16="http://schemas.microsoft.com/office/drawing/2014/chart" uri="{C3380CC4-5D6E-409C-BE32-E72D297353CC}">
              <c16:uniqueId val="{00000002-D3A2-214E-BFF2-93EEFAAA514A}"/>
            </c:ext>
          </c:extLst>
        </c:ser>
        <c:ser>
          <c:idx val="2"/>
          <c:order val="2"/>
          <c:tx>
            <c:v>stomatal_conductance_midday_unbagged</c:v>
          </c:tx>
          <c:spPr>
            <a:ln w="28575" cap="rnd">
              <a:solidFill>
                <a:srgbClr val="00B050"/>
              </a:solidFill>
              <a:prstDash val="sysDot"/>
              <a:round/>
            </a:ln>
            <a:effectLst/>
          </c:spPr>
          <c:marker>
            <c:symbol val="circle"/>
            <c:size val="5"/>
            <c:spPr>
              <a:solidFill>
                <a:srgbClr val="00B050"/>
              </a:solidFill>
              <a:ln w="9525">
                <a:noFill/>
              </a:ln>
              <a:effectLst/>
            </c:spPr>
          </c:marker>
          <c:xVal>
            <c:numRef>
              <c:f>(Vetroz_Blätter!$R$192,Vetroz_Blätter!$R$203,Vetroz_Blätter!$R$212,Vetroz_Blätter!$R$218,Vetroz_Blätter!$R$225,Vetroz_Blätter!$R$232,Vetroz_Blätter!$R$238)</c:f>
              <c:numCache>
                <c:formatCode>m/d/yy</c:formatCode>
                <c:ptCount val="7"/>
                <c:pt idx="0">
                  <c:v>44348</c:v>
                </c:pt>
                <c:pt idx="1">
                  <c:v>44398</c:v>
                </c:pt>
                <c:pt idx="2">
                  <c:v>44434</c:v>
                </c:pt>
                <c:pt idx="3">
                  <c:v>44446</c:v>
                </c:pt>
                <c:pt idx="4">
                  <c:v>44726</c:v>
                </c:pt>
                <c:pt idx="5">
                  <c:v>44753</c:v>
                </c:pt>
                <c:pt idx="6">
                  <c:v>44786</c:v>
                </c:pt>
              </c:numCache>
            </c:numRef>
          </c:xVal>
          <c:yVal>
            <c:numRef>
              <c:f>(Vetroz_Blätter!$U$192,Vetroz_Blätter!$U$203,Vetroz_Blätter!$U$212,Vetroz_Blätter!$U$218,Vetroz_Blätter!$U$225,Vetroz_Blätter!$U$232,Vetroz_Blätter!$U$238)</c:f>
              <c:numCache>
                <c:formatCode>0.0</c:formatCode>
                <c:ptCount val="7"/>
                <c:pt idx="0">
                  <c:v>252</c:v>
                </c:pt>
                <c:pt idx="1">
                  <c:v>318.8</c:v>
                </c:pt>
                <c:pt idx="2">
                  <c:v>331.6</c:v>
                </c:pt>
                <c:pt idx="3">
                  <c:v>164.65</c:v>
                </c:pt>
                <c:pt idx="4">
                  <c:v>115.81999999999998</c:v>
                </c:pt>
                <c:pt idx="5">
                  <c:v>85.7</c:v>
                </c:pt>
                <c:pt idx="6" formatCode="General">
                  <c:v>28.380000000000003</c:v>
                </c:pt>
              </c:numCache>
            </c:numRef>
          </c:yVal>
          <c:smooth val="0"/>
          <c:extLst>
            <c:ext xmlns:c16="http://schemas.microsoft.com/office/drawing/2014/chart" uri="{C3380CC4-5D6E-409C-BE32-E72D297353CC}">
              <c16:uniqueId val="{00000003-D3A2-214E-BFF2-93EEFAAA514A}"/>
            </c:ext>
          </c:extLst>
        </c:ser>
        <c:ser>
          <c:idx val="4"/>
          <c:order val="4"/>
          <c:tx>
            <c:v>PRI (*1000)</c:v>
          </c:tx>
          <c:spPr>
            <a:ln w="28575" cap="rnd">
              <a:solidFill>
                <a:srgbClr val="FFC000"/>
              </a:solidFill>
              <a:prstDash val="sysDot"/>
              <a:round/>
            </a:ln>
            <a:effectLst/>
          </c:spPr>
          <c:marker>
            <c:symbol val="circle"/>
            <c:size val="5"/>
            <c:spPr>
              <a:solidFill>
                <a:srgbClr val="FFC000"/>
              </a:solidFill>
              <a:ln w="9525">
                <a:noFill/>
              </a:ln>
              <a:effectLst/>
            </c:spPr>
          </c:marker>
          <c:xVal>
            <c:numRef>
              <c:f>(Vetroz_Blätter!$R$192,Vetroz_Blätter!$R$203,Vetroz_Blätter!$R$212,Vetroz_Blätter!$R$218,Vetroz_Blätter!$R$225,Vetroz_Blätter!$R$232,Vetroz_Blätter!$R$236)</c:f>
              <c:numCache>
                <c:formatCode>m/d/yy</c:formatCode>
                <c:ptCount val="7"/>
                <c:pt idx="0">
                  <c:v>44348</c:v>
                </c:pt>
                <c:pt idx="1">
                  <c:v>44398</c:v>
                </c:pt>
                <c:pt idx="2">
                  <c:v>44434</c:v>
                </c:pt>
                <c:pt idx="3">
                  <c:v>44446</c:v>
                </c:pt>
                <c:pt idx="4">
                  <c:v>44726</c:v>
                </c:pt>
                <c:pt idx="5">
                  <c:v>44753</c:v>
                </c:pt>
                <c:pt idx="6">
                  <c:v>44786</c:v>
                </c:pt>
              </c:numCache>
            </c:numRef>
          </c:xVal>
          <c:yVal>
            <c:numRef>
              <c:f>(Vetroz_Blätter!$W$192,Vetroz_Blätter!$W$203,Vetroz_Blätter!$W$212,Vetroz_Blätter!$W$218,Vetroz_Blätter!$W$225,Vetroz_Blätter!$W$232,Vetroz_Blätter!$W$238)</c:f>
              <c:numCache>
                <c:formatCode>0</c:formatCode>
                <c:ptCount val="7"/>
                <c:pt idx="0">
                  <c:v>-37</c:v>
                </c:pt>
                <c:pt idx="1">
                  <c:v>16</c:v>
                </c:pt>
                <c:pt idx="2">
                  <c:v>10</c:v>
                </c:pt>
                <c:pt idx="3">
                  <c:v>18</c:v>
                </c:pt>
                <c:pt idx="4">
                  <c:v>-48</c:v>
                </c:pt>
                <c:pt idx="5">
                  <c:v>-52</c:v>
                </c:pt>
                <c:pt idx="6">
                  <c:v>-62</c:v>
                </c:pt>
              </c:numCache>
            </c:numRef>
          </c:yVal>
          <c:smooth val="0"/>
          <c:extLst>
            <c:ext xmlns:c16="http://schemas.microsoft.com/office/drawing/2014/chart" uri="{C3380CC4-5D6E-409C-BE32-E72D297353CC}">
              <c16:uniqueId val="{00000000-937D-8B49-92CC-CFF6F6ED5B46}"/>
            </c:ext>
          </c:extLst>
        </c:ser>
        <c:dLbls>
          <c:showLegendKey val="0"/>
          <c:showVal val="0"/>
          <c:showCatName val="0"/>
          <c:showSerName val="0"/>
          <c:showPercent val="0"/>
          <c:showBubbleSize val="0"/>
        </c:dLbls>
        <c:axId val="1843720704"/>
        <c:axId val="1843718208"/>
      </c:scatterChart>
      <c:valAx>
        <c:axId val="1712873312"/>
        <c:scaling>
          <c:orientation val="minMax"/>
        </c:scaling>
        <c:delete val="0"/>
        <c:axPos val="b"/>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548544"/>
        <c:crosses val="autoZero"/>
        <c:crossBetween val="midCat"/>
        <c:majorUnit val="91.3"/>
      </c:valAx>
      <c:valAx>
        <c:axId val="1712548544"/>
        <c:scaling>
          <c:orientation val="minMax"/>
          <c:max val="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r>
                  <a:rPr lang="de-DE" sz="1600">
                    <a:latin typeface="Arial Narrow" panose="020B0604020202020204" pitchFamily="34" charset="0"/>
                    <a:cs typeface="Arial Narrow" panose="020B0604020202020204" pitchFamily="34" charset="0"/>
                  </a:rPr>
                  <a:t>Sapflow (cm/h), </a:t>
                </a:r>
                <a:r>
                  <a:rPr lang="el-GR" sz="1600" b="0"/>
                  <a:t>ψ</a:t>
                </a:r>
                <a:r>
                  <a:rPr lang="de-CH" sz="1600" b="0"/>
                  <a:t>_leaf</a:t>
                </a:r>
                <a:r>
                  <a:rPr lang="de-DE" sz="1600">
                    <a:latin typeface="Arial Narrow" panose="020B0604020202020204" pitchFamily="34" charset="0"/>
                    <a:cs typeface="Arial Narrow" panose="020B0604020202020204" pitchFamily="34" charset="0"/>
                  </a:rPr>
                  <a:t> (bar)</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873312"/>
        <c:crosses val="autoZero"/>
        <c:crossBetween val="midCat"/>
      </c:valAx>
      <c:valAx>
        <c:axId val="1843718208"/>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r>
                  <a:rPr lang="de-DE" sz="1600">
                    <a:latin typeface="Arial Narrow" panose="020B0604020202020204" pitchFamily="34" charset="0"/>
                    <a:cs typeface="Arial Narrow" panose="020B0604020202020204" pitchFamily="34" charset="0"/>
                  </a:rPr>
                  <a:t>TWD (</a:t>
                </a:r>
                <a:r>
                  <a:rPr lang="de-CH" sz="1600" b="0" i="0" u="none" strike="noStrike" baseline="0"/>
                  <a:t>µm</a:t>
                </a:r>
                <a:r>
                  <a:rPr lang="de-DE" sz="1600">
                    <a:latin typeface="Arial Narrow" panose="020B0604020202020204" pitchFamily="34" charset="0"/>
                    <a:cs typeface="Arial Narrow" panose="020B0604020202020204" pitchFamily="34" charset="0"/>
                  </a:rPr>
                  <a:t>), stomatal_cond</a:t>
                </a:r>
                <a:r>
                  <a:rPr lang="de-DE" sz="1600" baseline="0">
                    <a:latin typeface="Arial Narrow" panose="020B0604020202020204" pitchFamily="34" charset="0"/>
                    <a:cs typeface="Arial Narrow" panose="020B0604020202020204" pitchFamily="34" charset="0"/>
                  </a:rPr>
                  <a:t> (mmol/m2s), PRI</a:t>
                </a:r>
                <a:endParaRPr lang="de-DE" sz="1600">
                  <a:latin typeface="Arial Narrow" panose="020B0604020202020204" pitchFamily="34" charset="0"/>
                  <a:cs typeface="Arial Narrow" panose="020B0604020202020204" pitchFamily="34" charset="0"/>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843720704"/>
        <c:crosses val="max"/>
        <c:crossBetween val="midCat"/>
      </c:valAx>
      <c:valAx>
        <c:axId val="1843720704"/>
        <c:scaling>
          <c:orientation val="minMax"/>
        </c:scaling>
        <c:delete val="1"/>
        <c:axPos val="b"/>
        <c:numFmt formatCode="m/d/yy" sourceLinked="1"/>
        <c:majorTickMark val="out"/>
        <c:minorTickMark val="none"/>
        <c:tickLblPos val="nextTo"/>
        <c:crossAx val="1843718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r>
              <a:rPr lang="de-DE" sz="1600" b="1">
                <a:latin typeface="Arial Narrow" panose="020B0604020202020204" pitchFamily="34" charset="0"/>
                <a:cs typeface="Arial Narrow" panose="020B0604020202020204" pitchFamily="34" charset="0"/>
              </a:rPr>
              <a:t>Vétroz, oak nr 3</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title>
    <c:autoTitleDeleted val="0"/>
    <c:plotArea>
      <c:layout/>
      <c:scatterChart>
        <c:scatterStyle val="lineMarker"/>
        <c:varyColors val="0"/>
        <c:ser>
          <c:idx val="0"/>
          <c:order val="0"/>
          <c:tx>
            <c:v>ψ_leaf_midday_bagged</c:v>
          </c:tx>
          <c:spPr>
            <a:ln w="28575" cap="rnd">
              <a:solidFill>
                <a:schemeClr val="tx1"/>
              </a:solidFill>
              <a:prstDash val="sysDot"/>
              <a:round/>
            </a:ln>
            <a:effectLst/>
          </c:spPr>
          <c:marker>
            <c:symbol val="circle"/>
            <c:size val="5"/>
            <c:spPr>
              <a:solidFill>
                <a:schemeClr val="tx1"/>
              </a:solidFill>
              <a:ln w="9525">
                <a:noFill/>
              </a:ln>
              <a:effectLst/>
            </c:spPr>
          </c:marker>
          <c:xVal>
            <c:numRef>
              <c:f>(Vetroz_Blätter!$R$127,Vetroz_Blätter!$R$138,Vetroz_Blätter!$R$147,Vetroz_Blätter!$R$153,Vetroz_Blätter!$R$160,Vetroz_Blätter!$R$167,Vetroz_Blätter!$R$171)</c:f>
              <c:numCache>
                <c:formatCode>m/d/yy</c:formatCode>
                <c:ptCount val="7"/>
                <c:pt idx="0">
                  <c:v>44348</c:v>
                </c:pt>
                <c:pt idx="1">
                  <c:v>44398</c:v>
                </c:pt>
                <c:pt idx="2">
                  <c:v>44434</c:v>
                </c:pt>
                <c:pt idx="3">
                  <c:v>44446</c:v>
                </c:pt>
                <c:pt idx="4">
                  <c:v>44726</c:v>
                </c:pt>
                <c:pt idx="5">
                  <c:v>44753</c:v>
                </c:pt>
                <c:pt idx="6">
                  <c:v>44786</c:v>
                </c:pt>
              </c:numCache>
            </c:numRef>
          </c:xVal>
          <c:yVal>
            <c:numRef>
              <c:f>(Vetroz_Blätter!$S$127,Vetroz_Blätter!$S$138,Vetroz_Blätter!$S$147,Vetroz_Blätter!$S$153,Vetroz_Blätter!$S$160,Vetroz_Blätter!$S$167,Vetroz_Blätter!$S$171)</c:f>
              <c:numCache>
                <c:formatCode>0.0</c:formatCode>
                <c:ptCount val="7"/>
                <c:pt idx="0">
                  <c:v>9.3333333333333339</c:v>
                </c:pt>
                <c:pt idx="1">
                  <c:v>13</c:v>
                </c:pt>
                <c:pt idx="2">
                  <c:v>17.666666666666668</c:v>
                </c:pt>
                <c:pt idx="3">
                  <c:v>26.666666666666668</c:v>
                </c:pt>
                <c:pt idx="4">
                  <c:v>23.666666666666668</c:v>
                </c:pt>
                <c:pt idx="5">
                  <c:v>31.666666666666668</c:v>
                </c:pt>
                <c:pt idx="6">
                  <c:v>44.333333333333336</c:v>
                </c:pt>
              </c:numCache>
            </c:numRef>
          </c:yVal>
          <c:smooth val="0"/>
          <c:extLst>
            <c:ext xmlns:c16="http://schemas.microsoft.com/office/drawing/2014/chart" uri="{C3380CC4-5D6E-409C-BE32-E72D297353CC}">
              <c16:uniqueId val="{00000000-864F-DC46-8270-B6EF7E804227}"/>
            </c:ext>
          </c:extLst>
        </c:ser>
        <c:ser>
          <c:idx val="3"/>
          <c:order val="3"/>
          <c:tx>
            <c:v>sapflow_stem_midday_raw</c:v>
          </c:tx>
          <c:spPr>
            <a:ln w="28575" cap="rnd">
              <a:solidFill>
                <a:srgbClr val="00B0F0"/>
              </a:solidFill>
              <a:prstDash val="sysDot"/>
              <a:round/>
            </a:ln>
            <a:effectLst/>
          </c:spPr>
          <c:marker>
            <c:symbol val="circle"/>
            <c:size val="5"/>
            <c:spPr>
              <a:solidFill>
                <a:srgbClr val="00B0F0"/>
              </a:solidFill>
              <a:ln w="9525">
                <a:noFill/>
              </a:ln>
              <a:effectLst/>
            </c:spPr>
          </c:marker>
          <c:xVal>
            <c:numRef>
              <c:f>(Vetroz_Blätter!$R$127,Vetroz_Blätter!$R$138,Vetroz_Blätter!$R$147,Vetroz_Blätter!$R$153,Vetroz_Blätter!$R$160,Vetroz_Blätter!$R$167,Vetroz_Blätter!$R$171)</c:f>
              <c:numCache>
                <c:formatCode>m/d/yy</c:formatCode>
                <c:ptCount val="7"/>
                <c:pt idx="0">
                  <c:v>44348</c:v>
                </c:pt>
                <c:pt idx="1">
                  <c:v>44398</c:v>
                </c:pt>
                <c:pt idx="2">
                  <c:v>44434</c:v>
                </c:pt>
                <c:pt idx="3">
                  <c:v>44446</c:v>
                </c:pt>
                <c:pt idx="4">
                  <c:v>44726</c:v>
                </c:pt>
                <c:pt idx="5">
                  <c:v>44753</c:v>
                </c:pt>
                <c:pt idx="6">
                  <c:v>44786</c:v>
                </c:pt>
              </c:numCache>
            </c:numRef>
          </c:xVal>
          <c:yVal>
            <c:numRef>
              <c:f>(Vetroz_Blätter!$V$127,Vetroz_Blätter!$V$138,Vetroz_Blätter!$V$147,Vetroz_Blätter!$V$153,Vetroz_Blätter!$V$160,Vetroz_Blätter!$V$167,Vetroz_Blätter!$V$171)</c:f>
              <c:numCache>
                <c:formatCode>0.0</c:formatCode>
                <c:ptCount val="7"/>
                <c:pt idx="0">
                  <c:v>11.115</c:v>
                </c:pt>
                <c:pt idx="1">
                  <c:v>10.811999999999999</c:v>
                </c:pt>
                <c:pt idx="2">
                  <c:v>10.065</c:v>
                </c:pt>
                <c:pt idx="3">
                  <c:v>9.1850000000000005</c:v>
                </c:pt>
                <c:pt idx="4">
                  <c:v>6.5060000000000002</c:v>
                </c:pt>
                <c:pt idx="5">
                  <c:v>4.2</c:v>
                </c:pt>
                <c:pt idx="6">
                  <c:v>4</c:v>
                </c:pt>
              </c:numCache>
            </c:numRef>
          </c:yVal>
          <c:smooth val="0"/>
          <c:extLst>
            <c:ext xmlns:c16="http://schemas.microsoft.com/office/drawing/2014/chart" uri="{C3380CC4-5D6E-409C-BE32-E72D297353CC}">
              <c16:uniqueId val="{00000001-864F-DC46-8270-B6EF7E804227}"/>
            </c:ext>
          </c:extLst>
        </c:ser>
        <c:dLbls>
          <c:showLegendKey val="0"/>
          <c:showVal val="0"/>
          <c:showCatName val="0"/>
          <c:showSerName val="0"/>
          <c:showPercent val="0"/>
          <c:showBubbleSize val="0"/>
        </c:dLbls>
        <c:axId val="1712873312"/>
        <c:axId val="1712548544"/>
      </c:scatterChart>
      <c:scatterChart>
        <c:scatterStyle val="lineMarker"/>
        <c:varyColors val="0"/>
        <c:ser>
          <c:idx val="1"/>
          <c:order val="1"/>
          <c:tx>
            <c:v>TWD_midday</c:v>
          </c:tx>
          <c:spPr>
            <a:ln w="28575" cap="rnd">
              <a:solidFill>
                <a:srgbClr val="FF0000"/>
              </a:solidFill>
              <a:prstDash val="sysDot"/>
              <a:round/>
            </a:ln>
            <a:effectLst/>
          </c:spPr>
          <c:marker>
            <c:symbol val="circle"/>
            <c:size val="5"/>
            <c:spPr>
              <a:solidFill>
                <a:srgbClr val="FF0000"/>
              </a:solidFill>
              <a:ln w="9525">
                <a:noFill/>
              </a:ln>
              <a:effectLst/>
            </c:spPr>
          </c:marker>
          <c:xVal>
            <c:numRef>
              <c:f>(Vetroz_Blätter!$R$127,Vetroz_Blätter!$R$138,Vetroz_Blätter!$R$147,Vetroz_Blätter!$R$153,Vetroz_Blätter!$R$160,Vetroz_Blätter!$R$167,Vetroz_Blätter!$R$171)</c:f>
              <c:numCache>
                <c:formatCode>m/d/yy</c:formatCode>
                <c:ptCount val="7"/>
                <c:pt idx="0">
                  <c:v>44348</c:v>
                </c:pt>
                <c:pt idx="1">
                  <c:v>44398</c:v>
                </c:pt>
                <c:pt idx="2">
                  <c:v>44434</c:v>
                </c:pt>
                <c:pt idx="3">
                  <c:v>44446</c:v>
                </c:pt>
                <c:pt idx="4">
                  <c:v>44726</c:v>
                </c:pt>
                <c:pt idx="5">
                  <c:v>44753</c:v>
                </c:pt>
                <c:pt idx="6">
                  <c:v>44786</c:v>
                </c:pt>
              </c:numCache>
            </c:numRef>
          </c:xVal>
          <c:yVal>
            <c:numRef>
              <c:f>(Vetroz_Blätter!$T$127,Vetroz_Blätter!$T$138,Vetroz_Blätter!$T$147,Vetroz_Blätter!$T$153,Vetroz_Blätter!$T$160,Vetroz_Blätter!$T$167,Vetroz_Blätter!$T$171)</c:f>
              <c:numCache>
                <c:formatCode>0.0</c:formatCode>
                <c:ptCount val="7"/>
                <c:pt idx="0">
                  <c:v>237</c:v>
                </c:pt>
                <c:pt idx="1">
                  <c:v>282</c:v>
                </c:pt>
                <c:pt idx="2">
                  <c:v>312</c:v>
                </c:pt>
                <c:pt idx="3">
                  <c:v>480</c:v>
                </c:pt>
                <c:pt idx="4">
                  <c:v>310</c:v>
                </c:pt>
                <c:pt idx="5">
                  <c:v>365</c:v>
                </c:pt>
                <c:pt idx="6">
                  <c:v>380</c:v>
                </c:pt>
              </c:numCache>
            </c:numRef>
          </c:yVal>
          <c:smooth val="0"/>
          <c:extLst>
            <c:ext xmlns:c16="http://schemas.microsoft.com/office/drawing/2014/chart" uri="{C3380CC4-5D6E-409C-BE32-E72D297353CC}">
              <c16:uniqueId val="{00000002-864F-DC46-8270-B6EF7E804227}"/>
            </c:ext>
          </c:extLst>
        </c:ser>
        <c:ser>
          <c:idx val="2"/>
          <c:order val="2"/>
          <c:tx>
            <c:v>stomatal_conductance_midday_unbagged</c:v>
          </c:tx>
          <c:spPr>
            <a:ln w="28575" cap="rnd">
              <a:solidFill>
                <a:srgbClr val="00B050"/>
              </a:solidFill>
              <a:prstDash val="sysDot"/>
              <a:round/>
            </a:ln>
            <a:effectLst/>
          </c:spPr>
          <c:marker>
            <c:symbol val="circle"/>
            <c:size val="5"/>
            <c:spPr>
              <a:solidFill>
                <a:srgbClr val="00B050"/>
              </a:solidFill>
              <a:ln w="9525">
                <a:noFill/>
              </a:ln>
              <a:effectLst/>
            </c:spPr>
          </c:marker>
          <c:xVal>
            <c:numRef>
              <c:f>(Vetroz_Blätter!$R$127,Vetroz_Blätter!$R$138,Vetroz_Blätter!$R$147,Vetroz_Blätter!$R$153,Vetroz_Blätter!$R$160,Vetroz_Blätter!$R$167,Vetroz_Blätter!$R$173)</c:f>
              <c:numCache>
                <c:formatCode>m/d/yy</c:formatCode>
                <c:ptCount val="7"/>
                <c:pt idx="0">
                  <c:v>44348</c:v>
                </c:pt>
                <c:pt idx="1">
                  <c:v>44398</c:v>
                </c:pt>
                <c:pt idx="2">
                  <c:v>44434</c:v>
                </c:pt>
                <c:pt idx="3">
                  <c:v>44446</c:v>
                </c:pt>
                <c:pt idx="4">
                  <c:v>44726</c:v>
                </c:pt>
                <c:pt idx="5">
                  <c:v>44753</c:v>
                </c:pt>
                <c:pt idx="6">
                  <c:v>44786</c:v>
                </c:pt>
              </c:numCache>
            </c:numRef>
          </c:xVal>
          <c:yVal>
            <c:numRef>
              <c:f>(Vetroz_Blätter!$U$127,Vetroz_Blätter!$U$138,Vetroz_Blätter!$U$147,Vetroz_Blätter!$U$153,Vetroz_Blätter!$U$160,Vetroz_Blätter!$U$167,Vetroz_Blätter!$U$173)</c:f>
              <c:numCache>
                <c:formatCode>0.0</c:formatCode>
                <c:ptCount val="7"/>
                <c:pt idx="0">
                  <c:v>328.7</c:v>
                </c:pt>
                <c:pt idx="1">
                  <c:v>465.43333333333334</c:v>
                </c:pt>
                <c:pt idx="2">
                  <c:v>378.3</c:v>
                </c:pt>
                <c:pt idx="3">
                  <c:v>244.12500000000003</c:v>
                </c:pt>
                <c:pt idx="4">
                  <c:v>115.9</c:v>
                </c:pt>
                <c:pt idx="5">
                  <c:v>79.474999999999994</c:v>
                </c:pt>
                <c:pt idx="6">
                  <c:v>25.14</c:v>
                </c:pt>
              </c:numCache>
            </c:numRef>
          </c:yVal>
          <c:smooth val="0"/>
          <c:extLst>
            <c:ext xmlns:c16="http://schemas.microsoft.com/office/drawing/2014/chart" uri="{C3380CC4-5D6E-409C-BE32-E72D297353CC}">
              <c16:uniqueId val="{00000003-864F-DC46-8270-B6EF7E804227}"/>
            </c:ext>
          </c:extLst>
        </c:ser>
        <c:dLbls>
          <c:showLegendKey val="0"/>
          <c:showVal val="0"/>
          <c:showCatName val="0"/>
          <c:showSerName val="0"/>
          <c:showPercent val="0"/>
          <c:showBubbleSize val="0"/>
        </c:dLbls>
        <c:axId val="1843720704"/>
        <c:axId val="1843718208"/>
      </c:scatterChart>
      <c:valAx>
        <c:axId val="1712873312"/>
        <c:scaling>
          <c:orientation val="minMax"/>
        </c:scaling>
        <c:delete val="0"/>
        <c:axPos val="b"/>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548544"/>
        <c:crosses val="autoZero"/>
        <c:crossBetween val="midCat"/>
        <c:majorUnit val="91.3"/>
      </c:valAx>
      <c:valAx>
        <c:axId val="1712548544"/>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r>
                  <a:rPr lang="de-DE" sz="1600">
                    <a:latin typeface="Arial Narrow" panose="020B0604020202020204" pitchFamily="34" charset="0"/>
                    <a:cs typeface="Arial Narrow" panose="020B0604020202020204" pitchFamily="34" charset="0"/>
                  </a:rPr>
                  <a:t>Sapflow (cm/h), </a:t>
                </a:r>
                <a:r>
                  <a:rPr lang="el-GR" sz="1600" b="0"/>
                  <a:t>ψ</a:t>
                </a:r>
                <a:r>
                  <a:rPr lang="de-CH" sz="1600" b="0"/>
                  <a:t>_leaf</a:t>
                </a:r>
                <a:r>
                  <a:rPr lang="de-DE" sz="1600">
                    <a:latin typeface="Arial Narrow" panose="020B0604020202020204" pitchFamily="34" charset="0"/>
                    <a:cs typeface="Arial Narrow" panose="020B0604020202020204" pitchFamily="34" charset="0"/>
                  </a:rPr>
                  <a:t> (bar)</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873312"/>
        <c:crosses val="autoZero"/>
        <c:crossBetween val="midCat"/>
      </c:valAx>
      <c:valAx>
        <c:axId val="1843718208"/>
        <c:scaling>
          <c:orientation val="minMax"/>
          <c:max val="7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r>
                  <a:rPr lang="de-DE" sz="1600">
                    <a:latin typeface="Arial Narrow" panose="020B0604020202020204" pitchFamily="34" charset="0"/>
                    <a:cs typeface="Arial Narrow" panose="020B0604020202020204" pitchFamily="34" charset="0"/>
                  </a:rPr>
                  <a:t>TWD (</a:t>
                </a:r>
                <a:r>
                  <a:rPr lang="de-CH" sz="1600" b="0" i="0" u="none" strike="noStrike" baseline="0"/>
                  <a:t>µm</a:t>
                </a:r>
                <a:r>
                  <a:rPr lang="de-DE" sz="1600">
                    <a:latin typeface="Arial Narrow" panose="020B0604020202020204" pitchFamily="34" charset="0"/>
                    <a:cs typeface="Arial Narrow" panose="020B0604020202020204" pitchFamily="34" charset="0"/>
                  </a:rPr>
                  <a:t>), stomatal_cond</a:t>
                </a:r>
                <a:r>
                  <a:rPr lang="de-DE" sz="1600" baseline="0">
                    <a:latin typeface="Arial Narrow" panose="020B0604020202020204" pitchFamily="34" charset="0"/>
                    <a:cs typeface="Arial Narrow" panose="020B0604020202020204" pitchFamily="34" charset="0"/>
                  </a:rPr>
                  <a:t> (mmol/m2s)</a:t>
                </a:r>
                <a:endParaRPr lang="de-DE" sz="1600">
                  <a:latin typeface="Arial Narrow" panose="020B0604020202020204" pitchFamily="34" charset="0"/>
                  <a:cs typeface="Arial Narrow" panose="020B0604020202020204" pitchFamily="34" charset="0"/>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843720704"/>
        <c:crosses val="max"/>
        <c:crossBetween val="midCat"/>
      </c:valAx>
      <c:valAx>
        <c:axId val="1843720704"/>
        <c:scaling>
          <c:orientation val="minMax"/>
        </c:scaling>
        <c:delete val="1"/>
        <c:axPos val="b"/>
        <c:numFmt formatCode="m/d/yy" sourceLinked="1"/>
        <c:majorTickMark val="out"/>
        <c:minorTickMark val="none"/>
        <c:tickLblPos val="nextTo"/>
        <c:crossAx val="1843718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v>VPD_midday</c:v>
          </c:tx>
          <c:spPr>
            <a:ln w="28575" cap="rnd">
              <a:solidFill>
                <a:schemeClr val="tx1"/>
              </a:solidFill>
              <a:prstDash val="sysDot"/>
              <a:round/>
            </a:ln>
            <a:effectLst/>
          </c:spPr>
          <c:marker>
            <c:symbol val="circle"/>
            <c:size val="5"/>
            <c:spPr>
              <a:solidFill>
                <a:schemeClr val="tx1"/>
              </a:solidFill>
              <a:ln w="9525">
                <a:noFill/>
              </a:ln>
              <a:effectLst/>
            </c:spPr>
          </c:marker>
          <c:xVal>
            <c:numRef>
              <c:f>(Vetroz_Blätter!$R$192,Vetroz_Blätter!$R$203,Vetroz_Blätter!$R$212,Vetroz_Blätter!$R$218,Vetroz_Blätter!$R$225,Vetroz_Blätter!$R$232,Vetroz_Blätter!$R$238)</c:f>
              <c:numCache>
                <c:formatCode>m/d/yy</c:formatCode>
                <c:ptCount val="7"/>
                <c:pt idx="0">
                  <c:v>44348</c:v>
                </c:pt>
                <c:pt idx="1">
                  <c:v>44398</c:v>
                </c:pt>
                <c:pt idx="2">
                  <c:v>44434</c:v>
                </c:pt>
                <c:pt idx="3">
                  <c:v>44446</c:v>
                </c:pt>
                <c:pt idx="4">
                  <c:v>44726</c:v>
                </c:pt>
                <c:pt idx="5">
                  <c:v>44753</c:v>
                </c:pt>
                <c:pt idx="6">
                  <c:v>44786</c:v>
                </c:pt>
              </c:numCache>
            </c:numRef>
          </c:xVal>
          <c:yVal>
            <c:numRef>
              <c:f>(Vetroz_Blätter!$AD$192,Vetroz_Blätter!$AD$203,Vetroz_Blätter!$AD$212,Vetroz_Blätter!$AD$218,Vetroz_Blätter!$AD$225,Vetroz_Blätter!$AD$232,Vetroz_Blätter!$AD$238)</c:f>
              <c:numCache>
                <c:formatCode>General</c:formatCode>
                <c:ptCount val="7"/>
                <c:pt idx="0">
                  <c:v>2.1374396359999999</c:v>
                </c:pt>
                <c:pt idx="1">
                  <c:v>1.771851724</c:v>
                </c:pt>
                <c:pt idx="2">
                  <c:v>1.4185709550000001</c:v>
                </c:pt>
                <c:pt idx="3">
                  <c:v>2.0530380149999998</c:v>
                </c:pt>
                <c:pt idx="4">
                  <c:v>2.2539286129999998</c:v>
                </c:pt>
                <c:pt idx="5">
                  <c:v>2.2204227400000001</c:v>
                </c:pt>
                <c:pt idx="6">
                  <c:v>3.2221680300000002</c:v>
                </c:pt>
              </c:numCache>
            </c:numRef>
          </c:yVal>
          <c:smooth val="0"/>
          <c:extLst>
            <c:ext xmlns:c16="http://schemas.microsoft.com/office/drawing/2014/chart" uri="{C3380CC4-5D6E-409C-BE32-E72D297353CC}">
              <c16:uniqueId val="{00000003-4676-D24A-A059-A390AEB92358}"/>
            </c:ext>
          </c:extLst>
        </c:ser>
        <c:dLbls>
          <c:showLegendKey val="0"/>
          <c:showVal val="0"/>
          <c:showCatName val="0"/>
          <c:showSerName val="0"/>
          <c:showPercent val="0"/>
          <c:showBubbleSize val="0"/>
        </c:dLbls>
        <c:axId val="1712873312"/>
        <c:axId val="1712548544"/>
      </c:scatterChart>
      <c:valAx>
        <c:axId val="1712873312"/>
        <c:scaling>
          <c:orientation val="minMax"/>
        </c:scaling>
        <c:delete val="0"/>
        <c:axPos val="b"/>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548544"/>
        <c:crosses val="autoZero"/>
        <c:crossBetween val="midCat"/>
        <c:majorUnit val="91.3"/>
      </c:valAx>
      <c:valAx>
        <c:axId val="1712548544"/>
        <c:scaling>
          <c:orientation val="minMax"/>
          <c:max val="3.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r>
                  <a:rPr lang="de-CH" sz="1600">
                    <a:latin typeface="Arial Narrow" panose="020B0604020202020204" pitchFamily="34" charset="0"/>
                    <a:cs typeface="Arial Narrow" panose="020B0604020202020204" pitchFamily="34" charset="0"/>
                  </a:rPr>
                  <a:t>VPD midday  (kPa)</a:t>
                </a:r>
                <a:endParaRPr lang="de-DE" sz="1600">
                  <a:latin typeface="Arial Narrow" panose="020B0604020202020204" pitchFamily="34" charset="0"/>
                  <a:cs typeface="Arial Narrow" panose="020B0604020202020204" pitchFamily="34" charset="0"/>
                </a:endParaRPr>
              </a:p>
            </c:rich>
          </c:tx>
          <c:layout>
            <c:manualLayout>
              <c:xMode val="edge"/>
              <c:yMode val="edge"/>
              <c:x val="8.3690997023368238E-3"/>
              <c:y val="0.2753624903715494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873312"/>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v>Soil matric potential midday mean 1-160 cm</c:v>
          </c:tx>
          <c:spPr>
            <a:ln w="28575" cap="rnd">
              <a:solidFill>
                <a:schemeClr val="tx1"/>
              </a:solidFill>
              <a:prstDash val="sysDot"/>
              <a:round/>
            </a:ln>
            <a:effectLst/>
          </c:spPr>
          <c:marker>
            <c:symbol val="circle"/>
            <c:size val="5"/>
            <c:spPr>
              <a:solidFill>
                <a:schemeClr val="tx1"/>
              </a:solidFill>
              <a:ln w="9525">
                <a:noFill/>
              </a:ln>
              <a:effectLst/>
            </c:spPr>
          </c:marker>
          <c:xVal>
            <c:numRef>
              <c:f>(Vetroz_Blätter!$R$192,Vetroz_Blätter!$R$203,Vetroz_Blätter!$R$212,Vetroz_Blätter!$R$218,Vetroz_Blätter!$R$225,Vetroz_Blätter!$R$232,Vetroz_Blätter!$R$238)</c:f>
              <c:numCache>
                <c:formatCode>m/d/yy</c:formatCode>
                <c:ptCount val="7"/>
                <c:pt idx="0">
                  <c:v>44348</c:v>
                </c:pt>
                <c:pt idx="1">
                  <c:v>44398</c:v>
                </c:pt>
                <c:pt idx="2">
                  <c:v>44434</c:v>
                </c:pt>
                <c:pt idx="3">
                  <c:v>44446</c:v>
                </c:pt>
                <c:pt idx="4">
                  <c:v>44726</c:v>
                </c:pt>
                <c:pt idx="5">
                  <c:v>44753</c:v>
                </c:pt>
                <c:pt idx="6">
                  <c:v>44786</c:v>
                </c:pt>
              </c:numCache>
            </c:numRef>
          </c:xVal>
          <c:yVal>
            <c:numRef>
              <c:f>(Vetroz_Blätter!$AC$192,Vetroz_Blätter!$AC$203,Vetroz_Blätter!$AC$212,Vetroz_Blätter!$AC$218,Vetroz_Blätter!$AC$225,Vetroz_Blätter!$AC$232,Vetroz_Blätter!$AC$238)</c:f>
              <c:numCache>
                <c:formatCode>0.0</c:formatCode>
                <c:ptCount val="7"/>
                <c:pt idx="0">
                  <c:v>-17.268115265225084</c:v>
                </c:pt>
                <c:pt idx="1">
                  <c:v>-118.80239500958297</c:v>
                </c:pt>
                <c:pt idx="2">
                  <c:v>-742.21168735420849</c:v>
                </c:pt>
                <c:pt idx="3">
                  <c:v>-1278.905851191595</c:v>
                </c:pt>
                <c:pt idx="4">
                  <c:v>-1011.5369390800206</c:v>
                </c:pt>
                <c:pt idx="5">
                  <c:v>-1368.3477498760521</c:v>
                </c:pt>
                <c:pt idx="6">
                  <c:v>-1710.6463680511265</c:v>
                </c:pt>
              </c:numCache>
            </c:numRef>
          </c:yVal>
          <c:smooth val="0"/>
          <c:extLst>
            <c:ext xmlns:c16="http://schemas.microsoft.com/office/drawing/2014/chart" uri="{C3380CC4-5D6E-409C-BE32-E72D297353CC}">
              <c16:uniqueId val="{00000000-07F4-7043-893E-18C0E86442A4}"/>
            </c:ext>
          </c:extLst>
        </c:ser>
        <c:dLbls>
          <c:showLegendKey val="0"/>
          <c:showVal val="0"/>
          <c:showCatName val="0"/>
          <c:showSerName val="0"/>
          <c:showPercent val="0"/>
          <c:showBubbleSize val="0"/>
        </c:dLbls>
        <c:axId val="1712873312"/>
        <c:axId val="1712548544"/>
      </c:scatterChart>
      <c:valAx>
        <c:axId val="1712873312"/>
        <c:scaling>
          <c:orientation val="minMax"/>
        </c:scaling>
        <c:delete val="0"/>
        <c:axPos val="b"/>
        <c:numFmt formatCode="m/d/yy"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t" anchorCtr="0"/>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548544"/>
        <c:crosses val="autoZero"/>
        <c:crossBetween val="midCat"/>
        <c:majorUnit val="91.3"/>
      </c:valAx>
      <c:valAx>
        <c:axId val="1712548544"/>
        <c:scaling>
          <c:orientation val="minMax"/>
          <c:max val="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r>
                  <a:rPr lang="de-CH" sz="1600">
                    <a:latin typeface="Arial Narrow" panose="020B0604020202020204" pitchFamily="34" charset="0"/>
                    <a:cs typeface="Arial Narrow" panose="020B0604020202020204" pitchFamily="34" charset="0"/>
                  </a:rPr>
                  <a:t>Soil matric potemntial midday mean 1-160 cm (kPa)</a:t>
                </a:r>
                <a:endParaRPr lang="de-DE" sz="1600">
                  <a:latin typeface="Arial Narrow" panose="020B0604020202020204" pitchFamily="34" charset="0"/>
                  <a:cs typeface="Arial Narrow" panose="020B0604020202020204" pitchFamily="34" charset="0"/>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Arial Narrow" panose="020B0604020202020204" pitchFamily="34" charset="0"/>
                  <a:ea typeface="+mn-ea"/>
                  <a:cs typeface="Arial Narrow" panose="020B0604020202020204" pitchFamily="34" charset="0"/>
                </a:defRPr>
              </a:pPr>
              <a:endParaRPr lang="de-DE"/>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4020202020204" pitchFamily="34" charset="0"/>
                <a:ea typeface="+mn-ea"/>
                <a:cs typeface="Arial Narrow" panose="020B0604020202020204" pitchFamily="34" charset="0"/>
              </a:defRPr>
            </a:pPr>
            <a:endParaRPr lang="de-DE"/>
          </a:p>
        </c:txPr>
        <c:crossAx val="1712873312"/>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2700" cap="rnd">
              <a:solidFill>
                <a:srgbClr val="7030A0"/>
              </a:solidFill>
              <a:round/>
            </a:ln>
            <a:effectLst/>
          </c:spPr>
          <c:marker>
            <c:symbol val="circle"/>
            <c:size val="6"/>
            <c:spPr>
              <a:solidFill>
                <a:srgbClr val="7030A0"/>
              </a:solidFill>
              <a:ln w="9525">
                <a:noFill/>
              </a:ln>
              <a:effectLst/>
            </c:spPr>
          </c:marker>
          <c:xVal>
            <c:numRef>
              <c:f>Vetroz_Blätter!$H$40:$H$43</c:f>
              <c:numCache>
                <c:formatCode>h:mm</c:formatCode>
                <c:ptCount val="4"/>
                <c:pt idx="0">
                  <c:v>0.14444444444444446</c:v>
                </c:pt>
                <c:pt idx="1">
                  <c:v>0.37986111111111115</c:v>
                </c:pt>
                <c:pt idx="2">
                  <c:v>0.53263888888888888</c:v>
                </c:pt>
                <c:pt idx="3">
                  <c:v>0.65486111111111112</c:v>
                </c:pt>
              </c:numCache>
            </c:numRef>
          </c:xVal>
          <c:yVal>
            <c:numRef>
              <c:f>Vetroz_Blätter!$S$40:$S$43</c:f>
              <c:numCache>
                <c:formatCode>0.0</c:formatCode>
                <c:ptCount val="4"/>
                <c:pt idx="0">
                  <c:v>15.333333333333334</c:v>
                </c:pt>
                <c:pt idx="1">
                  <c:v>21.333333333333332</c:v>
                </c:pt>
                <c:pt idx="2">
                  <c:v>25</c:v>
                </c:pt>
                <c:pt idx="3">
                  <c:v>24.666666666666668</c:v>
                </c:pt>
              </c:numCache>
            </c:numRef>
          </c:yVal>
          <c:smooth val="0"/>
          <c:extLst>
            <c:ext xmlns:c16="http://schemas.microsoft.com/office/drawing/2014/chart" uri="{C3380CC4-5D6E-409C-BE32-E72D297353CC}">
              <c16:uniqueId val="{00000000-D8DA-734A-A31C-1C48F422F922}"/>
            </c:ext>
          </c:extLst>
        </c:ser>
        <c:ser>
          <c:idx val="1"/>
          <c:order val="1"/>
          <c:spPr>
            <a:ln w="12700" cap="rnd">
              <a:solidFill>
                <a:srgbClr val="7030A0"/>
              </a:solidFill>
              <a:prstDash val="dash"/>
              <a:round/>
            </a:ln>
            <a:effectLst/>
          </c:spPr>
          <c:marker>
            <c:symbol val="none"/>
          </c:marker>
          <c:xVal>
            <c:numRef>
              <c:f>Vetroz_Blätter!$H$37:$H$39</c:f>
              <c:numCache>
                <c:formatCode>h:mm</c:formatCode>
                <c:ptCount val="3"/>
                <c:pt idx="0">
                  <c:v>0.37708333333333338</c:v>
                </c:pt>
                <c:pt idx="1">
                  <c:v>0.53055555555555556</c:v>
                </c:pt>
                <c:pt idx="2">
                  <c:v>0.65</c:v>
                </c:pt>
              </c:numCache>
            </c:numRef>
          </c:xVal>
          <c:yVal>
            <c:numRef>
              <c:f>Vetroz_Blätter!$S$37:$S$39</c:f>
              <c:numCache>
                <c:formatCode>0.0</c:formatCode>
                <c:ptCount val="3"/>
                <c:pt idx="0">
                  <c:v>19.666666666666668</c:v>
                </c:pt>
                <c:pt idx="1">
                  <c:v>23.666666666666668</c:v>
                </c:pt>
                <c:pt idx="2">
                  <c:v>23.666666666666668</c:v>
                </c:pt>
              </c:numCache>
            </c:numRef>
          </c:yVal>
          <c:smooth val="0"/>
          <c:extLst>
            <c:ext xmlns:c16="http://schemas.microsoft.com/office/drawing/2014/chart" uri="{C3380CC4-5D6E-409C-BE32-E72D297353CC}">
              <c16:uniqueId val="{00000001-D8DA-734A-A31C-1C48F422F922}"/>
            </c:ext>
          </c:extLst>
        </c:ser>
        <c:ser>
          <c:idx val="2"/>
          <c:order val="2"/>
          <c:spPr>
            <a:ln w="12700" cap="rnd">
              <a:solidFill>
                <a:srgbClr val="FFC000"/>
              </a:solidFill>
              <a:round/>
            </a:ln>
            <a:effectLst/>
          </c:spPr>
          <c:marker>
            <c:symbol val="circle"/>
            <c:size val="6"/>
            <c:spPr>
              <a:solidFill>
                <a:srgbClr val="FFC000"/>
              </a:solidFill>
              <a:ln w="9525">
                <a:noFill/>
              </a:ln>
              <a:effectLst/>
            </c:spPr>
          </c:marker>
          <c:xVal>
            <c:numRef>
              <c:f>Vetroz_Blätter!$H$99:$H$102</c:f>
              <c:numCache>
                <c:formatCode>h:mm</c:formatCode>
                <c:ptCount val="4"/>
                <c:pt idx="0">
                  <c:v>0.15208333333333332</c:v>
                </c:pt>
                <c:pt idx="1">
                  <c:v>0.37152777777777773</c:v>
                </c:pt>
                <c:pt idx="2">
                  <c:v>0.52430555555555558</c:v>
                </c:pt>
                <c:pt idx="3">
                  <c:v>0.64583333333333337</c:v>
                </c:pt>
              </c:numCache>
            </c:numRef>
          </c:xVal>
          <c:yVal>
            <c:numRef>
              <c:f>Vetroz_Blätter!$S$99:$S$102</c:f>
              <c:numCache>
                <c:formatCode>0.0</c:formatCode>
                <c:ptCount val="4"/>
                <c:pt idx="0">
                  <c:v>16.333333333333332</c:v>
                </c:pt>
                <c:pt idx="1">
                  <c:v>22</c:v>
                </c:pt>
                <c:pt idx="2">
                  <c:v>25.666666666666668</c:v>
                </c:pt>
                <c:pt idx="3">
                  <c:v>25.666666666666668</c:v>
                </c:pt>
              </c:numCache>
            </c:numRef>
          </c:yVal>
          <c:smooth val="0"/>
          <c:extLst>
            <c:ext xmlns:c16="http://schemas.microsoft.com/office/drawing/2014/chart" uri="{C3380CC4-5D6E-409C-BE32-E72D297353CC}">
              <c16:uniqueId val="{00000002-D8DA-734A-A31C-1C48F422F922}"/>
            </c:ext>
          </c:extLst>
        </c:ser>
        <c:ser>
          <c:idx val="3"/>
          <c:order val="3"/>
          <c:spPr>
            <a:ln w="12700" cap="rnd">
              <a:solidFill>
                <a:srgbClr val="FFC000"/>
              </a:solidFill>
              <a:prstDash val="dash"/>
              <a:round/>
            </a:ln>
            <a:effectLst/>
          </c:spPr>
          <c:marker>
            <c:symbol val="none"/>
          </c:marker>
          <c:xVal>
            <c:numRef>
              <c:f>Vetroz_Blätter!$H$96:$H$98</c:f>
              <c:numCache>
                <c:formatCode>h:mm</c:formatCode>
                <c:ptCount val="3"/>
                <c:pt idx="0">
                  <c:v>0.3659722222222222</c:v>
                </c:pt>
                <c:pt idx="1">
                  <c:v>0.51944444444444449</c:v>
                </c:pt>
                <c:pt idx="2">
                  <c:v>0.64027777777777783</c:v>
                </c:pt>
              </c:numCache>
            </c:numRef>
          </c:xVal>
          <c:yVal>
            <c:numRef>
              <c:f>Vetroz_Blätter!$S$96:$S$98</c:f>
              <c:numCache>
                <c:formatCode>0.0</c:formatCode>
                <c:ptCount val="3"/>
                <c:pt idx="0">
                  <c:v>19</c:v>
                </c:pt>
                <c:pt idx="1">
                  <c:v>23</c:v>
                </c:pt>
                <c:pt idx="2">
                  <c:v>24</c:v>
                </c:pt>
              </c:numCache>
            </c:numRef>
          </c:yVal>
          <c:smooth val="0"/>
          <c:extLst>
            <c:ext xmlns:c16="http://schemas.microsoft.com/office/drawing/2014/chart" uri="{C3380CC4-5D6E-409C-BE32-E72D297353CC}">
              <c16:uniqueId val="{00000003-D8DA-734A-A31C-1C48F422F922}"/>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Vetroz_Blätter!$H$162:$H$165</c:f>
              <c:numCache>
                <c:formatCode>h:mm</c:formatCode>
                <c:ptCount val="4"/>
                <c:pt idx="0">
                  <c:v>0.13263888888888889</c:v>
                </c:pt>
                <c:pt idx="1">
                  <c:v>0.36249999999999999</c:v>
                </c:pt>
                <c:pt idx="2">
                  <c:v>0.51458333333333328</c:v>
                </c:pt>
                <c:pt idx="3">
                  <c:v>0.63611111111111118</c:v>
                </c:pt>
              </c:numCache>
            </c:numRef>
          </c:xVal>
          <c:yVal>
            <c:numRef>
              <c:f>Vetroz_Blätter!$S$162:$S$165</c:f>
              <c:numCache>
                <c:formatCode>0.0</c:formatCode>
                <c:ptCount val="4"/>
                <c:pt idx="0">
                  <c:v>14</c:v>
                </c:pt>
                <c:pt idx="1">
                  <c:v>21.333333333333332</c:v>
                </c:pt>
                <c:pt idx="2">
                  <c:v>23.333333333333332</c:v>
                </c:pt>
                <c:pt idx="3">
                  <c:v>26</c:v>
                </c:pt>
              </c:numCache>
            </c:numRef>
          </c:yVal>
          <c:smooth val="0"/>
          <c:extLst>
            <c:ext xmlns:c16="http://schemas.microsoft.com/office/drawing/2014/chart" uri="{C3380CC4-5D6E-409C-BE32-E72D297353CC}">
              <c16:uniqueId val="{00000004-D8DA-734A-A31C-1C48F422F922}"/>
            </c:ext>
          </c:extLst>
        </c:ser>
        <c:ser>
          <c:idx val="5"/>
          <c:order val="5"/>
          <c:spPr>
            <a:ln w="12700" cap="rnd">
              <a:solidFill>
                <a:schemeClr val="tx1"/>
              </a:solidFill>
              <a:prstDash val="dash"/>
              <a:round/>
            </a:ln>
            <a:effectLst/>
          </c:spPr>
          <c:marker>
            <c:symbol val="none"/>
          </c:marker>
          <c:xVal>
            <c:numRef>
              <c:f>Vetroz_Blätter!$H$159:$H$161</c:f>
              <c:numCache>
                <c:formatCode>h:mm</c:formatCode>
                <c:ptCount val="3"/>
                <c:pt idx="0">
                  <c:v>0.36041666666666666</c:v>
                </c:pt>
                <c:pt idx="1">
                  <c:v>0.5083333333333333</c:v>
                </c:pt>
                <c:pt idx="2">
                  <c:v>0.62916666666666665</c:v>
                </c:pt>
              </c:numCache>
            </c:numRef>
          </c:xVal>
          <c:yVal>
            <c:numRef>
              <c:f>Vetroz_Blätter!$S$159:$S$161</c:f>
              <c:numCache>
                <c:formatCode>0.0</c:formatCode>
                <c:ptCount val="3"/>
                <c:pt idx="0">
                  <c:v>18</c:v>
                </c:pt>
                <c:pt idx="1">
                  <c:v>23.666666666666668</c:v>
                </c:pt>
                <c:pt idx="2">
                  <c:v>22</c:v>
                </c:pt>
              </c:numCache>
            </c:numRef>
          </c:yVal>
          <c:smooth val="0"/>
          <c:extLst>
            <c:ext xmlns:c16="http://schemas.microsoft.com/office/drawing/2014/chart" uri="{C3380CC4-5D6E-409C-BE32-E72D297353CC}">
              <c16:uniqueId val="{00000005-D8DA-734A-A31C-1C48F422F922}"/>
            </c:ext>
          </c:extLst>
        </c:ser>
        <c:ser>
          <c:idx val="6"/>
          <c:order val="6"/>
          <c:spPr>
            <a:ln w="12700" cap="rnd">
              <a:solidFill>
                <a:srgbClr val="FF0000"/>
              </a:solidFill>
              <a:prstDash val="solid"/>
              <a:round/>
            </a:ln>
            <a:effectLst/>
          </c:spPr>
          <c:marker>
            <c:symbol val="circle"/>
            <c:size val="6"/>
            <c:spPr>
              <a:solidFill>
                <a:srgbClr val="FF0000"/>
              </a:solidFill>
              <a:ln w="9525">
                <a:noFill/>
              </a:ln>
              <a:effectLst/>
            </c:spPr>
          </c:marker>
          <c:xVal>
            <c:numRef>
              <c:f>Vetroz_Blätter!$H$227:$H$230</c:f>
              <c:numCache>
                <c:formatCode>h:mm</c:formatCode>
                <c:ptCount val="4"/>
                <c:pt idx="0">
                  <c:v>0.12847222222222224</c:v>
                </c:pt>
                <c:pt idx="1">
                  <c:v>0.35416666666666669</c:v>
                </c:pt>
                <c:pt idx="2">
                  <c:v>0.50347222222222221</c:v>
                </c:pt>
                <c:pt idx="3">
                  <c:v>0.62638888888888888</c:v>
                </c:pt>
              </c:numCache>
            </c:numRef>
          </c:xVal>
          <c:yVal>
            <c:numRef>
              <c:f>Vetroz_Blätter!$S$227:$S$230</c:f>
              <c:numCache>
                <c:formatCode>0.0</c:formatCode>
                <c:ptCount val="4"/>
                <c:pt idx="0">
                  <c:v>13.333333333333334</c:v>
                </c:pt>
                <c:pt idx="1">
                  <c:v>22.333333333333332</c:v>
                </c:pt>
                <c:pt idx="2">
                  <c:v>22.333333333333332</c:v>
                </c:pt>
                <c:pt idx="3">
                  <c:v>23.333333333333332</c:v>
                </c:pt>
              </c:numCache>
            </c:numRef>
          </c:yVal>
          <c:smooth val="0"/>
          <c:extLst>
            <c:ext xmlns:c16="http://schemas.microsoft.com/office/drawing/2014/chart" uri="{C3380CC4-5D6E-409C-BE32-E72D297353CC}">
              <c16:uniqueId val="{00000006-D8DA-734A-A31C-1C48F422F922}"/>
            </c:ext>
          </c:extLst>
        </c:ser>
        <c:ser>
          <c:idx val="7"/>
          <c:order val="7"/>
          <c:spPr>
            <a:ln w="12700" cap="rnd">
              <a:solidFill>
                <a:srgbClr val="FF0000"/>
              </a:solidFill>
              <a:prstDash val="dash"/>
              <a:round/>
            </a:ln>
            <a:effectLst/>
          </c:spPr>
          <c:marker>
            <c:symbol val="none"/>
          </c:marker>
          <c:xVal>
            <c:numRef>
              <c:f>Vetroz_Blätter!$H$224:$H$226</c:f>
              <c:numCache>
                <c:formatCode>h:mm</c:formatCode>
                <c:ptCount val="3"/>
                <c:pt idx="0">
                  <c:v>0.35069444444444442</c:v>
                </c:pt>
                <c:pt idx="1">
                  <c:v>0.49722222222222223</c:v>
                </c:pt>
                <c:pt idx="2">
                  <c:v>0.62083333333333335</c:v>
                </c:pt>
              </c:numCache>
            </c:numRef>
          </c:xVal>
          <c:yVal>
            <c:numRef>
              <c:f>Vetroz_Blätter!$S$224:$S$226</c:f>
              <c:numCache>
                <c:formatCode>0.0</c:formatCode>
                <c:ptCount val="3"/>
                <c:pt idx="0">
                  <c:v>19.333333333333332</c:v>
                </c:pt>
                <c:pt idx="1">
                  <c:v>19.666666666666668</c:v>
                </c:pt>
                <c:pt idx="2">
                  <c:v>19.666666666666668</c:v>
                </c:pt>
              </c:numCache>
            </c:numRef>
          </c:yVal>
          <c:smooth val="0"/>
          <c:extLst>
            <c:ext xmlns:c16="http://schemas.microsoft.com/office/drawing/2014/chart" uri="{C3380CC4-5D6E-409C-BE32-E72D297353CC}">
              <c16:uniqueId val="{00000007-D8DA-734A-A31C-1C48F422F922}"/>
            </c:ext>
          </c:extLst>
        </c:ser>
        <c:ser>
          <c:idx val="8"/>
          <c:order val="8"/>
          <c:spPr>
            <a:ln w="12700" cap="rnd">
              <a:solidFill>
                <a:srgbClr val="00B0F0"/>
              </a:solidFill>
              <a:round/>
            </a:ln>
            <a:effectLst/>
          </c:spPr>
          <c:marker>
            <c:symbol val="circle"/>
            <c:size val="6"/>
            <c:spPr>
              <a:solidFill>
                <a:srgbClr val="00B0F0"/>
              </a:solidFill>
              <a:ln w="9525">
                <a:noFill/>
              </a:ln>
              <a:effectLst/>
            </c:spPr>
          </c:marker>
          <c:xVal>
            <c:numRef>
              <c:f>Vetroz_Blätter!$H$303:$H$306</c:f>
              <c:numCache>
                <c:formatCode>h:mm</c:formatCode>
                <c:ptCount val="4"/>
                <c:pt idx="0">
                  <c:v>0.1173611111111111</c:v>
                </c:pt>
                <c:pt idx="1">
                  <c:v>0.34513888888888888</c:v>
                </c:pt>
                <c:pt idx="2">
                  <c:v>0.4909722222222222</c:v>
                </c:pt>
                <c:pt idx="3">
                  <c:v>0.6166666666666667</c:v>
                </c:pt>
              </c:numCache>
            </c:numRef>
          </c:xVal>
          <c:yVal>
            <c:numRef>
              <c:f>Vetroz_Blätter!$S$303:$S$306</c:f>
              <c:numCache>
                <c:formatCode>0.0</c:formatCode>
                <c:ptCount val="4"/>
                <c:pt idx="0">
                  <c:v>14.333333333333334</c:v>
                </c:pt>
                <c:pt idx="1">
                  <c:v>19.666666666666668</c:v>
                </c:pt>
                <c:pt idx="2">
                  <c:v>20</c:v>
                </c:pt>
                <c:pt idx="3">
                  <c:v>20.666666666666668</c:v>
                </c:pt>
              </c:numCache>
            </c:numRef>
          </c:yVal>
          <c:smooth val="0"/>
          <c:extLst>
            <c:ext xmlns:c16="http://schemas.microsoft.com/office/drawing/2014/chart" uri="{C3380CC4-5D6E-409C-BE32-E72D297353CC}">
              <c16:uniqueId val="{00000008-D8DA-734A-A31C-1C48F422F922}"/>
            </c:ext>
          </c:extLst>
        </c:ser>
        <c:ser>
          <c:idx val="9"/>
          <c:order val="9"/>
          <c:spPr>
            <a:ln w="12700" cap="rnd">
              <a:solidFill>
                <a:srgbClr val="00B0F0"/>
              </a:solidFill>
              <a:prstDash val="dash"/>
              <a:round/>
            </a:ln>
            <a:effectLst/>
          </c:spPr>
          <c:marker>
            <c:symbol val="none"/>
          </c:marker>
          <c:xVal>
            <c:numRef>
              <c:f>Vetroz_Blätter!$H$300:$H$302</c:f>
              <c:numCache>
                <c:formatCode>h:mm</c:formatCode>
                <c:ptCount val="3"/>
                <c:pt idx="0">
                  <c:v>0.34027777777777773</c:v>
                </c:pt>
                <c:pt idx="1">
                  <c:v>0.48958333333333331</c:v>
                </c:pt>
                <c:pt idx="2">
                  <c:v>0.61458333333333337</c:v>
                </c:pt>
              </c:numCache>
            </c:numRef>
          </c:xVal>
          <c:yVal>
            <c:numRef>
              <c:f>Vetroz_Blätter!$S$300:$S$302</c:f>
              <c:numCache>
                <c:formatCode>0.0</c:formatCode>
                <c:ptCount val="3"/>
                <c:pt idx="0">
                  <c:v>16.333333333333332</c:v>
                </c:pt>
                <c:pt idx="1">
                  <c:v>19.666666666666668</c:v>
                </c:pt>
                <c:pt idx="2">
                  <c:v>20.333333333333332</c:v>
                </c:pt>
              </c:numCache>
            </c:numRef>
          </c:yVal>
          <c:smooth val="0"/>
          <c:extLst>
            <c:ext xmlns:c16="http://schemas.microsoft.com/office/drawing/2014/chart" uri="{C3380CC4-5D6E-409C-BE32-E72D297353CC}">
              <c16:uniqueId val="{00000009-D8DA-734A-A31C-1C48F422F922}"/>
            </c:ext>
          </c:extLst>
        </c:ser>
        <c:ser>
          <c:idx val="10"/>
          <c:order val="10"/>
          <c:spPr>
            <a:ln w="12700" cap="rnd">
              <a:solidFill>
                <a:srgbClr val="92D050"/>
              </a:solidFill>
              <a:round/>
            </a:ln>
            <a:effectLst/>
          </c:spPr>
          <c:marker>
            <c:symbol val="circle"/>
            <c:size val="6"/>
            <c:spPr>
              <a:solidFill>
                <a:srgbClr val="92D050"/>
              </a:solidFill>
              <a:ln w="9525">
                <a:noFill/>
              </a:ln>
              <a:effectLst/>
            </c:spPr>
          </c:marker>
          <c:xVal>
            <c:numRef>
              <c:f>Vetroz_Blätter!$H$379:$H$382</c:f>
              <c:numCache>
                <c:formatCode>h:mm</c:formatCode>
                <c:ptCount val="4"/>
                <c:pt idx="0">
                  <c:v>0.11458333333333333</c:v>
                </c:pt>
                <c:pt idx="1">
                  <c:v>0.33333333333333331</c:v>
                </c:pt>
                <c:pt idx="2">
                  <c:v>0.48333333333333334</c:v>
                </c:pt>
                <c:pt idx="3">
                  <c:v>0.60902777777777783</c:v>
                </c:pt>
              </c:numCache>
            </c:numRef>
          </c:xVal>
          <c:yVal>
            <c:numRef>
              <c:f>Vetroz_Blätter!$S$379:$S$382</c:f>
              <c:numCache>
                <c:formatCode>0.0</c:formatCode>
                <c:ptCount val="4"/>
                <c:pt idx="0">
                  <c:v>17</c:v>
                </c:pt>
                <c:pt idx="1">
                  <c:v>22.666666666666668</c:v>
                </c:pt>
                <c:pt idx="2">
                  <c:v>26.333333333333332</c:v>
                </c:pt>
                <c:pt idx="3">
                  <c:v>26.666666666666668</c:v>
                </c:pt>
              </c:numCache>
            </c:numRef>
          </c:yVal>
          <c:smooth val="0"/>
          <c:extLst>
            <c:ext xmlns:c16="http://schemas.microsoft.com/office/drawing/2014/chart" uri="{C3380CC4-5D6E-409C-BE32-E72D297353CC}">
              <c16:uniqueId val="{0000000A-D8DA-734A-A31C-1C48F422F922}"/>
            </c:ext>
          </c:extLst>
        </c:ser>
        <c:ser>
          <c:idx val="11"/>
          <c:order val="11"/>
          <c:spPr>
            <a:ln w="12700" cap="rnd">
              <a:solidFill>
                <a:srgbClr val="92D050"/>
              </a:solidFill>
              <a:prstDash val="dash"/>
              <a:round/>
            </a:ln>
            <a:effectLst/>
          </c:spPr>
          <c:marker>
            <c:symbol val="none"/>
          </c:marker>
          <c:xVal>
            <c:numRef>
              <c:f>Vetroz_Blätter!$H$376:$H$378</c:f>
              <c:numCache>
                <c:formatCode>h:mm</c:formatCode>
                <c:ptCount val="3"/>
                <c:pt idx="0">
                  <c:v>0.3347222222222222</c:v>
                </c:pt>
                <c:pt idx="1">
                  <c:v>0.47916666666666669</c:v>
                </c:pt>
                <c:pt idx="2">
                  <c:v>0.60416666666666663</c:v>
                </c:pt>
              </c:numCache>
            </c:numRef>
          </c:xVal>
          <c:yVal>
            <c:numRef>
              <c:f>Vetroz_Blätter!$S$376:$S$378</c:f>
              <c:numCache>
                <c:formatCode>0.0</c:formatCode>
                <c:ptCount val="3"/>
                <c:pt idx="0">
                  <c:v>18.333333333333332</c:v>
                </c:pt>
                <c:pt idx="1">
                  <c:v>24.333333333333332</c:v>
                </c:pt>
                <c:pt idx="2">
                  <c:v>25.666666666666668</c:v>
                </c:pt>
              </c:numCache>
            </c:numRef>
          </c:yVal>
          <c:smooth val="0"/>
          <c:extLst>
            <c:ext xmlns:c16="http://schemas.microsoft.com/office/drawing/2014/chart" uri="{C3380CC4-5D6E-409C-BE32-E72D297353CC}">
              <c16:uniqueId val="{0000000B-D8DA-734A-A31C-1C48F422F922}"/>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2700" cap="rnd">
              <a:solidFill>
                <a:srgbClr val="7030A0"/>
              </a:solidFill>
              <a:round/>
            </a:ln>
            <a:effectLst/>
          </c:spPr>
          <c:marker>
            <c:symbol val="circle"/>
            <c:size val="6"/>
            <c:spPr>
              <a:solidFill>
                <a:srgbClr val="7030A0"/>
              </a:solidFill>
              <a:ln w="9525">
                <a:noFill/>
              </a:ln>
              <a:effectLst/>
            </c:spPr>
          </c:marker>
          <c:xVal>
            <c:numRef>
              <c:f>Vetroz_Blätter!$H$33:$H$35</c:f>
              <c:numCache>
                <c:formatCode>h:mm</c:formatCode>
                <c:ptCount val="3"/>
                <c:pt idx="0">
                  <c:v>0.21458333333333335</c:v>
                </c:pt>
                <c:pt idx="1">
                  <c:v>0.55277777777777781</c:v>
                </c:pt>
                <c:pt idx="2">
                  <c:v>0.65833333333333333</c:v>
                </c:pt>
              </c:numCache>
            </c:numRef>
          </c:xVal>
          <c:yVal>
            <c:numRef>
              <c:f>Vetroz_Blätter!$S$33:$S$35</c:f>
              <c:numCache>
                <c:formatCode>0.0</c:formatCode>
                <c:ptCount val="3"/>
                <c:pt idx="0">
                  <c:v>18.666666666666668</c:v>
                </c:pt>
                <c:pt idx="1">
                  <c:v>29</c:v>
                </c:pt>
                <c:pt idx="2">
                  <c:v>28.666666666666668</c:v>
                </c:pt>
              </c:numCache>
            </c:numRef>
          </c:yVal>
          <c:smooth val="0"/>
          <c:extLst>
            <c:ext xmlns:c16="http://schemas.microsoft.com/office/drawing/2014/chart" uri="{C3380CC4-5D6E-409C-BE32-E72D297353CC}">
              <c16:uniqueId val="{00000000-08FC-E749-B170-9F30C85D67A2}"/>
            </c:ext>
          </c:extLst>
        </c:ser>
        <c:ser>
          <c:idx val="1"/>
          <c:order val="1"/>
          <c:spPr>
            <a:ln w="12700" cap="rnd">
              <a:solidFill>
                <a:srgbClr val="7030A0"/>
              </a:solidFill>
              <a:prstDash val="dash"/>
              <a:round/>
            </a:ln>
            <a:effectLst/>
          </c:spPr>
          <c:marker>
            <c:symbol val="none"/>
          </c:marker>
          <c:xVal>
            <c:numRef>
              <c:f>Vetroz_Blätter!$H$31:$H$32</c:f>
              <c:numCache>
                <c:formatCode>h:mm</c:formatCode>
                <c:ptCount val="2"/>
                <c:pt idx="0">
                  <c:v>0.55486111111111114</c:v>
                </c:pt>
                <c:pt idx="1">
                  <c:v>0.66111111111111109</c:v>
                </c:pt>
              </c:numCache>
            </c:numRef>
          </c:xVal>
          <c:yVal>
            <c:numRef>
              <c:f>Vetroz_Blätter!$S$31:$S$32</c:f>
              <c:numCache>
                <c:formatCode>0.0</c:formatCode>
                <c:ptCount val="2"/>
                <c:pt idx="0">
                  <c:v>27</c:v>
                </c:pt>
                <c:pt idx="1">
                  <c:v>26.333333333333332</c:v>
                </c:pt>
              </c:numCache>
            </c:numRef>
          </c:yVal>
          <c:smooth val="0"/>
          <c:extLst>
            <c:ext xmlns:c16="http://schemas.microsoft.com/office/drawing/2014/chart" uri="{C3380CC4-5D6E-409C-BE32-E72D297353CC}">
              <c16:uniqueId val="{00000001-08FC-E749-B170-9F30C85D67A2}"/>
            </c:ext>
          </c:extLst>
        </c:ser>
        <c:ser>
          <c:idx val="2"/>
          <c:order val="2"/>
          <c:spPr>
            <a:ln w="12700" cap="rnd">
              <a:solidFill>
                <a:srgbClr val="FFC000"/>
              </a:solidFill>
              <a:round/>
            </a:ln>
            <a:effectLst/>
          </c:spPr>
          <c:marker>
            <c:symbol val="circle"/>
            <c:size val="6"/>
            <c:spPr>
              <a:solidFill>
                <a:srgbClr val="FFC000"/>
              </a:solidFill>
              <a:ln w="9525">
                <a:noFill/>
              </a:ln>
              <a:effectLst/>
            </c:spPr>
          </c:marker>
          <c:xVal>
            <c:numRef>
              <c:f>Vetroz_Blätter!$H$92:$H$94</c:f>
              <c:numCache>
                <c:formatCode>h:mm</c:formatCode>
                <c:ptCount val="3"/>
                <c:pt idx="0">
                  <c:v>0.21041666666666667</c:v>
                </c:pt>
                <c:pt idx="1">
                  <c:v>0.53472222222222221</c:v>
                </c:pt>
                <c:pt idx="2">
                  <c:v>0.64513888888888882</c:v>
                </c:pt>
              </c:numCache>
            </c:numRef>
          </c:xVal>
          <c:yVal>
            <c:numRef>
              <c:f>Vetroz_Blätter!$S$92:$S$94</c:f>
              <c:numCache>
                <c:formatCode>0.0</c:formatCode>
                <c:ptCount val="3"/>
                <c:pt idx="0">
                  <c:v>18.333333333333332</c:v>
                </c:pt>
                <c:pt idx="1">
                  <c:v>28.666666666666668</c:v>
                </c:pt>
                <c:pt idx="2">
                  <c:v>29.333333333333332</c:v>
                </c:pt>
              </c:numCache>
            </c:numRef>
          </c:yVal>
          <c:smooth val="0"/>
          <c:extLst>
            <c:ext xmlns:c16="http://schemas.microsoft.com/office/drawing/2014/chart" uri="{C3380CC4-5D6E-409C-BE32-E72D297353CC}">
              <c16:uniqueId val="{00000002-08FC-E749-B170-9F30C85D67A2}"/>
            </c:ext>
          </c:extLst>
        </c:ser>
        <c:ser>
          <c:idx val="3"/>
          <c:order val="3"/>
          <c:spPr>
            <a:ln w="12700" cap="rnd">
              <a:solidFill>
                <a:srgbClr val="FFC000"/>
              </a:solidFill>
              <a:prstDash val="dash"/>
              <a:round/>
            </a:ln>
            <a:effectLst/>
          </c:spPr>
          <c:marker>
            <c:symbol val="none"/>
          </c:marker>
          <c:xVal>
            <c:numRef>
              <c:f>Vetroz_Blätter!$H$90:$H$91</c:f>
              <c:numCache>
                <c:formatCode>h:mm</c:formatCode>
                <c:ptCount val="2"/>
                <c:pt idx="0">
                  <c:v>0.53819444444444442</c:v>
                </c:pt>
                <c:pt idx="1">
                  <c:v>0.64861111111111114</c:v>
                </c:pt>
              </c:numCache>
            </c:numRef>
          </c:xVal>
          <c:yVal>
            <c:numRef>
              <c:f>Vetroz_Blätter!$S$90:$S$91</c:f>
              <c:numCache>
                <c:formatCode>0.0</c:formatCode>
                <c:ptCount val="2"/>
                <c:pt idx="0">
                  <c:v>26</c:v>
                </c:pt>
                <c:pt idx="1">
                  <c:v>26</c:v>
                </c:pt>
              </c:numCache>
            </c:numRef>
          </c:yVal>
          <c:smooth val="0"/>
          <c:extLst>
            <c:ext xmlns:c16="http://schemas.microsoft.com/office/drawing/2014/chart" uri="{C3380CC4-5D6E-409C-BE32-E72D297353CC}">
              <c16:uniqueId val="{00000003-08FC-E749-B170-9F30C85D67A2}"/>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Vetroz_Blätter!$H$155:$H$157</c:f>
              <c:numCache>
                <c:formatCode>h:mm</c:formatCode>
                <c:ptCount val="3"/>
                <c:pt idx="0">
                  <c:v>0.20555555555555557</c:v>
                </c:pt>
                <c:pt idx="1">
                  <c:v>0.52083333333333337</c:v>
                </c:pt>
                <c:pt idx="2">
                  <c:v>0.63402777777777775</c:v>
                </c:pt>
              </c:numCache>
            </c:numRef>
          </c:xVal>
          <c:yVal>
            <c:numRef>
              <c:f>Vetroz_Blätter!$S$155:$S$157</c:f>
              <c:numCache>
                <c:formatCode>0.0</c:formatCode>
                <c:ptCount val="3"/>
                <c:pt idx="0">
                  <c:v>19</c:v>
                </c:pt>
                <c:pt idx="1">
                  <c:v>30</c:v>
                </c:pt>
                <c:pt idx="2">
                  <c:v>31</c:v>
                </c:pt>
              </c:numCache>
            </c:numRef>
          </c:yVal>
          <c:smooth val="0"/>
          <c:extLst>
            <c:ext xmlns:c16="http://schemas.microsoft.com/office/drawing/2014/chart" uri="{C3380CC4-5D6E-409C-BE32-E72D297353CC}">
              <c16:uniqueId val="{00000004-08FC-E749-B170-9F30C85D67A2}"/>
            </c:ext>
          </c:extLst>
        </c:ser>
        <c:ser>
          <c:idx val="5"/>
          <c:order val="5"/>
          <c:spPr>
            <a:ln w="12700" cap="rnd">
              <a:solidFill>
                <a:schemeClr val="tx1"/>
              </a:solidFill>
              <a:prstDash val="dash"/>
              <a:round/>
            </a:ln>
            <a:effectLst/>
          </c:spPr>
          <c:marker>
            <c:symbol val="none"/>
          </c:marker>
          <c:xVal>
            <c:numRef>
              <c:f>Vetroz_Blätter!$H$153:$H$154</c:f>
              <c:numCache>
                <c:formatCode>h:mm</c:formatCode>
                <c:ptCount val="2"/>
                <c:pt idx="0">
                  <c:v>0.52430555555555558</c:v>
                </c:pt>
                <c:pt idx="1">
                  <c:v>0.63611111111111118</c:v>
                </c:pt>
              </c:numCache>
            </c:numRef>
          </c:xVal>
          <c:yVal>
            <c:numRef>
              <c:f>Vetroz_Blätter!$S$153:$S$154</c:f>
              <c:numCache>
                <c:formatCode>0.0</c:formatCode>
                <c:ptCount val="2"/>
                <c:pt idx="0">
                  <c:v>26.666666666666668</c:v>
                </c:pt>
                <c:pt idx="1">
                  <c:v>27.666666666666668</c:v>
                </c:pt>
              </c:numCache>
            </c:numRef>
          </c:yVal>
          <c:smooth val="0"/>
          <c:extLst>
            <c:ext xmlns:c16="http://schemas.microsoft.com/office/drawing/2014/chart" uri="{C3380CC4-5D6E-409C-BE32-E72D297353CC}">
              <c16:uniqueId val="{00000005-08FC-E749-B170-9F30C85D67A2}"/>
            </c:ext>
          </c:extLst>
        </c:ser>
        <c:ser>
          <c:idx val="6"/>
          <c:order val="6"/>
          <c:spPr>
            <a:ln w="12700" cap="rnd">
              <a:solidFill>
                <a:srgbClr val="FF0000"/>
              </a:solidFill>
              <a:prstDash val="solid"/>
              <a:round/>
            </a:ln>
            <a:effectLst/>
          </c:spPr>
          <c:marker>
            <c:symbol val="circle"/>
            <c:size val="6"/>
            <c:spPr>
              <a:solidFill>
                <a:srgbClr val="FF0000"/>
              </a:solidFill>
              <a:ln w="9525">
                <a:noFill/>
              </a:ln>
              <a:effectLst/>
            </c:spPr>
          </c:marker>
          <c:xVal>
            <c:numRef>
              <c:f>Vetroz_Blätter!$H$220:$H$222</c:f>
              <c:numCache>
                <c:formatCode>h:mm</c:formatCode>
                <c:ptCount val="3"/>
                <c:pt idx="0">
                  <c:v>0.19999999999999998</c:v>
                </c:pt>
                <c:pt idx="1">
                  <c:v>0.50624999999999998</c:v>
                </c:pt>
                <c:pt idx="2">
                  <c:v>0.61944444444444446</c:v>
                </c:pt>
              </c:numCache>
            </c:numRef>
          </c:xVal>
          <c:yVal>
            <c:numRef>
              <c:f>Vetroz_Blätter!$S$220:$S$222</c:f>
              <c:numCache>
                <c:formatCode>0.0</c:formatCode>
                <c:ptCount val="3"/>
                <c:pt idx="0">
                  <c:v>17.333333333333332</c:v>
                </c:pt>
                <c:pt idx="1">
                  <c:v>24.333333333333332</c:v>
                </c:pt>
                <c:pt idx="2">
                  <c:v>27.333333333333332</c:v>
                </c:pt>
              </c:numCache>
            </c:numRef>
          </c:yVal>
          <c:smooth val="0"/>
          <c:extLst>
            <c:ext xmlns:c16="http://schemas.microsoft.com/office/drawing/2014/chart" uri="{C3380CC4-5D6E-409C-BE32-E72D297353CC}">
              <c16:uniqueId val="{00000006-08FC-E749-B170-9F30C85D67A2}"/>
            </c:ext>
          </c:extLst>
        </c:ser>
        <c:ser>
          <c:idx val="7"/>
          <c:order val="7"/>
          <c:spPr>
            <a:ln w="12700" cap="rnd">
              <a:solidFill>
                <a:srgbClr val="FF0000"/>
              </a:solidFill>
              <a:prstDash val="dash"/>
              <a:round/>
            </a:ln>
            <a:effectLst/>
          </c:spPr>
          <c:marker>
            <c:symbol val="none"/>
          </c:marker>
          <c:xVal>
            <c:numRef>
              <c:f>Vetroz_Blätter!$H$218:$H$219</c:f>
              <c:numCache>
                <c:formatCode>h:mm</c:formatCode>
                <c:ptCount val="2"/>
                <c:pt idx="0">
                  <c:v>0.50902777777777775</c:v>
                </c:pt>
                <c:pt idx="1">
                  <c:v>0.62222222222222223</c:v>
                </c:pt>
              </c:numCache>
            </c:numRef>
          </c:xVal>
          <c:yVal>
            <c:numRef>
              <c:f>Vetroz_Blätter!$S$218:$S$219</c:f>
              <c:numCache>
                <c:formatCode>0.0</c:formatCode>
                <c:ptCount val="2"/>
                <c:pt idx="0">
                  <c:v>23.666666666666668</c:v>
                </c:pt>
                <c:pt idx="1">
                  <c:v>25.666666666666668</c:v>
                </c:pt>
              </c:numCache>
            </c:numRef>
          </c:yVal>
          <c:smooth val="0"/>
          <c:extLst>
            <c:ext xmlns:c16="http://schemas.microsoft.com/office/drawing/2014/chart" uri="{C3380CC4-5D6E-409C-BE32-E72D297353CC}">
              <c16:uniqueId val="{00000007-08FC-E749-B170-9F30C85D67A2}"/>
            </c:ext>
          </c:extLst>
        </c:ser>
        <c:ser>
          <c:idx val="8"/>
          <c:order val="8"/>
          <c:spPr>
            <a:ln w="12700" cap="rnd">
              <a:solidFill>
                <a:srgbClr val="00B0F0"/>
              </a:solidFill>
              <a:round/>
            </a:ln>
            <a:effectLst/>
          </c:spPr>
          <c:marker>
            <c:symbol val="circle"/>
            <c:size val="6"/>
            <c:spPr>
              <a:solidFill>
                <a:srgbClr val="00B0F0"/>
              </a:solidFill>
              <a:ln w="9525">
                <a:noFill/>
              </a:ln>
              <a:effectLst/>
            </c:spPr>
          </c:marker>
          <c:xVal>
            <c:numRef>
              <c:f>Vetroz_Blätter!$H$296:$H$298</c:f>
              <c:numCache>
                <c:formatCode>h:mm</c:formatCode>
                <c:ptCount val="3"/>
                <c:pt idx="0">
                  <c:v>0.19513888888888889</c:v>
                </c:pt>
                <c:pt idx="1">
                  <c:v>0.49305555555555558</c:v>
                </c:pt>
                <c:pt idx="2">
                  <c:v>0.6069444444444444</c:v>
                </c:pt>
              </c:numCache>
            </c:numRef>
          </c:xVal>
          <c:yVal>
            <c:numRef>
              <c:f>Vetroz_Blätter!$S$296:$S$298</c:f>
              <c:numCache>
                <c:formatCode>0.0</c:formatCode>
                <c:ptCount val="3"/>
                <c:pt idx="0">
                  <c:v>17.333333333333332</c:v>
                </c:pt>
                <c:pt idx="1">
                  <c:v>28</c:v>
                </c:pt>
                <c:pt idx="2">
                  <c:v>27.666666666666668</c:v>
                </c:pt>
              </c:numCache>
            </c:numRef>
          </c:yVal>
          <c:smooth val="0"/>
          <c:extLst>
            <c:ext xmlns:c16="http://schemas.microsoft.com/office/drawing/2014/chart" uri="{C3380CC4-5D6E-409C-BE32-E72D297353CC}">
              <c16:uniqueId val="{00000008-08FC-E749-B170-9F30C85D67A2}"/>
            </c:ext>
          </c:extLst>
        </c:ser>
        <c:ser>
          <c:idx val="9"/>
          <c:order val="9"/>
          <c:spPr>
            <a:ln w="12700" cap="rnd">
              <a:solidFill>
                <a:srgbClr val="00B0F0"/>
              </a:solidFill>
              <a:prstDash val="dash"/>
              <a:round/>
            </a:ln>
            <a:effectLst/>
          </c:spPr>
          <c:marker>
            <c:symbol val="none"/>
          </c:marker>
          <c:xVal>
            <c:numRef>
              <c:f>Vetroz_Blätter!$H$294:$H$295</c:f>
              <c:numCache>
                <c:formatCode>h:mm</c:formatCode>
                <c:ptCount val="2"/>
                <c:pt idx="0">
                  <c:v>0.49652777777777773</c:v>
                </c:pt>
                <c:pt idx="1">
                  <c:v>0.60972222222222217</c:v>
                </c:pt>
              </c:numCache>
            </c:numRef>
          </c:xVal>
          <c:yVal>
            <c:numRef>
              <c:f>Vetroz_Blätter!$S$294:$S$295</c:f>
              <c:numCache>
                <c:formatCode>0.0</c:formatCode>
                <c:ptCount val="2"/>
                <c:pt idx="0">
                  <c:v>26</c:v>
                </c:pt>
                <c:pt idx="1">
                  <c:v>27.333333333333332</c:v>
                </c:pt>
              </c:numCache>
            </c:numRef>
          </c:yVal>
          <c:smooth val="0"/>
          <c:extLst>
            <c:ext xmlns:c16="http://schemas.microsoft.com/office/drawing/2014/chart" uri="{C3380CC4-5D6E-409C-BE32-E72D297353CC}">
              <c16:uniqueId val="{00000009-08FC-E749-B170-9F30C85D67A2}"/>
            </c:ext>
          </c:extLst>
        </c:ser>
        <c:ser>
          <c:idx val="10"/>
          <c:order val="10"/>
          <c:spPr>
            <a:ln w="12700" cap="rnd">
              <a:solidFill>
                <a:srgbClr val="92D050"/>
              </a:solidFill>
              <a:round/>
            </a:ln>
            <a:effectLst/>
          </c:spPr>
          <c:marker>
            <c:symbol val="circle"/>
            <c:size val="6"/>
            <c:spPr>
              <a:solidFill>
                <a:srgbClr val="92D050"/>
              </a:solidFill>
              <a:ln w="9525">
                <a:noFill/>
              </a:ln>
              <a:effectLst/>
            </c:spPr>
          </c:marker>
          <c:xVal>
            <c:numRef>
              <c:f>Vetroz_Blätter!$H$372:$H$374</c:f>
              <c:numCache>
                <c:formatCode>h:mm</c:formatCode>
                <c:ptCount val="3"/>
                <c:pt idx="0">
                  <c:v>0.18958333333333333</c:v>
                </c:pt>
                <c:pt idx="1">
                  <c:v>0.47916666666666669</c:v>
                </c:pt>
                <c:pt idx="2">
                  <c:v>0.59583333333333333</c:v>
                </c:pt>
              </c:numCache>
            </c:numRef>
          </c:xVal>
          <c:yVal>
            <c:numRef>
              <c:f>Vetroz_Blätter!$S$372:$S$374</c:f>
              <c:numCache>
                <c:formatCode>0.0</c:formatCode>
                <c:ptCount val="3"/>
                <c:pt idx="0">
                  <c:v>17</c:v>
                </c:pt>
                <c:pt idx="1">
                  <c:v>29.333333333333332</c:v>
                </c:pt>
                <c:pt idx="2">
                  <c:v>29</c:v>
                </c:pt>
              </c:numCache>
            </c:numRef>
          </c:yVal>
          <c:smooth val="0"/>
          <c:extLst>
            <c:ext xmlns:c16="http://schemas.microsoft.com/office/drawing/2014/chart" uri="{C3380CC4-5D6E-409C-BE32-E72D297353CC}">
              <c16:uniqueId val="{0000000A-08FC-E749-B170-9F30C85D67A2}"/>
            </c:ext>
          </c:extLst>
        </c:ser>
        <c:ser>
          <c:idx val="11"/>
          <c:order val="11"/>
          <c:spPr>
            <a:ln w="12700" cap="rnd">
              <a:solidFill>
                <a:srgbClr val="92D050"/>
              </a:solidFill>
              <a:prstDash val="dash"/>
              <a:round/>
            </a:ln>
            <a:effectLst/>
          </c:spPr>
          <c:marker>
            <c:symbol val="none"/>
          </c:marker>
          <c:xVal>
            <c:numRef>
              <c:f>Vetroz_Blätter!$H$370:$H$371</c:f>
              <c:numCache>
                <c:formatCode>h:mm</c:formatCode>
                <c:ptCount val="2"/>
                <c:pt idx="0">
                  <c:v>0.4826388888888889</c:v>
                </c:pt>
                <c:pt idx="1">
                  <c:v>0.59722222222222221</c:v>
                </c:pt>
              </c:numCache>
            </c:numRef>
          </c:xVal>
          <c:yVal>
            <c:numRef>
              <c:f>Vetroz_Blätter!$S$370:$S$371</c:f>
              <c:numCache>
                <c:formatCode>0.0</c:formatCode>
                <c:ptCount val="2"/>
                <c:pt idx="0">
                  <c:v>26.666666666666668</c:v>
                </c:pt>
                <c:pt idx="1">
                  <c:v>27</c:v>
                </c:pt>
              </c:numCache>
            </c:numRef>
          </c:yVal>
          <c:smooth val="0"/>
          <c:extLst>
            <c:ext xmlns:c16="http://schemas.microsoft.com/office/drawing/2014/chart" uri="{C3380CC4-5D6E-409C-BE32-E72D297353CC}">
              <c16:uniqueId val="{0000000B-08FC-E749-B170-9F30C85D67A2}"/>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2700" cap="rnd">
              <a:solidFill>
                <a:srgbClr val="7030A0"/>
              </a:solidFill>
              <a:round/>
            </a:ln>
            <a:effectLst/>
          </c:spPr>
          <c:marker>
            <c:symbol val="circle"/>
            <c:size val="6"/>
            <c:spPr>
              <a:solidFill>
                <a:srgbClr val="7030A0"/>
              </a:solidFill>
              <a:ln w="9525">
                <a:noFill/>
              </a:ln>
              <a:effectLst/>
            </c:spPr>
          </c:marker>
          <c:xVal>
            <c:numRef>
              <c:f>Vetroz_Blätter!$H$46:$H$47</c:f>
              <c:numCache>
                <c:formatCode>h:mm</c:formatCode>
                <c:ptCount val="2"/>
                <c:pt idx="0">
                  <c:v>0.18472222222222223</c:v>
                </c:pt>
                <c:pt idx="1">
                  <c:v>0.5854166666666667</c:v>
                </c:pt>
              </c:numCache>
            </c:numRef>
          </c:xVal>
          <c:yVal>
            <c:numRef>
              <c:f>Vetroz_Blätter!$S$46:$S$47</c:f>
              <c:numCache>
                <c:formatCode>0.0</c:formatCode>
                <c:ptCount val="2"/>
                <c:pt idx="0">
                  <c:v>27.333333333333332</c:v>
                </c:pt>
                <c:pt idx="1">
                  <c:v>31.666666666666668</c:v>
                </c:pt>
              </c:numCache>
            </c:numRef>
          </c:yVal>
          <c:smooth val="0"/>
          <c:extLst>
            <c:ext xmlns:c16="http://schemas.microsoft.com/office/drawing/2014/chart" uri="{C3380CC4-5D6E-409C-BE32-E72D297353CC}">
              <c16:uniqueId val="{00000000-DEA8-8F4B-ABB5-2DB456AFFF4E}"/>
            </c:ext>
          </c:extLst>
        </c:ser>
        <c:ser>
          <c:idx val="1"/>
          <c:order val="1"/>
          <c:spPr>
            <a:ln w="12700" cap="rnd">
              <a:noFill/>
              <a:prstDash val="dash"/>
              <a:round/>
            </a:ln>
            <a:effectLst/>
          </c:spPr>
          <c:marker>
            <c:symbol val="circle"/>
            <c:size val="8"/>
            <c:spPr>
              <a:noFill/>
              <a:ln w="9525">
                <a:solidFill>
                  <a:srgbClr val="7030A0"/>
                </a:solidFill>
              </a:ln>
              <a:effectLst/>
            </c:spPr>
          </c:marker>
          <c:xVal>
            <c:numRef>
              <c:f>Vetroz_Blätter!$H$45</c:f>
              <c:numCache>
                <c:formatCode>h:mm</c:formatCode>
                <c:ptCount val="1"/>
                <c:pt idx="0">
                  <c:v>0.58819444444444446</c:v>
                </c:pt>
              </c:numCache>
            </c:numRef>
          </c:xVal>
          <c:yVal>
            <c:numRef>
              <c:f>Vetroz_Blätter!$S$45</c:f>
              <c:numCache>
                <c:formatCode>0.0</c:formatCode>
                <c:ptCount val="1"/>
                <c:pt idx="0">
                  <c:v>31.666666666666668</c:v>
                </c:pt>
              </c:numCache>
            </c:numRef>
          </c:yVal>
          <c:smooth val="0"/>
          <c:extLst>
            <c:ext xmlns:c16="http://schemas.microsoft.com/office/drawing/2014/chart" uri="{C3380CC4-5D6E-409C-BE32-E72D297353CC}">
              <c16:uniqueId val="{00000001-DEA8-8F4B-ABB5-2DB456AFFF4E}"/>
            </c:ext>
          </c:extLst>
        </c:ser>
        <c:ser>
          <c:idx val="2"/>
          <c:order val="2"/>
          <c:spPr>
            <a:ln w="12700" cap="rnd">
              <a:solidFill>
                <a:srgbClr val="FFC000"/>
              </a:solidFill>
              <a:round/>
            </a:ln>
            <a:effectLst/>
          </c:spPr>
          <c:marker>
            <c:symbol val="circle"/>
            <c:size val="6"/>
            <c:spPr>
              <a:solidFill>
                <a:srgbClr val="FFC000"/>
              </a:solidFill>
              <a:ln w="9525">
                <a:noFill/>
              </a:ln>
              <a:effectLst/>
            </c:spPr>
          </c:marker>
          <c:xVal>
            <c:numRef>
              <c:f>Vetroz_Blätter!$H$105:$H$106</c:f>
              <c:numCache>
                <c:formatCode>h:mm</c:formatCode>
                <c:ptCount val="2"/>
                <c:pt idx="0">
                  <c:v>0.21666666666666667</c:v>
                </c:pt>
                <c:pt idx="1">
                  <c:v>0.61319444444444449</c:v>
                </c:pt>
              </c:numCache>
            </c:numRef>
          </c:xVal>
          <c:yVal>
            <c:numRef>
              <c:f>Vetroz_Blätter!$S$105:$S$106</c:f>
              <c:numCache>
                <c:formatCode>0.0</c:formatCode>
                <c:ptCount val="2"/>
                <c:pt idx="0">
                  <c:v>26.666666666666668</c:v>
                </c:pt>
                <c:pt idx="1">
                  <c:v>31.333333333333332</c:v>
                </c:pt>
              </c:numCache>
            </c:numRef>
          </c:yVal>
          <c:smooth val="0"/>
          <c:extLst>
            <c:ext xmlns:c16="http://schemas.microsoft.com/office/drawing/2014/chart" uri="{C3380CC4-5D6E-409C-BE32-E72D297353CC}">
              <c16:uniqueId val="{00000002-DEA8-8F4B-ABB5-2DB456AFFF4E}"/>
            </c:ext>
          </c:extLst>
        </c:ser>
        <c:ser>
          <c:idx val="3"/>
          <c:order val="3"/>
          <c:spPr>
            <a:ln w="12700" cap="rnd">
              <a:noFill/>
              <a:prstDash val="dash"/>
              <a:round/>
            </a:ln>
            <a:effectLst/>
          </c:spPr>
          <c:marker>
            <c:symbol val="circle"/>
            <c:size val="8"/>
            <c:spPr>
              <a:noFill/>
              <a:ln w="9525">
                <a:solidFill>
                  <a:srgbClr val="FFC000"/>
                </a:solidFill>
              </a:ln>
              <a:effectLst/>
            </c:spPr>
          </c:marker>
          <c:xVal>
            <c:numRef>
              <c:f>Vetroz_Blätter!$H$104</c:f>
              <c:numCache>
                <c:formatCode>h:mm</c:formatCode>
                <c:ptCount val="1"/>
                <c:pt idx="0">
                  <c:v>0.6166666666666667</c:v>
                </c:pt>
              </c:numCache>
            </c:numRef>
          </c:xVal>
          <c:yVal>
            <c:numRef>
              <c:f>Vetroz_Blätter!$S$104</c:f>
              <c:numCache>
                <c:formatCode>0.0</c:formatCode>
                <c:ptCount val="1"/>
                <c:pt idx="0">
                  <c:v>31.666666666666668</c:v>
                </c:pt>
              </c:numCache>
            </c:numRef>
          </c:yVal>
          <c:smooth val="0"/>
          <c:extLst>
            <c:ext xmlns:c16="http://schemas.microsoft.com/office/drawing/2014/chart" uri="{C3380CC4-5D6E-409C-BE32-E72D297353CC}">
              <c16:uniqueId val="{00000003-DEA8-8F4B-ABB5-2DB456AFFF4E}"/>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Vetroz_Blätter!$H$168:$H$169</c:f>
              <c:numCache>
                <c:formatCode>h:mm</c:formatCode>
                <c:ptCount val="2"/>
                <c:pt idx="0">
                  <c:v>0.18888888888888888</c:v>
                </c:pt>
                <c:pt idx="1">
                  <c:v>0.55902777777777779</c:v>
                </c:pt>
              </c:numCache>
            </c:numRef>
          </c:xVal>
          <c:yVal>
            <c:numRef>
              <c:f>Vetroz_Blätter!$S$168:$S$169</c:f>
              <c:numCache>
                <c:formatCode>0.0</c:formatCode>
                <c:ptCount val="2"/>
                <c:pt idx="0">
                  <c:v>26.666666666666668</c:v>
                </c:pt>
                <c:pt idx="1">
                  <c:v>32.666666666666664</c:v>
                </c:pt>
              </c:numCache>
            </c:numRef>
          </c:yVal>
          <c:smooth val="0"/>
          <c:extLst>
            <c:ext xmlns:c16="http://schemas.microsoft.com/office/drawing/2014/chart" uri="{C3380CC4-5D6E-409C-BE32-E72D297353CC}">
              <c16:uniqueId val="{00000004-DEA8-8F4B-ABB5-2DB456AFFF4E}"/>
            </c:ext>
          </c:extLst>
        </c:ser>
        <c:ser>
          <c:idx val="5"/>
          <c:order val="5"/>
          <c:spPr>
            <a:ln w="12700" cap="rnd">
              <a:noFill/>
              <a:prstDash val="dash"/>
              <a:round/>
            </a:ln>
            <a:effectLst/>
          </c:spPr>
          <c:marker>
            <c:symbol val="circle"/>
            <c:size val="8"/>
            <c:spPr>
              <a:noFill/>
              <a:ln w="9525">
                <a:solidFill>
                  <a:schemeClr val="tx1"/>
                </a:solidFill>
              </a:ln>
              <a:effectLst/>
            </c:spPr>
          </c:marker>
          <c:xVal>
            <c:numRef>
              <c:f>Vetroz_Blätter!$H$167</c:f>
              <c:numCache>
                <c:formatCode>h:mm</c:formatCode>
                <c:ptCount val="1"/>
                <c:pt idx="0">
                  <c:v>0.56111111111111112</c:v>
                </c:pt>
              </c:numCache>
            </c:numRef>
          </c:xVal>
          <c:yVal>
            <c:numRef>
              <c:f>Vetroz_Blätter!$S$167</c:f>
              <c:numCache>
                <c:formatCode>0.0</c:formatCode>
                <c:ptCount val="1"/>
                <c:pt idx="0">
                  <c:v>31.666666666666668</c:v>
                </c:pt>
              </c:numCache>
            </c:numRef>
          </c:yVal>
          <c:smooth val="0"/>
          <c:extLst>
            <c:ext xmlns:c16="http://schemas.microsoft.com/office/drawing/2014/chart" uri="{C3380CC4-5D6E-409C-BE32-E72D297353CC}">
              <c16:uniqueId val="{00000005-DEA8-8F4B-ABB5-2DB456AFFF4E}"/>
            </c:ext>
          </c:extLst>
        </c:ser>
        <c:ser>
          <c:idx val="6"/>
          <c:order val="6"/>
          <c:spPr>
            <a:ln w="12700" cap="rnd">
              <a:solidFill>
                <a:srgbClr val="FF0000"/>
              </a:solidFill>
              <a:prstDash val="solid"/>
              <a:round/>
            </a:ln>
            <a:effectLst/>
          </c:spPr>
          <c:marker>
            <c:symbol val="circle"/>
            <c:size val="6"/>
            <c:spPr>
              <a:solidFill>
                <a:srgbClr val="FF0000"/>
              </a:solidFill>
              <a:ln w="9525">
                <a:noFill/>
              </a:ln>
              <a:effectLst/>
            </c:spPr>
          </c:marker>
          <c:xVal>
            <c:numRef>
              <c:f>Vetroz_Blätter!$H$233:$H$234</c:f>
              <c:numCache>
                <c:formatCode>h:mm</c:formatCode>
                <c:ptCount val="2"/>
                <c:pt idx="0">
                  <c:v>0.18888888888888888</c:v>
                </c:pt>
                <c:pt idx="1">
                  <c:v>0.54583333333333339</c:v>
                </c:pt>
              </c:numCache>
            </c:numRef>
          </c:xVal>
          <c:yVal>
            <c:numRef>
              <c:f>Vetroz_Blätter!$S$233:$S$234</c:f>
              <c:numCache>
                <c:formatCode>0.0</c:formatCode>
                <c:ptCount val="2"/>
                <c:pt idx="0">
                  <c:v>24.333333333333332</c:v>
                </c:pt>
                <c:pt idx="1">
                  <c:v>29.666666666666668</c:v>
                </c:pt>
              </c:numCache>
            </c:numRef>
          </c:yVal>
          <c:smooth val="0"/>
          <c:extLst>
            <c:ext xmlns:c16="http://schemas.microsoft.com/office/drawing/2014/chart" uri="{C3380CC4-5D6E-409C-BE32-E72D297353CC}">
              <c16:uniqueId val="{00000006-DEA8-8F4B-ABB5-2DB456AFFF4E}"/>
            </c:ext>
          </c:extLst>
        </c:ser>
        <c:ser>
          <c:idx val="7"/>
          <c:order val="7"/>
          <c:spPr>
            <a:ln w="12700" cap="rnd">
              <a:noFill/>
              <a:prstDash val="dash"/>
              <a:round/>
            </a:ln>
            <a:effectLst/>
          </c:spPr>
          <c:marker>
            <c:symbol val="circle"/>
            <c:size val="8"/>
            <c:spPr>
              <a:noFill/>
              <a:ln w="9525">
                <a:solidFill>
                  <a:srgbClr val="FF0000"/>
                </a:solidFill>
              </a:ln>
              <a:effectLst/>
            </c:spPr>
          </c:marker>
          <c:xVal>
            <c:numRef>
              <c:f>Vetroz_Blätter!$H$232</c:f>
              <c:numCache>
                <c:formatCode>h:mm</c:formatCode>
                <c:ptCount val="1"/>
                <c:pt idx="0">
                  <c:v>0.54861111111111116</c:v>
                </c:pt>
              </c:numCache>
            </c:numRef>
          </c:xVal>
          <c:yVal>
            <c:numRef>
              <c:f>Vetroz_Blätter!$S$232</c:f>
              <c:numCache>
                <c:formatCode>0.0</c:formatCode>
                <c:ptCount val="1"/>
                <c:pt idx="0">
                  <c:v>29.333333333333332</c:v>
                </c:pt>
              </c:numCache>
            </c:numRef>
          </c:yVal>
          <c:smooth val="0"/>
          <c:extLst>
            <c:ext xmlns:c16="http://schemas.microsoft.com/office/drawing/2014/chart" uri="{C3380CC4-5D6E-409C-BE32-E72D297353CC}">
              <c16:uniqueId val="{00000007-DEA8-8F4B-ABB5-2DB456AFFF4E}"/>
            </c:ext>
          </c:extLst>
        </c:ser>
        <c:ser>
          <c:idx val="8"/>
          <c:order val="8"/>
          <c:spPr>
            <a:ln w="12700" cap="rnd">
              <a:solidFill>
                <a:srgbClr val="00B0F0"/>
              </a:solidFill>
              <a:round/>
            </a:ln>
            <a:effectLst/>
          </c:spPr>
          <c:marker>
            <c:symbol val="circle"/>
            <c:size val="6"/>
            <c:spPr>
              <a:solidFill>
                <a:srgbClr val="00B0F0"/>
              </a:solidFill>
              <a:ln w="9525">
                <a:noFill/>
              </a:ln>
              <a:effectLst/>
            </c:spPr>
          </c:marker>
          <c:xVal>
            <c:numRef>
              <c:f>Vetroz_Blätter!$H$309:$H$310</c:f>
              <c:numCache>
                <c:formatCode>h:mm</c:formatCode>
                <c:ptCount val="2"/>
                <c:pt idx="0">
                  <c:v>0.15416666666666667</c:v>
                </c:pt>
                <c:pt idx="1">
                  <c:v>0.53333333333333344</c:v>
                </c:pt>
              </c:numCache>
            </c:numRef>
          </c:xVal>
          <c:yVal>
            <c:numRef>
              <c:f>Vetroz_Blätter!$S$309:$S$310</c:f>
              <c:numCache>
                <c:formatCode>0.0</c:formatCode>
                <c:ptCount val="2"/>
                <c:pt idx="0">
                  <c:v>23.333333333333332</c:v>
                </c:pt>
                <c:pt idx="1">
                  <c:v>29.333333333333332</c:v>
                </c:pt>
              </c:numCache>
            </c:numRef>
          </c:yVal>
          <c:smooth val="0"/>
          <c:extLst>
            <c:ext xmlns:c16="http://schemas.microsoft.com/office/drawing/2014/chart" uri="{C3380CC4-5D6E-409C-BE32-E72D297353CC}">
              <c16:uniqueId val="{00000008-DEA8-8F4B-ABB5-2DB456AFFF4E}"/>
            </c:ext>
          </c:extLst>
        </c:ser>
        <c:ser>
          <c:idx val="9"/>
          <c:order val="9"/>
          <c:spPr>
            <a:ln w="12700" cap="rnd">
              <a:noFill/>
              <a:prstDash val="dash"/>
              <a:round/>
            </a:ln>
            <a:effectLst/>
          </c:spPr>
          <c:marker>
            <c:symbol val="circle"/>
            <c:size val="8"/>
            <c:spPr>
              <a:noFill/>
              <a:ln w="9525">
                <a:solidFill>
                  <a:srgbClr val="00B0F0"/>
                </a:solidFill>
              </a:ln>
              <a:effectLst/>
            </c:spPr>
          </c:marker>
          <c:xVal>
            <c:numRef>
              <c:f>Vetroz_Blätter!$H$308</c:f>
              <c:numCache>
                <c:formatCode>h:mm</c:formatCode>
                <c:ptCount val="1"/>
                <c:pt idx="0">
                  <c:v>0.5361111111111112</c:v>
                </c:pt>
              </c:numCache>
            </c:numRef>
          </c:xVal>
          <c:yVal>
            <c:numRef>
              <c:f>Vetroz_Blätter!$S$308</c:f>
              <c:numCache>
                <c:formatCode>0.0</c:formatCode>
                <c:ptCount val="1"/>
                <c:pt idx="0">
                  <c:v>27.666666666666668</c:v>
                </c:pt>
              </c:numCache>
            </c:numRef>
          </c:yVal>
          <c:smooth val="0"/>
          <c:extLst>
            <c:ext xmlns:c16="http://schemas.microsoft.com/office/drawing/2014/chart" uri="{C3380CC4-5D6E-409C-BE32-E72D297353CC}">
              <c16:uniqueId val="{00000009-DEA8-8F4B-ABB5-2DB456AFFF4E}"/>
            </c:ext>
          </c:extLst>
        </c:ser>
        <c:ser>
          <c:idx val="10"/>
          <c:order val="10"/>
          <c:spPr>
            <a:ln w="12700" cap="rnd">
              <a:solidFill>
                <a:srgbClr val="92D050"/>
              </a:solidFill>
              <a:round/>
            </a:ln>
            <a:effectLst/>
          </c:spPr>
          <c:marker>
            <c:symbol val="circle"/>
            <c:size val="6"/>
            <c:spPr>
              <a:solidFill>
                <a:srgbClr val="92D050"/>
              </a:solidFill>
              <a:ln w="9525">
                <a:noFill/>
              </a:ln>
              <a:effectLst/>
            </c:spPr>
          </c:marker>
          <c:xVal>
            <c:numRef>
              <c:f>Vetroz_Blätter!$H$385:$H$386</c:f>
              <c:numCache>
                <c:formatCode>h:mm</c:formatCode>
                <c:ptCount val="2"/>
                <c:pt idx="0">
                  <c:v>0.15763888888888888</c:v>
                </c:pt>
                <c:pt idx="1">
                  <c:v>0.52083333333333337</c:v>
                </c:pt>
              </c:numCache>
            </c:numRef>
          </c:xVal>
          <c:yVal>
            <c:numRef>
              <c:f>Vetroz_Blätter!$S$385:$S$386</c:f>
              <c:numCache>
                <c:formatCode>0.0</c:formatCode>
                <c:ptCount val="2"/>
                <c:pt idx="0">
                  <c:v>26</c:v>
                </c:pt>
                <c:pt idx="1">
                  <c:v>31.666666666666668</c:v>
                </c:pt>
              </c:numCache>
            </c:numRef>
          </c:yVal>
          <c:smooth val="0"/>
          <c:extLst>
            <c:ext xmlns:c16="http://schemas.microsoft.com/office/drawing/2014/chart" uri="{C3380CC4-5D6E-409C-BE32-E72D297353CC}">
              <c16:uniqueId val="{0000000A-DEA8-8F4B-ABB5-2DB456AFFF4E}"/>
            </c:ext>
          </c:extLst>
        </c:ser>
        <c:ser>
          <c:idx val="11"/>
          <c:order val="11"/>
          <c:spPr>
            <a:ln w="12700" cap="rnd">
              <a:noFill/>
              <a:prstDash val="dash"/>
              <a:round/>
            </a:ln>
            <a:effectLst/>
          </c:spPr>
          <c:marker>
            <c:symbol val="circle"/>
            <c:size val="8"/>
            <c:spPr>
              <a:noFill/>
              <a:ln w="9525">
                <a:solidFill>
                  <a:srgbClr val="92D050"/>
                </a:solidFill>
              </a:ln>
              <a:effectLst/>
            </c:spPr>
          </c:marker>
          <c:xVal>
            <c:numRef>
              <c:f>Vetroz_Blätter!$H$384</c:f>
              <c:numCache>
                <c:formatCode>h:mm</c:formatCode>
                <c:ptCount val="1"/>
                <c:pt idx="0">
                  <c:v>0.52361111111111114</c:v>
                </c:pt>
              </c:numCache>
            </c:numRef>
          </c:xVal>
          <c:yVal>
            <c:numRef>
              <c:f>Vetroz_Blätter!$S$384</c:f>
              <c:numCache>
                <c:formatCode>0.0</c:formatCode>
                <c:ptCount val="1"/>
                <c:pt idx="0">
                  <c:v>30.333333333333332</c:v>
                </c:pt>
              </c:numCache>
            </c:numRef>
          </c:yVal>
          <c:smooth val="0"/>
          <c:extLst>
            <c:ext xmlns:c16="http://schemas.microsoft.com/office/drawing/2014/chart" uri="{C3380CC4-5D6E-409C-BE32-E72D297353CC}">
              <c16:uniqueId val="{0000000B-DEA8-8F4B-ABB5-2DB456AFFF4E}"/>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Tree 1 unbagged</c:v>
          </c:tx>
          <c:spPr>
            <a:ln w="12700" cap="rnd">
              <a:solidFill>
                <a:srgbClr val="7030A0"/>
              </a:solidFill>
              <a:round/>
            </a:ln>
            <a:effectLst/>
          </c:spPr>
          <c:marker>
            <c:symbol val="circle"/>
            <c:size val="6"/>
            <c:spPr>
              <a:solidFill>
                <a:srgbClr val="7030A0"/>
              </a:solidFill>
              <a:ln w="9525">
                <a:noFill/>
              </a:ln>
              <a:effectLst/>
            </c:spPr>
          </c:marker>
          <c:xVal>
            <c:numRef>
              <c:f>Vetroz_Blätter!$H$50:$H$51</c:f>
              <c:numCache>
                <c:formatCode>h:mm</c:formatCode>
                <c:ptCount val="2"/>
                <c:pt idx="0">
                  <c:v>0.20138888888888887</c:v>
                </c:pt>
                <c:pt idx="1">
                  <c:v>0.58333333333333337</c:v>
                </c:pt>
              </c:numCache>
            </c:numRef>
          </c:xVal>
          <c:yVal>
            <c:numRef>
              <c:f>Vetroz_Blätter!$S$50:$S$51</c:f>
              <c:numCache>
                <c:formatCode>0.0</c:formatCode>
                <c:ptCount val="2"/>
                <c:pt idx="0">
                  <c:v>44</c:v>
                </c:pt>
                <c:pt idx="1">
                  <c:v>44.333333333333336</c:v>
                </c:pt>
              </c:numCache>
            </c:numRef>
          </c:yVal>
          <c:smooth val="0"/>
          <c:extLst>
            <c:ext xmlns:c16="http://schemas.microsoft.com/office/drawing/2014/chart" uri="{C3380CC4-5D6E-409C-BE32-E72D297353CC}">
              <c16:uniqueId val="{00000000-5E86-EB4F-B625-26414DE0D66D}"/>
            </c:ext>
          </c:extLst>
        </c:ser>
        <c:ser>
          <c:idx val="1"/>
          <c:order val="1"/>
          <c:tx>
            <c:v>Tree 1 bagged</c:v>
          </c:tx>
          <c:spPr>
            <a:ln w="12700" cap="rnd">
              <a:noFill/>
              <a:prstDash val="dash"/>
              <a:round/>
            </a:ln>
            <a:effectLst/>
          </c:spPr>
          <c:marker>
            <c:symbol val="circle"/>
            <c:size val="8"/>
            <c:spPr>
              <a:noFill/>
              <a:ln w="9525">
                <a:solidFill>
                  <a:srgbClr val="7030A0"/>
                </a:solidFill>
              </a:ln>
              <a:effectLst/>
            </c:spPr>
          </c:marker>
          <c:xVal>
            <c:numRef>
              <c:f>Vetroz_Blätter!$H$49</c:f>
              <c:numCache>
                <c:formatCode>h:mm</c:formatCode>
                <c:ptCount val="1"/>
                <c:pt idx="0">
                  <c:v>0.58680555555555558</c:v>
                </c:pt>
              </c:numCache>
            </c:numRef>
          </c:xVal>
          <c:yVal>
            <c:numRef>
              <c:f>Vetroz_Blätter!$S$49</c:f>
              <c:numCache>
                <c:formatCode>0.0</c:formatCode>
                <c:ptCount val="1"/>
                <c:pt idx="0">
                  <c:v>44</c:v>
                </c:pt>
              </c:numCache>
            </c:numRef>
          </c:yVal>
          <c:smooth val="0"/>
          <c:extLst>
            <c:ext xmlns:c16="http://schemas.microsoft.com/office/drawing/2014/chart" uri="{C3380CC4-5D6E-409C-BE32-E72D297353CC}">
              <c16:uniqueId val="{00000001-5E86-EB4F-B625-26414DE0D66D}"/>
            </c:ext>
          </c:extLst>
        </c:ser>
        <c:ser>
          <c:idx val="2"/>
          <c:order val="2"/>
          <c:tx>
            <c:v>Tree 2 unbagged</c:v>
          </c:tx>
          <c:spPr>
            <a:ln w="12700" cap="rnd">
              <a:solidFill>
                <a:srgbClr val="FFC000"/>
              </a:solidFill>
              <a:round/>
            </a:ln>
            <a:effectLst/>
          </c:spPr>
          <c:marker>
            <c:symbol val="circle"/>
            <c:size val="6"/>
            <c:spPr>
              <a:solidFill>
                <a:srgbClr val="FFC000"/>
              </a:solidFill>
              <a:ln w="9525">
                <a:noFill/>
              </a:ln>
              <a:effectLst/>
            </c:spPr>
          </c:marker>
          <c:xVal>
            <c:numRef>
              <c:f>Vetroz_Blätter!$H$109:$H$110</c:f>
              <c:numCache>
                <c:formatCode>h:mm</c:formatCode>
                <c:ptCount val="2"/>
                <c:pt idx="0">
                  <c:v>0.19027777777777777</c:v>
                </c:pt>
                <c:pt idx="1">
                  <c:v>0.56944444444444442</c:v>
                </c:pt>
              </c:numCache>
            </c:numRef>
          </c:xVal>
          <c:yVal>
            <c:numRef>
              <c:f>Vetroz_Blätter!$S$109:$S$110</c:f>
              <c:numCache>
                <c:formatCode>0.0</c:formatCode>
                <c:ptCount val="2"/>
                <c:pt idx="0">
                  <c:v>40</c:v>
                </c:pt>
                <c:pt idx="1">
                  <c:v>42.333333333333336</c:v>
                </c:pt>
              </c:numCache>
            </c:numRef>
          </c:yVal>
          <c:smooth val="0"/>
          <c:extLst>
            <c:ext xmlns:c16="http://schemas.microsoft.com/office/drawing/2014/chart" uri="{C3380CC4-5D6E-409C-BE32-E72D297353CC}">
              <c16:uniqueId val="{00000002-5E86-EB4F-B625-26414DE0D66D}"/>
            </c:ext>
          </c:extLst>
        </c:ser>
        <c:ser>
          <c:idx val="3"/>
          <c:order val="3"/>
          <c:tx>
            <c:v>Tree 2 bagged</c:v>
          </c:tx>
          <c:spPr>
            <a:ln w="12700" cap="rnd">
              <a:noFill/>
              <a:prstDash val="dash"/>
              <a:round/>
            </a:ln>
            <a:effectLst/>
          </c:spPr>
          <c:marker>
            <c:symbol val="circle"/>
            <c:size val="8"/>
            <c:spPr>
              <a:noFill/>
              <a:ln w="9525">
                <a:solidFill>
                  <a:srgbClr val="FFC000"/>
                </a:solidFill>
              </a:ln>
              <a:effectLst/>
            </c:spPr>
          </c:marker>
          <c:xVal>
            <c:numRef>
              <c:f>Vetroz_Blätter!$H$108</c:f>
              <c:numCache>
                <c:formatCode>h:mm</c:formatCode>
                <c:ptCount val="1"/>
                <c:pt idx="0">
                  <c:v>0.57291666666666663</c:v>
                </c:pt>
              </c:numCache>
            </c:numRef>
          </c:xVal>
          <c:yVal>
            <c:numRef>
              <c:f>Vetroz_Blätter!$S$108</c:f>
              <c:numCache>
                <c:formatCode>0.0</c:formatCode>
                <c:ptCount val="1"/>
                <c:pt idx="0">
                  <c:v>41.666666666666664</c:v>
                </c:pt>
              </c:numCache>
            </c:numRef>
          </c:yVal>
          <c:smooth val="0"/>
          <c:extLst>
            <c:ext xmlns:c16="http://schemas.microsoft.com/office/drawing/2014/chart" uri="{C3380CC4-5D6E-409C-BE32-E72D297353CC}">
              <c16:uniqueId val="{00000003-5E86-EB4F-B625-26414DE0D66D}"/>
            </c:ext>
          </c:extLst>
        </c:ser>
        <c:ser>
          <c:idx val="4"/>
          <c:order val="4"/>
          <c:tx>
            <c:v>Tree 3 unbagged</c:v>
          </c:tx>
          <c:spPr>
            <a:ln w="12700" cap="rnd">
              <a:solidFill>
                <a:schemeClr val="tx1"/>
              </a:solidFill>
              <a:round/>
            </a:ln>
            <a:effectLst/>
          </c:spPr>
          <c:marker>
            <c:symbol val="circle"/>
            <c:size val="6"/>
            <c:spPr>
              <a:solidFill>
                <a:schemeClr val="tx1"/>
              </a:solidFill>
              <a:ln w="9525">
                <a:noFill/>
              </a:ln>
              <a:effectLst/>
            </c:spPr>
          </c:marker>
          <c:xVal>
            <c:numRef>
              <c:f>Vetroz_Blätter!$H$172:$H$173</c:f>
              <c:numCache>
                <c:formatCode>h:mm</c:formatCode>
                <c:ptCount val="2"/>
                <c:pt idx="0">
                  <c:v>0.17916666666666667</c:v>
                </c:pt>
                <c:pt idx="1">
                  <c:v>0.55625000000000002</c:v>
                </c:pt>
              </c:numCache>
            </c:numRef>
          </c:xVal>
          <c:yVal>
            <c:numRef>
              <c:f>Vetroz_Blätter!$S$172:$S$173</c:f>
              <c:numCache>
                <c:formatCode>0.0</c:formatCode>
                <c:ptCount val="2"/>
                <c:pt idx="0">
                  <c:v>40</c:v>
                </c:pt>
                <c:pt idx="1">
                  <c:v>44.333333333333336</c:v>
                </c:pt>
              </c:numCache>
            </c:numRef>
          </c:yVal>
          <c:smooth val="0"/>
          <c:extLst>
            <c:ext xmlns:c16="http://schemas.microsoft.com/office/drawing/2014/chart" uri="{C3380CC4-5D6E-409C-BE32-E72D297353CC}">
              <c16:uniqueId val="{00000004-5E86-EB4F-B625-26414DE0D66D}"/>
            </c:ext>
          </c:extLst>
        </c:ser>
        <c:ser>
          <c:idx val="5"/>
          <c:order val="5"/>
          <c:tx>
            <c:v>Tree 3 bagged</c:v>
          </c:tx>
          <c:spPr>
            <a:ln w="12700" cap="rnd">
              <a:noFill/>
              <a:prstDash val="dash"/>
              <a:round/>
            </a:ln>
            <a:effectLst/>
          </c:spPr>
          <c:marker>
            <c:symbol val="circle"/>
            <c:size val="8"/>
            <c:spPr>
              <a:noFill/>
              <a:ln w="9525">
                <a:solidFill>
                  <a:schemeClr val="tx1"/>
                </a:solidFill>
              </a:ln>
              <a:effectLst/>
            </c:spPr>
          </c:marker>
          <c:xVal>
            <c:numRef>
              <c:f>Vetroz_Blätter!$H$171</c:f>
              <c:numCache>
                <c:formatCode>h:mm</c:formatCode>
                <c:ptCount val="1"/>
                <c:pt idx="0">
                  <c:v>0.55902777777777779</c:v>
                </c:pt>
              </c:numCache>
            </c:numRef>
          </c:xVal>
          <c:yVal>
            <c:numRef>
              <c:f>Vetroz_Blätter!$S$171</c:f>
              <c:numCache>
                <c:formatCode>0.0</c:formatCode>
                <c:ptCount val="1"/>
                <c:pt idx="0">
                  <c:v>44.333333333333336</c:v>
                </c:pt>
              </c:numCache>
            </c:numRef>
          </c:yVal>
          <c:smooth val="0"/>
          <c:extLst>
            <c:ext xmlns:c16="http://schemas.microsoft.com/office/drawing/2014/chart" uri="{C3380CC4-5D6E-409C-BE32-E72D297353CC}">
              <c16:uniqueId val="{00000005-5E86-EB4F-B625-26414DE0D66D}"/>
            </c:ext>
          </c:extLst>
        </c:ser>
        <c:ser>
          <c:idx val="6"/>
          <c:order val="6"/>
          <c:tx>
            <c:v>Tree 8 unbagged</c:v>
          </c:tx>
          <c:spPr>
            <a:ln w="12700" cap="rnd">
              <a:solidFill>
                <a:srgbClr val="FF0000"/>
              </a:solidFill>
              <a:prstDash val="solid"/>
              <a:round/>
            </a:ln>
            <a:effectLst/>
          </c:spPr>
          <c:marker>
            <c:symbol val="circle"/>
            <c:size val="6"/>
            <c:spPr>
              <a:solidFill>
                <a:srgbClr val="FF0000"/>
              </a:solidFill>
              <a:ln w="9525">
                <a:noFill/>
              </a:ln>
              <a:effectLst/>
            </c:spPr>
          </c:marker>
          <c:xVal>
            <c:numRef>
              <c:f>Vetroz_Blätter!$H$237:$H$238</c:f>
              <c:numCache>
                <c:formatCode>h:mm</c:formatCode>
                <c:ptCount val="2"/>
                <c:pt idx="0">
                  <c:v>0.16666666666666666</c:v>
                </c:pt>
                <c:pt idx="1">
                  <c:v>0.54652777777777783</c:v>
                </c:pt>
              </c:numCache>
            </c:numRef>
          </c:xVal>
          <c:yVal>
            <c:numRef>
              <c:f>Vetroz_Blätter!$S$237:$S$238</c:f>
              <c:numCache>
                <c:formatCode>0.0</c:formatCode>
                <c:ptCount val="2"/>
                <c:pt idx="0">
                  <c:v>39.333333333333336</c:v>
                </c:pt>
                <c:pt idx="1">
                  <c:v>45.333333333333336</c:v>
                </c:pt>
              </c:numCache>
            </c:numRef>
          </c:yVal>
          <c:smooth val="0"/>
          <c:extLst>
            <c:ext xmlns:c16="http://schemas.microsoft.com/office/drawing/2014/chart" uri="{C3380CC4-5D6E-409C-BE32-E72D297353CC}">
              <c16:uniqueId val="{00000006-5E86-EB4F-B625-26414DE0D66D}"/>
            </c:ext>
          </c:extLst>
        </c:ser>
        <c:ser>
          <c:idx val="7"/>
          <c:order val="7"/>
          <c:tx>
            <c:v>Tree 8 bagged</c:v>
          </c:tx>
          <c:spPr>
            <a:ln w="12700" cap="rnd">
              <a:noFill/>
              <a:prstDash val="dash"/>
              <a:round/>
            </a:ln>
            <a:effectLst/>
          </c:spPr>
          <c:marker>
            <c:symbol val="circle"/>
            <c:size val="8"/>
            <c:spPr>
              <a:noFill/>
              <a:ln w="9525">
                <a:solidFill>
                  <a:srgbClr val="FF0000"/>
                </a:solidFill>
              </a:ln>
              <a:effectLst/>
            </c:spPr>
          </c:marker>
          <c:xVal>
            <c:numRef>
              <c:f>Vetroz_Blätter!$H$236</c:f>
              <c:numCache>
                <c:formatCode>h:mm</c:formatCode>
                <c:ptCount val="1"/>
                <c:pt idx="0">
                  <c:v>0.54166666666666663</c:v>
                </c:pt>
              </c:numCache>
            </c:numRef>
          </c:xVal>
          <c:yVal>
            <c:numRef>
              <c:f>Vetroz_Blätter!$S$236</c:f>
              <c:numCache>
                <c:formatCode>0.0</c:formatCode>
                <c:ptCount val="1"/>
                <c:pt idx="0">
                  <c:v>44</c:v>
                </c:pt>
              </c:numCache>
            </c:numRef>
          </c:yVal>
          <c:smooth val="0"/>
          <c:extLst>
            <c:ext xmlns:c16="http://schemas.microsoft.com/office/drawing/2014/chart" uri="{C3380CC4-5D6E-409C-BE32-E72D297353CC}">
              <c16:uniqueId val="{00000007-5E86-EB4F-B625-26414DE0D66D}"/>
            </c:ext>
          </c:extLst>
        </c:ser>
        <c:ser>
          <c:idx val="8"/>
          <c:order val="8"/>
          <c:tx>
            <c:v>Tree 13 unbagged</c:v>
          </c:tx>
          <c:spPr>
            <a:ln w="12700" cap="rnd">
              <a:solidFill>
                <a:srgbClr val="00B0F0"/>
              </a:solidFill>
              <a:round/>
            </a:ln>
            <a:effectLst/>
          </c:spPr>
          <c:marker>
            <c:symbol val="circle"/>
            <c:size val="6"/>
            <c:spPr>
              <a:solidFill>
                <a:srgbClr val="00B0F0"/>
              </a:solidFill>
              <a:ln w="9525">
                <a:noFill/>
              </a:ln>
              <a:effectLst/>
            </c:spPr>
          </c:marker>
          <c:xVal>
            <c:numRef>
              <c:f>Vetroz_Blätter!$H$313:$H$314</c:f>
              <c:numCache>
                <c:formatCode>h:mm</c:formatCode>
                <c:ptCount val="2"/>
                <c:pt idx="0">
                  <c:v>0.15625</c:v>
                </c:pt>
                <c:pt idx="1">
                  <c:v>0.52986111111111112</c:v>
                </c:pt>
              </c:numCache>
            </c:numRef>
          </c:xVal>
          <c:yVal>
            <c:numRef>
              <c:f>Vetroz_Blätter!$S$313:$S$314</c:f>
              <c:numCache>
                <c:formatCode>0.0</c:formatCode>
                <c:ptCount val="2"/>
                <c:pt idx="0">
                  <c:v>35</c:v>
                </c:pt>
                <c:pt idx="1">
                  <c:v>37.333333333333336</c:v>
                </c:pt>
              </c:numCache>
            </c:numRef>
          </c:yVal>
          <c:smooth val="0"/>
          <c:extLst>
            <c:ext xmlns:c16="http://schemas.microsoft.com/office/drawing/2014/chart" uri="{C3380CC4-5D6E-409C-BE32-E72D297353CC}">
              <c16:uniqueId val="{00000008-5E86-EB4F-B625-26414DE0D66D}"/>
            </c:ext>
          </c:extLst>
        </c:ser>
        <c:ser>
          <c:idx val="9"/>
          <c:order val="9"/>
          <c:tx>
            <c:v>Tree 13 bagged</c:v>
          </c:tx>
          <c:spPr>
            <a:ln w="12700" cap="rnd">
              <a:noFill/>
              <a:prstDash val="dash"/>
              <a:round/>
            </a:ln>
            <a:effectLst/>
          </c:spPr>
          <c:marker>
            <c:symbol val="circle"/>
            <c:size val="8"/>
            <c:spPr>
              <a:noFill/>
              <a:ln w="9525">
                <a:solidFill>
                  <a:srgbClr val="00B0F0"/>
                </a:solidFill>
              </a:ln>
              <a:effectLst/>
            </c:spPr>
          </c:marker>
          <c:xVal>
            <c:numRef>
              <c:f>Vetroz_Blätter!$H$312</c:f>
              <c:numCache>
                <c:formatCode>h:mm</c:formatCode>
                <c:ptCount val="1"/>
                <c:pt idx="0">
                  <c:v>0.53194444444444444</c:v>
                </c:pt>
              </c:numCache>
            </c:numRef>
          </c:xVal>
          <c:yVal>
            <c:numRef>
              <c:f>Vetroz_Blätter!$S$312</c:f>
              <c:numCache>
                <c:formatCode>0.0</c:formatCode>
                <c:ptCount val="1"/>
                <c:pt idx="0">
                  <c:v>37.333333333333336</c:v>
                </c:pt>
              </c:numCache>
            </c:numRef>
          </c:yVal>
          <c:smooth val="0"/>
          <c:extLst>
            <c:ext xmlns:c16="http://schemas.microsoft.com/office/drawing/2014/chart" uri="{C3380CC4-5D6E-409C-BE32-E72D297353CC}">
              <c16:uniqueId val="{00000009-5E86-EB4F-B625-26414DE0D66D}"/>
            </c:ext>
          </c:extLst>
        </c:ser>
        <c:ser>
          <c:idx val="10"/>
          <c:order val="10"/>
          <c:tx>
            <c:v>Tree 14 unbagged</c:v>
          </c:tx>
          <c:spPr>
            <a:ln w="12700" cap="rnd">
              <a:solidFill>
                <a:srgbClr val="92D050"/>
              </a:solidFill>
              <a:round/>
            </a:ln>
            <a:effectLst/>
          </c:spPr>
          <c:marker>
            <c:symbol val="circle"/>
            <c:size val="6"/>
            <c:spPr>
              <a:solidFill>
                <a:srgbClr val="92D050"/>
              </a:solidFill>
              <a:ln w="9525">
                <a:noFill/>
              </a:ln>
              <a:effectLst/>
            </c:spPr>
          </c:marker>
          <c:xVal>
            <c:numRef>
              <c:f>Vetroz_Blätter!$H$389:$H$390</c:f>
              <c:numCache>
                <c:formatCode>h:mm</c:formatCode>
                <c:ptCount val="2"/>
                <c:pt idx="0">
                  <c:v>0.14652777777777778</c:v>
                </c:pt>
                <c:pt idx="1">
                  <c:v>0.51527777777777783</c:v>
                </c:pt>
              </c:numCache>
            </c:numRef>
          </c:xVal>
          <c:yVal>
            <c:numRef>
              <c:f>Vetroz_Blätter!$S$389:$S$390</c:f>
              <c:numCache>
                <c:formatCode>0.0</c:formatCode>
                <c:ptCount val="2"/>
                <c:pt idx="0">
                  <c:v>37.666666666666664</c:v>
                </c:pt>
                <c:pt idx="1">
                  <c:v>41</c:v>
                </c:pt>
              </c:numCache>
            </c:numRef>
          </c:yVal>
          <c:smooth val="0"/>
          <c:extLst>
            <c:ext xmlns:c16="http://schemas.microsoft.com/office/drawing/2014/chart" uri="{C3380CC4-5D6E-409C-BE32-E72D297353CC}">
              <c16:uniqueId val="{0000000A-5E86-EB4F-B625-26414DE0D66D}"/>
            </c:ext>
          </c:extLst>
        </c:ser>
        <c:ser>
          <c:idx val="11"/>
          <c:order val="11"/>
          <c:tx>
            <c:v>Tree 14 bagged</c:v>
          </c:tx>
          <c:spPr>
            <a:ln w="12700" cap="rnd">
              <a:noFill/>
              <a:prstDash val="dash"/>
              <a:round/>
            </a:ln>
            <a:effectLst/>
          </c:spPr>
          <c:marker>
            <c:symbol val="circle"/>
            <c:size val="8"/>
            <c:spPr>
              <a:noFill/>
              <a:ln w="9525">
                <a:solidFill>
                  <a:srgbClr val="92D050"/>
                </a:solidFill>
              </a:ln>
              <a:effectLst/>
            </c:spPr>
          </c:marker>
          <c:xVal>
            <c:numRef>
              <c:f>Vetroz_Blätter!$H$388</c:f>
              <c:numCache>
                <c:formatCode>h:mm</c:formatCode>
                <c:ptCount val="1"/>
                <c:pt idx="0">
                  <c:v>0.5180555555555556</c:v>
                </c:pt>
              </c:numCache>
            </c:numRef>
          </c:xVal>
          <c:yVal>
            <c:numRef>
              <c:f>Vetroz_Blätter!$S$388</c:f>
              <c:numCache>
                <c:formatCode>0.0</c:formatCode>
                <c:ptCount val="1"/>
                <c:pt idx="0">
                  <c:v>40</c:v>
                </c:pt>
              </c:numCache>
            </c:numRef>
          </c:yVal>
          <c:smooth val="0"/>
          <c:extLst>
            <c:ext xmlns:c16="http://schemas.microsoft.com/office/drawing/2014/chart" uri="{C3380CC4-5D6E-409C-BE32-E72D297353CC}">
              <c16:uniqueId val="{0000000B-5E86-EB4F-B625-26414DE0D66D}"/>
            </c:ext>
          </c:extLst>
        </c:ser>
        <c:dLbls>
          <c:showLegendKey val="0"/>
          <c:showVal val="0"/>
          <c:showCatName val="0"/>
          <c:showSerName val="0"/>
          <c:showPercent val="0"/>
          <c:showBubbleSize val="0"/>
        </c:dLbls>
        <c:axId val="2123532863"/>
        <c:axId val="2123534543"/>
      </c:scatterChart>
      <c:valAx>
        <c:axId val="2123532863"/>
        <c:scaling>
          <c:orientation val="minMax"/>
          <c:max val="1"/>
        </c:scaling>
        <c:delete val="0"/>
        <c:axPos val="b"/>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4543"/>
        <c:crosses val="autoZero"/>
        <c:crossBetween val="midCat"/>
        <c:majorUnit val="0.16666667000000002"/>
      </c:valAx>
      <c:valAx>
        <c:axId val="2123534543"/>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Leaf water potential (bar)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3532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7.7080052493438314E-2"/>
                  <c:y val="0.10606481481481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(Vetroz_Blätter!$S$8,Vetroz_Blätter!$S$19,Vetroz_Blätter!$S$27,Vetroz_Blätter!$S$33,Vetroz_Blätter!$S$40,Vetroz_Blätter!$S$46,Vetroz_Blätter!$S$50)</c:f>
              <c:numCache>
                <c:formatCode>0.0</c:formatCode>
                <c:ptCount val="7"/>
                <c:pt idx="0">
                  <c:v>3.6666666666666665</c:v>
                </c:pt>
                <c:pt idx="1">
                  <c:v>3</c:v>
                </c:pt>
                <c:pt idx="2">
                  <c:v>6.666666666666667</c:v>
                </c:pt>
                <c:pt idx="3">
                  <c:v>18.666666666666668</c:v>
                </c:pt>
                <c:pt idx="4">
                  <c:v>15.333333333333334</c:v>
                </c:pt>
                <c:pt idx="5">
                  <c:v>27.333333333333332</c:v>
                </c:pt>
                <c:pt idx="6">
                  <c:v>44</c:v>
                </c:pt>
              </c:numCache>
            </c:numRef>
          </c:xVal>
          <c:yVal>
            <c:numRef>
              <c:f>(Vetroz_Blätter!$T$8,Vetroz_Blätter!$T$19,Vetroz_Blätter!$T$27,Vetroz_Blätter!$T$33,Vetroz_Blätter!$T$40,Vetroz_Blätter!$T$46,Vetroz_Blätter!$T$50)</c:f>
              <c:numCache>
                <c:formatCode>0.0</c:formatCode>
                <c:ptCount val="7"/>
                <c:pt idx="0">
                  <c:v>120</c:v>
                </c:pt>
                <c:pt idx="1">
                  <c:v>155</c:v>
                </c:pt>
                <c:pt idx="2">
                  <c:v>155</c:v>
                </c:pt>
                <c:pt idx="3">
                  <c:v>270</c:v>
                </c:pt>
                <c:pt idx="4">
                  <c:v>250</c:v>
                </c:pt>
                <c:pt idx="5">
                  <c:v>328</c:v>
                </c:pt>
                <c:pt idx="6">
                  <c:v>480</c:v>
                </c:pt>
              </c:numCache>
            </c:numRef>
          </c:yVal>
          <c:smooth val="0"/>
          <c:extLst>
            <c:ext xmlns:c16="http://schemas.microsoft.com/office/drawing/2014/chart" uri="{C3380CC4-5D6E-409C-BE32-E72D297353CC}">
              <c16:uniqueId val="{00000001-337B-2246-B553-9FAEF88360A0}"/>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Oak</a:t>
            </a:r>
            <a:r>
              <a:rPr lang="de-DE" baseline="0"/>
              <a:t> 2</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7.7080052493438314E-2"/>
                  <c:y val="0.10606481481481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(Vetroz_Blätter!$S$67,Vetroz_Blätter!$S$78,Vetroz_Blätter!$S$86,Vetroz_Blätter!$S$92,Vetroz_Blätter!$S$99,Vetroz_Blätter!$S$105,Vetroz_Blätter!$S$109)</c:f>
              <c:numCache>
                <c:formatCode>0.0</c:formatCode>
                <c:ptCount val="7"/>
                <c:pt idx="0">
                  <c:v>4.333333333333333</c:v>
                </c:pt>
                <c:pt idx="1">
                  <c:v>3.6666666666666665</c:v>
                </c:pt>
                <c:pt idx="2">
                  <c:v>7</c:v>
                </c:pt>
                <c:pt idx="3">
                  <c:v>18.333333333333332</c:v>
                </c:pt>
                <c:pt idx="4">
                  <c:v>16.333333333333332</c:v>
                </c:pt>
                <c:pt idx="5">
                  <c:v>26.666666666666668</c:v>
                </c:pt>
                <c:pt idx="6">
                  <c:v>40</c:v>
                </c:pt>
              </c:numCache>
            </c:numRef>
          </c:xVal>
          <c:yVal>
            <c:numRef>
              <c:f>(Vetroz_Blätter!$T$67,Vetroz_Blätter!$T$78,Vetroz_Blätter!$T$86,Vetroz_Blätter!$T$92,Vetroz_Blätter!$T$99,Vetroz_Blätter!$T$105,Vetroz_Blätter!$T$109)</c:f>
              <c:numCache>
                <c:formatCode>0.0</c:formatCode>
                <c:ptCount val="7"/>
                <c:pt idx="0">
                  <c:v>137</c:v>
                </c:pt>
                <c:pt idx="1">
                  <c:v>150</c:v>
                </c:pt>
                <c:pt idx="2">
                  <c:v>173</c:v>
                </c:pt>
                <c:pt idx="3">
                  <c:v>304</c:v>
                </c:pt>
                <c:pt idx="4">
                  <c:v>230</c:v>
                </c:pt>
                <c:pt idx="5">
                  <c:v>302</c:v>
                </c:pt>
                <c:pt idx="6">
                  <c:v>410</c:v>
                </c:pt>
              </c:numCache>
            </c:numRef>
          </c:yVal>
          <c:smooth val="0"/>
          <c:extLst>
            <c:ext xmlns:c16="http://schemas.microsoft.com/office/drawing/2014/chart" uri="{C3380CC4-5D6E-409C-BE32-E72D297353CC}">
              <c16:uniqueId val="{00000002-FEB6-4C4C-A0D7-C06EFAF11AAA}"/>
            </c:ext>
          </c:extLst>
        </c:ser>
        <c:dLbls>
          <c:showLegendKey val="0"/>
          <c:showVal val="0"/>
          <c:showCatName val="0"/>
          <c:showSerName val="0"/>
          <c:showPercent val="0"/>
          <c:showBubbleSize val="0"/>
        </c:dLbls>
        <c:axId val="1164875583"/>
        <c:axId val="1190766015"/>
      </c:scatterChart>
      <c:valAx>
        <c:axId val="1164875583"/>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Psi_leaf_pd (bar)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66015"/>
        <c:crosses val="autoZero"/>
        <c:crossBetween val="midCat"/>
      </c:valAx>
      <c:valAx>
        <c:axId val="1190766015"/>
        <c:scaling>
          <c:orientation val="minMax"/>
          <c:max val="6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TWD (mikro_m)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4875583"/>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30</xdr:col>
      <xdr:colOff>173181</xdr:colOff>
      <xdr:row>2</xdr:row>
      <xdr:rowOff>158172</xdr:rowOff>
    </xdr:from>
    <xdr:to>
      <xdr:col>47</xdr:col>
      <xdr:colOff>300183</xdr:colOff>
      <xdr:row>31</xdr:row>
      <xdr:rowOff>173182</xdr:rowOff>
    </xdr:to>
    <xdr:graphicFrame macro="">
      <xdr:nvGraphicFramePr>
        <xdr:cNvPr id="2" name="Diagramm 1">
          <a:extLst>
            <a:ext uri="{FF2B5EF4-FFF2-40B4-BE49-F238E27FC236}">
              <a16:creationId xmlns:a16="http://schemas.microsoft.com/office/drawing/2014/main" id="{A5D55868-2558-2748-B23D-A4C39FB63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235655</xdr:colOff>
      <xdr:row>32</xdr:row>
      <xdr:rowOff>190500</xdr:rowOff>
    </xdr:from>
    <xdr:to>
      <xdr:col>47</xdr:col>
      <xdr:colOff>362657</xdr:colOff>
      <xdr:row>48</xdr:row>
      <xdr:rowOff>0</xdr:rowOff>
    </xdr:to>
    <xdr:graphicFrame macro="">
      <xdr:nvGraphicFramePr>
        <xdr:cNvPr id="3" name="Diagramm 2">
          <a:extLst>
            <a:ext uri="{FF2B5EF4-FFF2-40B4-BE49-F238E27FC236}">
              <a16:creationId xmlns:a16="http://schemas.microsoft.com/office/drawing/2014/main" id="{6AC07360-B30C-3C45-BF73-8551BB29F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292100</xdr:colOff>
      <xdr:row>48</xdr:row>
      <xdr:rowOff>0</xdr:rowOff>
    </xdr:from>
    <xdr:to>
      <xdr:col>47</xdr:col>
      <xdr:colOff>419102</xdr:colOff>
      <xdr:row>80</xdr:row>
      <xdr:rowOff>27711</xdr:rowOff>
    </xdr:to>
    <xdr:graphicFrame macro="">
      <xdr:nvGraphicFramePr>
        <xdr:cNvPr id="4" name="Diagramm 3">
          <a:extLst>
            <a:ext uri="{FF2B5EF4-FFF2-40B4-BE49-F238E27FC236}">
              <a16:creationId xmlns:a16="http://schemas.microsoft.com/office/drawing/2014/main" id="{E374C349-5020-E648-8013-5B105A199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317500</xdr:colOff>
      <xdr:row>81</xdr:row>
      <xdr:rowOff>50800</xdr:rowOff>
    </xdr:from>
    <xdr:to>
      <xdr:col>47</xdr:col>
      <xdr:colOff>444502</xdr:colOff>
      <xdr:row>107</xdr:row>
      <xdr:rowOff>0</xdr:rowOff>
    </xdr:to>
    <xdr:graphicFrame macro="">
      <xdr:nvGraphicFramePr>
        <xdr:cNvPr id="5" name="Diagramm 4">
          <a:extLst>
            <a:ext uri="{FF2B5EF4-FFF2-40B4-BE49-F238E27FC236}">
              <a16:creationId xmlns:a16="http://schemas.microsoft.com/office/drawing/2014/main" id="{3F63879C-937A-8D47-AF25-5F0A70692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40821</xdr:colOff>
      <xdr:row>107</xdr:row>
      <xdr:rowOff>0</xdr:rowOff>
    </xdr:from>
    <xdr:to>
      <xdr:col>48</xdr:col>
      <xdr:colOff>337156</xdr:colOff>
      <xdr:row>138</xdr:row>
      <xdr:rowOff>176179</xdr:rowOff>
    </xdr:to>
    <xdr:graphicFrame macro="">
      <xdr:nvGraphicFramePr>
        <xdr:cNvPr id="6" name="Diagramm 5">
          <a:extLst>
            <a:ext uri="{FF2B5EF4-FFF2-40B4-BE49-F238E27FC236}">
              <a16:creationId xmlns:a16="http://schemas.microsoft.com/office/drawing/2014/main" id="{0F4D9C32-8686-6C4D-9752-6CC4566A6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381000</xdr:colOff>
      <xdr:row>141</xdr:row>
      <xdr:rowOff>148167</xdr:rowOff>
    </xdr:from>
    <xdr:to>
      <xdr:col>47</xdr:col>
      <xdr:colOff>508002</xdr:colOff>
      <xdr:row>170</xdr:row>
      <xdr:rowOff>0</xdr:rowOff>
    </xdr:to>
    <xdr:graphicFrame macro="">
      <xdr:nvGraphicFramePr>
        <xdr:cNvPr id="7" name="Diagramm 6">
          <a:extLst>
            <a:ext uri="{FF2B5EF4-FFF2-40B4-BE49-F238E27FC236}">
              <a16:creationId xmlns:a16="http://schemas.microsoft.com/office/drawing/2014/main" id="{856B26AD-48F6-704D-86A3-B430B4C69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338667</xdr:colOff>
      <xdr:row>170</xdr:row>
      <xdr:rowOff>0</xdr:rowOff>
    </xdr:from>
    <xdr:to>
      <xdr:col>47</xdr:col>
      <xdr:colOff>465669</xdr:colOff>
      <xdr:row>198</xdr:row>
      <xdr:rowOff>182225</xdr:rowOff>
    </xdr:to>
    <xdr:graphicFrame macro="">
      <xdr:nvGraphicFramePr>
        <xdr:cNvPr id="8" name="Diagramm 7">
          <a:extLst>
            <a:ext uri="{FF2B5EF4-FFF2-40B4-BE49-F238E27FC236}">
              <a16:creationId xmlns:a16="http://schemas.microsoft.com/office/drawing/2014/main" id="{F9FE3035-7296-D54E-AE2A-53A63150A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12700</xdr:rowOff>
    </xdr:from>
    <xdr:to>
      <xdr:col>5</xdr:col>
      <xdr:colOff>444500</xdr:colOff>
      <xdr:row>17</xdr:row>
      <xdr:rowOff>88900</xdr:rowOff>
    </xdr:to>
    <xdr:graphicFrame macro="">
      <xdr:nvGraphicFramePr>
        <xdr:cNvPr id="4" name="Diagramm 3">
          <a:extLst>
            <a:ext uri="{FF2B5EF4-FFF2-40B4-BE49-F238E27FC236}">
              <a16:creationId xmlns:a16="http://schemas.microsoft.com/office/drawing/2014/main" id="{A197471E-F904-7C40-98B6-194212503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38100</xdr:rowOff>
    </xdr:from>
    <xdr:to>
      <xdr:col>5</xdr:col>
      <xdr:colOff>444500</xdr:colOff>
      <xdr:row>33</xdr:row>
      <xdr:rowOff>114300</xdr:rowOff>
    </xdr:to>
    <xdr:graphicFrame macro="">
      <xdr:nvGraphicFramePr>
        <xdr:cNvPr id="5" name="Diagramm 4">
          <a:extLst>
            <a:ext uri="{FF2B5EF4-FFF2-40B4-BE49-F238E27FC236}">
              <a16:creationId xmlns:a16="http://schemas.microsoft.com/office/drawing/2014/main" id="{D332998B-6DBC-DC4B-95E8-1EB46455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35</xdr:row>
      <xdr:rowOff>63500</xdr:rowOff>
    </xdr:from>
    <xdr:to>
      <xdr:col>5</xdr:col>
      <xdr:colOff>457200</xdr:colOff>
      <xdr:row>49</xdr:row>
      <xdr:rowOff>139700</xdr:rowOff>
    </xdr:to>
    <xdr:graphicFrame macro="">
      <xdr:nvGraphicFramePr>
        <xdr:cNvPr id="6" name="Diagramm 5">
          <a:extLst>
            <a:ext uri="{FF2B5EF4-FFF2-40B4-BE49-F238E27FC236}">
              <a16:creationId xmlns:a16="http://schemas.microsoft.com/office/drawing/2014/main" id="{0D041A73-75F3-CA4D-995B-3DC9E1BAA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51</xdr:row>
      <xdr:rowOff>25400</xdr:rowOff>
    </xdr:from>
    <xdr:to>
      <xdr:col>5</xdr:col>
      <xdr:colOff>457200</xdr:colOff>
      <xdr:row>65</xdr:row>
      <xdr:rowOff>101600</xdr:rowOff>
    </xdr:to>
    <xdr:graphicFrame macro="">
      <xdr:nvGraphicFramePr>
        <xdr:cNvPr id="7" name="Diagramm 6">
          <a:extLst>
            <a:ext uri="{FF2B5EF4-FFF2-40B4-BE49-F238E27FC236}">
              <a16:creationId xmlns:a16="http://schemas.microsoft.com/office/drawing/2014/main" id="{42E80710-237C-EB44-9F4F-982CC4A27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67</xdr:row>
      <xdr:rowOff>38100</xdr:rowOff>
    </xdr:from>
    <xdr:to>
      <xdr:col>5</xdr:col>
      <xdr:colOff>457200</xdr:colOff>
      <xdr:row>81</xdr:row>
      <xdr:rowOff>114300</xdr:rowOff>
    </xdr:to>
    <xdr:graphicFrame macro="">
      <xdr:nvGraphicFramePr>
        <xdr:cNvPr id="8" name="Diagramm 7">
          <a:extLst>
            <a:ext uri="{FF2B5EF4-FFF2-40B4-BE49-F238E27FC236}">
              <a16:creationId xmlns:a16="http://schemas.microsoft.com/office/drawing/2014/main" id="{C5EE48EE-7236-924B-88C0-0FE2AC46D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84</xdr:row>
      <xdr:rowOff>25400</xdr:rowOff>
    </xdr:from>
    <xdr:to>
      <xdr:col>5</xdr:col>
      <xdr:colOff>444500</xdr:colOff>
      <xdr:row>98</xdr:row>
      <xdr:rowOff>101600</xdr:rowOff>
    </xdr:to>
    <xdr:graphicFrame macro="">
      <xdr:nvGraphicFramePr>
        <xdr:cNvPr id="9" name="Diagramm 8">
          <a:extLst>
            <a:ext uri="{FF2B5EF4-FFF2-40B4-BE49-F238E27FC236}">
              <a16:creationId xmlns:a16="http://schemas.microsoft.com/office/drawing/2014/main" id="{93F0E9EA-FB2E-3645-8B0F-1100F68B6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12700</xdr:rowOff>
    </xdr:from>
    <xdr:to>
      <xdr:col>5</xdr:col>
      <xdr:colOff>444500</xdr:colOff>
      <xdr:row>17</xdr:row>
      <xdr:rowOff>88900</xdr:rowOff>
    </xdr:to>
    <xdr:graphicFrame macro="">
      <xdr:nvGraphicFramePr>
        <xdr:cNvPr id="2" name="Diagramm 1">
          <a:extLst>
            <a:ext uri="{FF2B5EF4-FFF2-40B4-BE49-F238E27FC236}">
              <a16:creationId xmlns:a16="http://schemas.microsoft.com/office/drawing/2014/main" id="{1B300F3E-3C2F-D542-88F5-0575C8247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35</xdr:row>
      <xdr:rowOff>63500</xdr:rowOff>
    </xdr:from>
    <xdr:to>
      <xdr:col>5</xdr:col>
      <xdr:colOff>457200</xdr:colOff>
      <xdr:row>49</xdr:row>
      <xdr:rowOff>139700</xdr:rowOff>
    </xdr:to>
    <xdr:graphicFrame macro="">
      <xdr:nvGraphicFramePr>
        <xdr:cNvPr id="4" name="Diagramm 3">
          <a:extLst>
            <a:ext uri="{FF2B5EF4-FFF2-40B4-BE49-F238E27FC236}">
              <a16:creationId xmlns:a16="http://schemas.microsoft.com/office/drawing/2014/main" id="{63E94A08-1560-EE4B-9A2D-A91D09CFE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51</xdr:row>
      <xdr:rowOff>25400</xdr:rowOff>
    </xdr:from>
    <xdr:to>
      <xdr:col>5</xdr:col>
      <xdr:colOff>457200</xdr:colOff>
      <xdr:row>65</xdr:row>
      <xdr:rowOff>101600</xdr:rowOff>
    </xdr:to>
    <xdr:graphicFrame macro="">
      <xdr:nvGraphicFramePr>
        <xdr:cNvPr id="5" name="Diagramm 4">
          <a:extLst>
            <a:ext uri="{FF2B5EF4-FFF2-40B4-BE49-F238E27FC236}">
              <a16:creationId xmlns:a16="http://schemas.microsoft.com/office/drawing/2014/main" id="{2624400E-4AE6-E843-A488-BC0BD2956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67</xdr:row>
      <xdr:rowOff>38100</xdr:rowOff>
    </xdr:from>
    <xdr:to>
      <xdr:col>5</xdr:col>
      <xdr:colOff>457200</xdr:colOff>
      <xdr:row>81</xdr:row>
      <xdr:rowOff>114300</xdr:rowOff>
    </xdr:to>
    <xdr:graphicFrame macro="">
      <xdr:nvGraphicFramePr>
        <xdr:cNvPr id="6" name="Diagramm 5">
          <a:extLst>
            <a:ext uri="{FF2B5EF4-FFF2-40B4-BE49-F238E27FC236}">
              <a16:creationId xmlns:a16="http://schemas.microsoft.com/office/drawing/2014/main" id="{173E5072-A92E-AA48-96BB-D2CAE2469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84</xdr:row>
      <xdr:rowOff>25400</xdr:rowOff>
    </xdr:from>
    <xdr:to>
      <xdr:col>5</xdr:col>
      <xdr:colOff>444500</xdr:colOff>
      <xdr:row>98</xdr:row>
      <xdr:rowOff>101600</xdr:rowOff>
    </xdr:to>
    <xdr:graphicFrame macro="">
      <xdr:nvGraphicFramePr>
        <xdr:cNvPr id="7" name="Diagramm 6">
          <a:extLst>
            <a:ext uri="{FF2B5EF4-FFF2-40B4-BE49-F238E27FC236}">
              <a16:creationId xmlns:a16="http://schemas.microsoft.com/office/drawing/2014/main" id="{802C423E-4725-3749-8CEC-4593B2BCF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19</xdr:row>
      <xdr:rowOff>0</xdr:rowOff>
    </xdr:from>
    <xdr:to>
      <xdr:col>5</xdr:col>
      <xdr:colOff>444500</xdr:colOff>
      <xdr:row>33</xdr:row>
      <xdr:rowOff>76200</xdr:rowOff>
    </xdr:to>
    <xdr:graphicFrame macro="">
      <xdr:nvGraphicFramePr>
        <xdr:cNvPr id="8" name="Diagramm 7">
          <a:extLst>
            <a:ext uri="{FF2B5EF4-FFF2-40B4-BE49-F238E27FC236}">
              <a16:creationId xmlns:a16="http://schemas.microsoft.com/office/drawing/2014/main" id="{3C7AD89F-06E6-9D4B-A46B-A519F96C4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12700</xdr:colOff>
      <xdr:row>3</xdr:row>
      <xdr:rowOff>63500</xdr:rowOff>
    </xdr:from>
    <xdr:to>
      <xdr:col>12</xdr:col>
      <xdr:colOff>457200</xdr:colOff>
      <xdr:row>17</xdr:row>
      <xdr:rowOff>139700</xdr:rowOff>
    </xdr:to>
    <xdr:graphicFrame macro="">
      <xdr:nvGraphicFramePr>
        <xdr:cNvPr id="9" name="Diagramm 8">
          <a:extLst>
            <a:ext uri="{FF2B5EF4-FFF2-40B4-BE49-F238E27FC236}">
              <a16:creationId xmlns:a16="http://schemas.microsoft.com/office/drawing/2014/main" id="{7A226FB4-5948-2B43-A0F7-5FC68D14A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19</xdr:row>
      <xdr:rowOff>0</xdr:rowOff>
    </xdr:from>
    <xdr:to>
      <xdr:col>12</xdr:col>
      <xdr:colOff>444500</xdr:colOff>
      <xdr:row>33</xdr:row>
      <xdr:rowOff>76200</xdr:rowOff>
    </xdr:to>
    <xdr:graphicFrame macro="">
      <xdr:nvGraphicFramePr>
        <xdr:cNvPr id="10" name="Diagramm 9">
          <a:extLst>
            <a:ext uri="{FF2B5EF4-FFF2-40B4-BE49-F238E27FC236}">
              <a16:creationId xmlns:a16="http://schemas.microsoft.com/office/drawing/2014/main" id="{3397F1CB-68BB-B748-9C70-504BEF0D5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12700</xdr:colOff>
      <xdr:row>35</xdr:row>
      <xdr:rowOff>38100</xdr:rowOff>
    </xdr:from>
    <xdr:to>
      <xdr:col>12</xdr:col>
      <xdr:colOff>457200</xdr:colOff>
      <xdr:row>49</xdr:row>
      <xdr:rowOff>114300</xdr:rowOff>
    </xdr:to>
    <xdr:graphicFrame macro="">
      <xdr:nvGraphicFramePr>
        <xdr:cNvPr id="11" name="Diagramm 10">
          <a:extLst>
            <a:ext uri="{FF2B5EF4-FFF2-40B4-BE49-F238E27FC236}">
              <a16:creationId xmlns:a16="http://schemas.microsoft.com/office/drawing/2014/main" id="{851D20A6-EDCC-0744-9DC8-D8BA4CBA7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xdr:colOff>
      <xdr:row>51</xdr:row>
      <xdr:rowOff>25400</xdr:rowOff>
    </xdr:from>
    <xdr:to>
      <xdr:col>12</xdr:col>
      <xdr:colOff>457200</xdr:colOff>
      <xdr:row>65</xdr:row>
      <xdr:rowOff>101600</xdr:rowOff>
    </xdr:to>
    <xdr:graphicFrame macro="">
      <xdr:nvGraphicFramePr>
        <xdr:cNvPr id="12" name="Diagramm 11">
          <a:extLst>
            <a:ext uri="{FF2B5EF4-FFF2-40B4-BE49-F238E27FC236}">
              <a16:creationId xmlns:a16="http://schemas.microsoft.com/office/drawing/2014/main" id="{86AC66FE-6D72-D343-9BC6-12E91EC21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67</xdr:row>
      <xdr:rowOff>38100</xdr:rowOff>
    </xdr:from>
    <xdr:to>
      <xdr:col>12</xdr:col>
      <xdr:colOff>444500</xdr:colOff>
      <xdr:row>81</xdr:row>
      <xdr:rowOff>114300</xdr:rowOff>
    </xdr:to>
    <xdr:graphicFrame macro="">
      <xdr:nvGraphicFramePr>
        <xdr:cNvPr id="13" name="Diagramm 12">
          <a:extLst>
            <a:ext uri="{FF2B5EF4-FFF2-40B4-BE49-F238E27FC236}">
              <a16:creationId xmlns:a16="http://schemas.microsoft.com/office/drawing/2014/main" id="{EF13AC13-6AB5-624E-89E9-789CFA988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84</xdr:row>
      <xdr:rowOff>0</xdr:rowOff>
    </xdr:from>
    <xdr:to>
      <xdr:col>12</xdr:col>
      <xdr:colOff>444500</xdr:colOff>
      <xdr:row>98</xdr:row>
      <xdr:rowOff>76200</xdr:rowOff>
    </xdr:to>
    <xdr:graphicFrame macro="">
      <xdr:nvGraphicFramePr>
        <xdr:cNvPr id="16" name="Diagramm 15">
          <a:extLst>
            <a:ext uri="{FF2B5EF4-FFF2-40B4-BE49-F238E27FC236}">
              <a16:creationId xmlns:a16="http://schemas.microsoft.com/office/drawing/2014/main" id="{92E857AD-DBC3-2D4C-B67A-EADC50E28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xdr:row>
      <xdr:rowOff>12700</xdr:rowOff>
    </xdr:from>
    <xdr:to>
      <xdr:col>5</xdr:col>
      <xdr:colOff>482600</xdr:colOff>
      <xdr:row>16</xdr:row>
      <xdr:rowOff>88900</xdr:rowOff>
    </xdr:to>
    <xdr:graphicFrame macro="">
      <xdr:nvGraphicFramePr>
        <xdr:cNvPr id="2" name="Diagramm 1">
          <a:extLst>
            <a:ext uri="{FF2B5EF4-FFF2-40B4-BE49-F238E27FC236}">
              <a16:creationId xmlns:a16="http://schemas.microsoft.com/office/drawing/2014/main" id="{CCBC0D1C-64D8-A84A-9985-37C164B74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2</xdr:row>
      <xdr:rowOff>25400</xdr:rowOff>
    </xdr:from>
    <xdr:to>
      <xdr:col>11</xdr:col>
      <xdr:colOff>266700</xdr:colOff>
      <xdr:row>16</xdr:row>
      <xdr:rowOff>101600</xdr:rowOff>
    </xdr:to>
    <xdr:graphicFrame macro="">
      <xdr:nvGraphicFramePr>
        <xdr:cNvPr id="3" name="Diagramm 2">
          <a:extLst>
            <a:ext uri="{FF2B5EF4-FFF2-40B4-BE49-F238E27FC236}">
              <a16:creationId xmlns:a16="http://schemas.microsoft.com/office/drawing/2014/main" id="{03917BA9-D3F1-AB4D-8E13-41718A1EA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17</xdr:row>
      <xdr:rowOff>50800</xdr:rowOff>
    </xdr:from>
    <xdr:to>
      <xdr:col>11</xdr:col>
      <xdr:colOff>266700</xdr:colOff>
      <xdr:row>31</xdr:row>
      <xdr:rowOff>127000</xdr:rowOff>
    </xdr:to>
    <xdr:graphicFrame macro="">
      <xdr:nvGraphicFramePr>
        <xdr:cNvPr id="4" name="Diagramm 3">
          <a:extLst>
            <a:ext uri="{FF2B5EF4-FFF2-40B4-BE49-F238E27FC236}">
              <a16:creationId xmlns:a16="http://schemas.microsoft.com/office/drawing/2014/main" id="{CEB4C039-91F8-E94E-AAA1-4F9786D16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431800</xdr:colOff>
      <xdr:row>2</xdr:row>
      <xdr:rowOff>25400</xdr:rowOff>
    </xdr:from>
    <xdr:to>
      <xdr:col>17</xdr:col>
      <xdr:colOff>50800</xdr:colOff>
      <xdr:row>16</xdr:row>
      <xdr:rowOff>101600</xdr:rowOff>
    </xdr:to>
    <xdr:graphicFrame macro="">
      <xdr:nvGraphicFramePr>
        <xdr:cNvPr id="5" name="Diagramm 4">
          <a:extLst>
            <a:ext uri="{FF2B5EF4-FFF2-40B4-BE49-F238E27FC236}">
              <a16:creationId xmlns:a16="http://schemas.microsoft.com/office/drawing/2014/main" id="{E70B87E2-FF17-404E-9D57-5DBBDD6F5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431800</xdr:colOff>
      <xdr:row>17</xdr:row>
      <xdr:rowOff>76200</xdr:rowOff>
    </xdr:from>
    <xdr:to>
      <xdr:col>17</xdr:col>
      <xdr:colOff>50800</xdr:colOff>
      <xdr:row>31</xdr:row>
      <xdr:rowOff>152400</xdr:rowOff>
    </xdr:to>
    <xdr:graphicFrame macro="">
      <xdr:nvGraphicFramePr>
        <xdr:cNvPr id="6" name="Diagramm 5">
          <a:extLst>
            <a:ext uri="{FF2B5EF4-FFF2-40B4-BE49-F238E27FC236}">
              <a16:creationId xmlns:a16="http://schemas.microsoft.com/office/drawing/2014/main" id="{669D99E3-945C-CE45-86F4-5B0B7139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xdr:colOff>
      <xdr:row>17</xdr:row>
      <xdr:rowOff>25400</xdr:rowOff>
    </xdr:from>
    <xdr:to>
      <xdr:col>5</xdr:col>
      <xdr:colOff>469900</xdr:colOff>
      <xdr:row>31</xdr:row>
      <xdr:rowOff>101600</xdr:rowOff>
    </xdr:to>
    <xdr:graphicFrame macro="">
      <xdr:nvGraphicFramePr>
        <xdr:cNvPr id="7" name="Diagramm 6">
          <a:extLst>
            <a:ext uri="{FF2B5EF4-FFF2-40B4-BE49-F238E27FC236}">
              <a16:creationId xmlns:a16="http://schemas.microsoft.com/office/drawing/2014/main" id="{2B4FD646-9BC0-B241-927B-4C0AEB890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762000</xdr:colOff>
      <xdr:row>18</xdr:row>
      <xdr:rowOff>50800</xdr:rowOff>
    </xdr:from>
    <xdr:to>
      <xdr:col>16</xdr:col>
      <xdr:colOff>520700</xdr:colOff>
      <xdr:row>46</xdr:row>
      <xdr:rowOff>177800</xdr:rowOff>
    </xdr:to>
    <xdr:graphicFrame macro="">
      <xdr:nvGraphicFramePr>
        <xdr:cNvPr id="2" name="Diagramm 1">
          <a:extLst>
            <a:ext uri="{FF2B5EF4-FFF2-40B4-BE49-F238E27FC236}">
              <a16:creationId xmlns:a16="http://schemas.microsoft.com/office/drawing/2014/main" id="{75FFC2F5-DD43-DB41-B212-30E679044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65</xdr:row>
      <xdr:rowOff>88900</xdr:rowOff>
    </xdr:from>
    <xdr:to>
      <xdr:col>15</xdr:col>
      <xdr:colOff>584200</xdr:colOff>
      <xdr:row>94</xdr:row>
      <xdr:rowOff>25400</xdr:rowOff>
    </xdr:to>
    <xdr:graphicFrame macro="">
      <xdr:nvGraphicFramePr>
        <xdr:cNvPr id="3" name="Diagramm 2">
          <a:extLst>
            <a:ext uri="{FF2B5EF4-FFF2-40B4-BE49-F238E27FC236}">
              <a16:creationId xmlns:a16="http://schemas.microsoft.com/office/drawing/2014/main" id="{804335C5-E210-AC4B-A4A0-6DB0EC5B6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63501</xdr:colOff>
      <xdr:row>3</xdr:row>
      <xdr:rowOff>88901</xdr:rowOff>
    </xdr:from>
    <xdr:to>
      <xdr:col>11</xdr:col>
      <xdr:colOff>584200</xdr:colOff>
      <xdr:row>17</xdr:row>
      <xdr:rowOff>74246</xdr:rowOff>
    </xdr:to>
    <xdr:graphicFrame macro="">
      <xdr:nvGraphicFramePr>
        <xdr:cNvPr id="4" name="Diagramm 3">
          <a:extLst>
            <a:ext uri="{FF2B5EF4-FFF2-40B4-BE49-F238E27FC236}">
              <a16:creationId xmlns:a16="http://schemas.microsoft.com/office/drawing/2014/main" id="{B7F29B83-18DA-B14C-B116-661704240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47</xdr:row>
      <xdr:rowOff>142632</xdr:rowOff>
    </xdr:from>
    <xdr:to>
      <xdr:col>11</xdr:col>
      <xdr:colOff>495300</xdr:colOff>
      <xdr:row>61</xdr:row>
      <xdr:rowOff>118207</xdr:rowOff>
    </xdr:to>
    <xdr:graphicFrame macro="">
      <xdr:nvGraphicFramePr>
        <xdr:cNvPr id="5" name="Diagramm 4">
          <a:extLst>
            <a:ext uri="{FF2B5EF4-FFF2-40B4-BE49-F238E27FC236}">
              <a16:creationId xmlns:a16="http://schemas.microsoft.com/office/drawing/2014/main" id="{93DA2BC5-499E-DD45-B156-D189E1E98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349B0-267B-5944-8E04-D80992FD3AD9}">
  <sheetPr>
    <pageSetUpPr fitToPage="1"/>
  </sheetPr>
  <dimension ref="A1:AZ407"/>
  <sheetViews>
    <sheetView tabSelected="1" zoomScale="120" zoomScaleNormal="120" workbookViewId="0">
      <pane ySplit="2" topLeftCell="A128" activePane="bottomLeft" state="frozen"/>
      <selection pane="bottomLeft" activeCell="V127" sqref="V127"/>
    </sheetView>
  </sheetViews>
  <sheetFormatPr baseColWidth="10" defaultColWidth="8.83203125" defaultRowHeight="15" x14ac:dyDescent="0.2"/>
  <cols>
    <col min="1" max="1" width="6" style="3" bestFit="1" customWidth="1"/>
    <col min="2" max="2" width="12.6640625" customWidth="1"/>
    <col min="3" max="3" width="14.6640625" style="3" customWidth="1"/>
    <col min="4" max="4" width="14.1640625" style="3" customWidth="1"/>
    <col min="5" max="5" width="7.6640625" style="3" bestFit="1" customWidth="1"/>
    <col min="6" max="6" width="7.5" style="89" bestFit="1" customWidth="1"/>
    <col min="7" max="7" width="10.5" customWidth="1"/>
    <col min="8" max="8" width="10.33203125" customWidth="1"/>
    <col min="9" max="9" width="8.83203125" customWidth="1"/>
    <col min="10" max="10" width="14.5" customWidth="1"/>
    <col min="11" max="11" width="6.5" customWidth="1"/>
    <col min="12" max="12" width="9.6640625" customWidth="1"/>
    <col min="13" max="15" width="9.5" customWidth="1"/>
    <col min="16" max="16" width="27" customWidth="1"/>
    <col min="17" max="17" width="62.33203125" customWidth="1"/>
    <col min="18" max="18" width="15.6640625" customWidth="1"/>
    <col min="19" max="19" width="10.1640625" style="7" customWidth="1"/>
    <col min="20" max="20" width="8" style="30" customWidth="1"/>
    <col min="21" max="21" width="11.1640625" style="56" customWidth="1"/>
    <col min="22" max="22" width="11.1640625" style="36" customWidth="1"/>
    <col min="23" max="23" width="11.1640625" style="14" customWidth="1"/>
    <col min="24" max="29" width="11.1640625" style="73" customWidth="1"/>
    <col min="30" max="30" width="11.1640625" style="80" customWidth="1"/>
    <col min="31" max="31" width="11.1640625" bestFit="1" customWidth="1"/>
    <col min="49" max="49" width="11.83203125" bestFit="1" customWidth="1"/>
    <col min="51" max="51" width="10.33203125" bestFit="1" customWidth="1"/>
  </cols>
  <sheetData>
    <row r="1" spans="1:52" ht="16" customHeight="1" x14ac:dyDescent="0.2">
      <c r="A1" s="4" t="s">
        <v>3</v>
      </c>
      <c r="B1" s="4" t="s">
        <v>4</v>
      </c>
      <c r="C1" s="4" t="s">
        <v>5</v>
      </c>
      <c r="D1" s="4" t="s">
        <v>6</v>
      </c>
      <c r="E1" s="4" t="s">
        <v>0</v>
      </c>
      <c r="F1" s="88" t="s">
        <v>16</v>
      </c>
      <c r="G1" s="4" t="s">
        <v>34</v>
      </c>
      <c r="H1" s="4" t="s">
        <v>34</v>
      </c>
      <c r="I1" s="4" t="s">
        <v>13</v>
      </c>
      <c r="J1" s="4" t="s">
        <v>8</v>
      </c>
      <c r="K1" s="4" t="s">
        <v>10</v>
      </c>
      <c r="L1" s="4" t="s">
        <v>34</v>
      </c>
      <c r="M1" s="4" t="s">
        <v>17</v>
      </c>
      <c r="N1" s="4" t="s">
        <v>17</v>
      </c>
      <c r="O1" s="4" t="s">
        <v>17</v>
      </c>
      <c r="P1" s="4" t="s">
        <v>24</v>
      </c>
      <c r="Q1" s="4" t="s">
        <v>12</v>
      </c>
      <c r="R1" s="4" t="s">
        <v>4</v>
      </c>
      <c r="S1" s="33" t="s">
        <v>67</v>
      </c>
      <c r="T1" s="29" t="s">
        <v>59</v>
      </c>
      <c r="U1" s="55" t="s">
        <v>64</v>
      </c>
      <c r="V1" s="35" t="s">
        <v>66</v>
      </c>
      <c r="W1" s="65" t="s">
        <v>98</v>
      </c>
      <c r="X1" s="72" t="s">
        <v>108</v>
      </c>
      <c r="Y1" s="72" t="s">
        <v>108</v>
      </c>
      <c r="Z1" s="72" t="s">
        <v>108</v>
      </c>
      <c r="AA1" s="72" t="s">
        <v>108</v>
      </c>
      <c r="AB1" s="72" t="s">
        <v>108</v>
      </c>
      <c r="AC1" s="72" t="s">
        <v>108</v>
      </c>
      <c r="AD1" s="79" t="s">
        <v>101</v>
      </c>
      <c r="AE1" s="4"/>
    </row>
    <row r="2" spans="1:52" ht="16" customHeight="1" x14ac:dyDescent="0.2">
      <c r="A2" s="4"/>
      <c r="B2" s="4"/>
      <c r="C2" s="4"/>
      <c r="D2" s="4"/>
      <c r="E2" s="4"/>
      <c r="F2" s="88" t="s">
        <v>1</v>
      </c>
      <c r="G2" s="4" t="s">
        <v>2</v>
      </c>
      <c r="H2" s="4" t="s">
        <v>7</v>
      </c>
      <c r="I2" s="4" t="s">
        <v>14</v>
      </c>
      <c r="J2" s="4" t="s">
        <v>9</v>
      </c>
      <c r="K2" s="4"/>
      <c r="L2" s="4" t="s">
        <v>11</v>
      </c>
      <c r="M2" s="4" t="s">
        <v>18</v>
      </c>
      <c r="N2" s="4" t="s">
        <v>19</v>
      </c>
      <c r="O2" s="4" t="s">
        <v>20</v>
      </c>
      <c r="P2" s="4"/>
      <c r="Q2" s="4"/>
      <c r="R2" s="4"/>
      <c r="S2" s="33" t="s">
        <v>68</v>
      </c>
      <c r="T2" s="30" t="s">
        <v>60</v>
      </c>
      <c r="U2" s="56" t="s">
        <v>65</v>
      </c>
      <c r="W2" s="14" t="s">
        <v>99</v>
      </c>
      <c r="X2" s="84" t="s">
        <v>100</v>
      </c>
      <c r="Y2" s="84" t="s">
        <v>103</v>
      </c>
      <c r="Z2" s="84" t="s">
        <v>104</v>
      </c>
      <c r="AA2" s="84" t="s">
        <v>105</v>
      </c>
      <c r="AB2" s="84" t="s">
        <v>106</v>
      </c>
      <c r="AC2" s="84" t="s">
        <v>107</v>
      </c>
      <c r="AD2" s="85" t="s">
        <v>102</v>
      </c>
    </row>
    <row r="3" spans="1:52" ht="16" customHeight="1" x14ac:dyDescent="0.2">
      <c r="A3" s="3" t="s">
        <v>21</v>
      </c>
      <c r="B3" s="1">
        <v>44348</v>
      </c>
      <c r="C3" s="3" t="s">
        <v>25</v>
      </c>
      <c r="D3" s="3" t="s">
        <v>26</v>
      </c>
      <c r="E3" s="3" t="s">
        <v>15</v>
      </c>
      <c r="F3" s="89">
        <v>1</v>
      </c>
      <c r="G3" s="10">
        <v>0.30902777777777773</v>
      </c>
      <c r="H3" s="10">
        <v>0.33194444444444443</v>
      </c>
      <c r="I3" s="3">
        <v>6</v>
      </c>
      <c r="J3" s="3" t="s">
        <v>29</v>
      </c>
      <c r="K3" s="3" t="s">
        <v>28</v>
      </c>
      <c r="L3" s="10">
        <v>0.3347222222222222</v>
      </c>
      <c r="M3" s="3">
        <v>5</v>
      </c>
      <c r="N3" s="3">
        <v>5</v>
      </c>
      <c r="O3" s="3">
        <v>6</v>
      </c>
      <c r="P3" t="s">
        <v>22</v>
      </c>
      <c r="R3" s="1">
        <f>B3</f>
        <v>44348</v>
      </c>
      <c r="S3" s="34">
        <f>AVERAGE(M3:O3)</f>
        <v>5.333333333333333</v>
      </c>
      <c r="T3" s="37"/>
      <c r="U3" s="57"/>
      <c r="V3" s="38"/>
      <c r="W3" s="66"/>
      <c r="X3" s="74"/>
      <c r="Y3" s="74"/>
      <c r="Z3" s="74"/>
      <c r="AA3" s="74"/>
      <c r="AB3" s="74"/>
      <c r="AC3" s="74"/>
      <c r="AD3" s="81"/>
    </row>
    <row r="4" spans="1:52" ht="16" customHeight="1" x14ac:dyDescent="0.2">
      <c r="A4" s="3" t="s">
        <v>21</v>
      </c>
      <c r="B4" s="1">
        <v>44348</v>
      </c>
      <c r="C4" s="3" t="s">
        <v>25</v>
      </c>
      <c r="D4" s="3" t="s">
        <v>26</v>
      </c>
      <c r="E4" s="3" t="s">
        <v>15</v>
      </c>
      <c r="F4" s="89">
        <v>1</v>
      </c>
      <c r="G4" s="10">
        <v>0.41319444444444442</v>
      </c>
      <c r="H4" s="10">
        <v>0.43541666666666662</v>
      </c>
      <c r="I4" s="3">
        <v>6</v>
      </c>
      <c r="J4" s="3" t="s">
        <v>30</v>
      </c>
      <c r="K4" s="3" t="s">
        <v>28</v>
      </c>
      <c r="L4" s="10">
        <v>0.43611111111111112</v>
      </c>
      <c r="M4" s="3">
        <v>8</v>
      </c>
      <c r="N4" s="3">
        <v>8</v>
      </c>
      <c r="O4" s="3">
        <v>8</v>
      </c>
      <c r="P4" t="s">
        <v>22</v>
      </c>
      <c r="R4" s="1">
        <f t="shared" ref="R4:R13" si="0">B4</f>
        <v>44348</v>
      </c>
      <c r="S4" s="34">
        <f>AVERAGE(M4:O4)</f>
        <v>8</v>
      </c>
      <c r="T4" s="37"/>
      <c r="U4" s="57"/>
      <c r="V4" s="38"/>
      <c r="W4" s="66"/>
      <c r="X4" s="74"/>
      <c r="Y4" s="74"/>
      <c r="Z4" s="74"/>
      <c r="AA4" s="74"/>
      <c r="AB4" s="74"/>
      <c r="AC4" s="74"/>
      <c r="AD4" s="81"/>
      <c r="AW4" s="26" t="s">
        <v>56</v>
      </c>
    </row>
    <row r="5" spans="1:52" ht="16" customHeight="1" x14ac:dyDescent="0.2">
      <c r="A5" s="3" t="s">
        <v>21</v>
      </c>
      <c r="B5" s="1">
        <v>44348</v>
      </c>
      <c r="C5" s="3" t="s">
        <v>25</v>
      </c>
      <c r="D5" s="3" t="s">
        <v>26</v>
      </c>
      <c r="E5" s="3" t="s">
        <v>15</v>
      </c>
      <c r="F5" s="89">
        <v>1</v>
      </c>
      <c r="G5" s="10">
        <v>0.49999999999999994</v>
      </c>
      <c r="H5" s="10">
        <v>0.52500000000000002</v>
      </c>
      <c r="I5" s="3">
        <v>6</v>
      </c>
      <c r="J5" s="3" t="s">
        <v>31</v>
      </c>
      <c r="K5" s="3" t="s">
        <v>28</v>
      </c>
      <c r="L5" s="10">
        <v>0.52638888888888891</v>
      </c>
      <c r="M5" s="3">
        <v>9</v>
      </c>
      <c r="N5" s="3">
        <v>9</v>
      </c>
      <c r="O5" s="3">
        <v>10</v>
      </c>
      <c r="P5" t="s">
        <v>22</v>
      </c>
      <c r="R5" s="1">
        <f t="shared" si="0"/>
        <v>44348</v>
      </c>
      <c r="S5" s="34">
        <f t="shared" ref="S4:S11" si="1">AVERAGE(M5:O5)</f>
        <v>9.3333333333333339</v>
      </c>
      <c r="T5" s="39">
        <f>8310-8180</f>
        <v>130</v>
      </c>
      <c r="U5" s="57">
        <v>270.3</v>
      </c>
      <c r="V5" s="40"/>
      <c r="W5" s="67"/>
      <c r="X5" s="75"/>
      <c r="Y5" s="75"/>
      <c r="Z5" s="75"/>
      <c r="AA5" s="75"/>
      <c r="AB5" s="75"/>
      <c r="AC5" s="75"/>
      <c r="AD5" s="82"/>
      <c r="AW5" s="31" t="s">
        <v>71</v>
      </c>
    </row>
    <row r="6" spans="1:52" ht="16" customHeight="1" x14ac:dyDescent="0.2">
      <c r="A6" s="3" t="s">
        <v>21</v>
      </c>
      <c r="B6" s="1">
        <v>44348</v>
      </c>
      <c r="C6" s="3" t="s">
        <v>25</v>
      </c>
      <c r="D6" s="3" t="s">
        <v>26</v>
      </c>
      <c r="E6" s="3" t="s">
        <v>15</v>
      </c>
      <c r="F6" s="89">
        <v>1</v>
      </c>
      <c r="G6" s="10">
        <v>0.60763888888888895</v>
      </c>
      <c r="H6" s="10">
        <v>0.63541666666666674</v>
      </c>
      <c r="I6" s="3">
        <v>6</v>
      </c>
      <c r="J6" s="3" t="s">
        <v>30</v>
      </c>
      <c r="K6" s="3" t="s">
        <v>28</v>
      </c>
      <c r="L6" s="10">
        <v>0.63680555555555562</v>
      </c>
      <c r="M6" s="3">
        <v>9</v>
      </c>
      <c r="N6" s="3">
        <v>9</v>
      </c>
      <c r="O6" s="3">
        <v>9</v>
      </c>
      <c r="P6" t="s">
        <v>22</v>
      </c>
      <c r="R6" s="1">
        <f t="shared" si="0"/>
        <v>44348</v>
      </c>
      <c r="S6" s="34">
        <f t="shared" si="1"/>
        <v>9</v>
      </c>
      <c r="T6" s="37"/>
      <c r="U6" s="57"/>
      <c r="V6" s="38"/>
      <c r="W6" s="66"/>
      <c r="X6" s="74"/>
      <c r="Y6" s="74"/>
      <c r="Z6" s="74"/>
      <c r="AA6" s="74"/>
      <c r="AB6" s="74"/>
      <c r="AC6" s="74"/>
      <c r="AD6" s="81"/>
      <c r="AW6" s="27">
        <f>AVERAGE(S5,S64,S127,S192,S268,S343)-AVERAGE(S11,S70,S133,S198,S274,S350)</f>
        <v>-5.277777777777775</v>
      </c>
      <c r="AX6" s="27" t="s">
        <v>57</v>
      </c>
      <c r="AY6" s="27">
        <f>(AW6/AVERAGE(S11,S70,S133,S198,S274,S350))*-100</f>
        <v>39.419087136929441</v>
      </c>
      <c r="AZ6" s="27" t="s">
        <v>58</v>
      </c>
    </row>
    <row r="7" spans="1:52" ht="16" customHeight="1" x14ac:dyDescent="0.2">
      <c r="A7" s="3" t="s">
        <v>21</v>
      </c>
      <c r="B7" s="1">
        <v>44348</v>
      </c>
      <c r="C7" s="3" t="s">
        <v>25</v>
      </c>
      <c r="D7" s="3" t="s">
        <v>26</v>
      </c>
      <c r="E7" s="3" t="s">
        <v>15</v>
      </c>
      <c r="F7" s="89">
        <v>1</v>
      </c>
      <c r="G7" s="10">
        <v>0.70833333333333337</v>
      </c>
      <c r="H7" s="10">
        <v>0.74305555555555558</v>
      </c>
      <c r="I7" s="3">
        <v>6</v>
      </c>
      <c r="J7" s="12" t="s">
        <v>32</v>
      </c>
      <c r="K7" s="3" t="s">
        <v>28</v>
      </c>
      <c r="L7" s="10">
        <v>0.74444444444444446</v>
      </c>
      <c r="M7" s="3">
        <v>7</v>
      </c>
      <c r="N7" s="3">
        <v>7</v>
      </c>
      <c r="O7" s="3">
        <v>10</v>
      </c>
      <c r="P7" t="s">
        <v>22</v>
      </c>
      <c r="Q7" t="s">
        <v>33</v>
      </c>
      <c r="R7" s="1">
        <f t="shared" si="0"/>
        <v>44348</v>
      </c>
      <c r="S7" s="34">
        <f t="shared" si="1"/>
        <v>8</v>
      </c>
      <c r="T7" s="37"/>
      <c r="U7" s="57"/>
      <c r="V7" s="38"/>
      <c r="W7" s="66"/>
      <c r="X7" s="74"/>
      <c r="Y7" s="74"/>
      <c r="Z7" s="74"/>
      <c r="AA7" s="74"/>
      <c r="AB7" s="74"/>
      <c r="AC7" s="74"/>
      <c r="AD7" s="81"/>
      <c r="AW7" s="18"/>
      <c r="AY7" s="28"/>
    </row>
    <row r="8" spans="1:52" ht="16" customHeight="1" x14ac:dyDescent="0.2">
      <c r="A8" s="5" t="s">
        <v>21</v>
      </c>
      <c r="B8" s="6">
        <v>44348</v>
      </c>
      <c r="C8" s="5" t="s">
        <v>25</v>
      </c>
      <c r="D8" s="5" t="s">
        <v>26</v>
      </c>
      <c r="E8" s="5" t="s">
        <v>15</v>
      </c>
      <c r="F8" s="90">
        <v>1</v>
      </c>
      <c r="G8" s="5" t="s">
        <v>27</v>
      </c>
      <c r="H8" s="11">
        <v>0.14583333333333334</v>
      </c>
      <c r="I8" s="5">
        <v>6</v>
      </c>
      <c r="J8" s="5" t="s">
        <v>27</v>
      </c>
      <c r="K8" s="5" t="s">
        <v>28</v>
      </c>
      <c r="L8" s="11">
        <v>0.14722222222222223</v>
      </c>
      <c r="M8" s="5">
        <v>3</v>
      </c>
      <c r="N8" s="5">
        <v>4</v>
      </c>
      <c r="O8" s="5">
        <v>4</v>
      </c>
      <c r="P8" s="7" t="s">
        <v>23</v>
      </c>
      <c r="Q8" s="7"/>
      <c r="R8" s="1">
        <f t="shared" si="0"/>
        <v>44348</v>
      </c>
      <c r="S8" s="34">
        <f>AVERAGE(M8:O8)</f>
        <v>3.6666666666666665</v>
      </c>
      <c r="T8" s="39">
        <f>8310-8190</f>
        <v>120</v>
      </c>
      <c r="U8" s="58"/>
      <c r="V8" s="40"/>
      <c r="W8" s="67"/>
      <c r="X8" s="75"/>
      <c r="Y8" s="75"/>
      <c r="Z8" s="75"/>
      <c r="AA8" s="75"/>
      <c r="AB8" s="75"/>
      <c r="AC8" s="75"/>
      <c r="AD8" s="82"/>
      <c r="AW8" s="18"/>
      <c r="AY8" s="28"/>
    </row>
    <row r="9" spans="1:52" ht="16" customHeight="1" x14ac:dyDescent="0.2">
      <c r="A9" s="5" t="s">
        <v>21</v>
      </c>
      <c r="B9" s="6">
        <v>44348</v>
      </c>
      <c r="C9" s="5" t="s">
        <v>25</v>
      </c>
      <c r="D9" s="5" t="s">
        <v>26</v>
      </c>
      <c r="E9" s="5" t="s">
        <v>15</v>
      </c>
      <c r="F9" s="90">
        <v>1</v>
      </c>
      <c r="G9" s="5" t="s">
        <v>27</v>
      </c>
      <c r="H9" s="11">
        <v>0.33194444444444443</v>
      </c>
      <c r="I9" s="5">
        <v>6</v>
      </c>
      <c r="J9" s="5" t="s">
        <v>29</v>
      </c>
      <c r="K9" s="5" t="s">
        <v>28</v>
      </c>
      <c r="L9" s="11">
        <v>0.33333333333333331</v>
      </c>
      <c r="M9" s="5">
        <v>7</v>
      </c>
      <c r="N9" s="5">
        <v>7</v>
      </c>
      <c r="O9" s="5">
        <v>8</v>
      </c>
      <c r="P9" s="7" t="s">
        <v>23</v>
      </c>
      <c r="Q9" s="7"/>
      <c r="R9" s="1">
        <f t="shared" si="0"/>
        <v>44348</v>
      </c>
      <c r="S9" s="34">
        <f t="shared" si="1"/>
        <v>7.333333333333333</v>
      </c>
      <c r="T9" s="37"/>
      <c r="U9" s="57"/>
      <c r="V9" s="38"/>
      <c r="W9" s="66"/>
      <c r="X9" s="74"/>
      <c r="Y9" s="74"/>
      <c r="Z9" s="74"/>
      <c r="AA9" s="74"/>
      <c r="AB9" s="74"/>
      <c r="AC9" s="74"/>
      <c r="AD9" s="81"/>
      <c r="AW9" s="18"/>
      <c r="AY9" s="28"/>
    </row>
    <row r="10" spans="1:52" ht="16" customHeight="1" x14ac:dyDescent="0.2">
      <c r="A10" s="5" t="s">
        <v>21</v>
      </c>
      <c r="B10" s="6">
        <v>44348</v>
      </c>
      <c r="C10" s="5" t="s">
        <v>25</v>
      </c>
      <c r="D10" s="5" t="s">
        <v>26</v>
      </c>
      <c r="E10" s="5" t="s">
        <v>15</v>
      </c>
      <c r="F10" s="90">
        <v>1</v>
      </c>
      <c r="G10" s="11" t="s">
        <v>27</v>
      </c>
      <c r="H10" s="11">
        <v>0.43263888888888885</v>
      </c>
      <c r="I10" s="5">
        <v>6</v>
      </c>
      <c r="J10" s="5" t="s">
        <v>30</v>
      </c>
      <c r="K10" s="5" t="s">
        <v>28</v>
      </c>
      <c r="L10" s="11">
        <v>0.43402777777777773</v>
      </c>
      <c r="M10" s="5">
        <v>14</v>
      </c>
      <c r="N10" s="5">
        <v>12</v>
      </c>
      <c r="O10" s="5">
        <v>14</v>
      </c>
      <c r="P10" s="7" t="s">
        <v>23</v>
      </c>
      <c r="Q10" s="7"/>
      <c r="R10" s="1">
        <f t="shared" si="0"/>
        <v>44348</v>
      </c>
      <c r="S10" s="34">
        <f>AVERAGE(M10:O10)</f>
        <v>13.333333333333334</v>
      </c>
      <c r="T10" s="37"/>
      <c r="U10" s="57"/>
      <c r="V10" s="38"/>
      <c r="W10" s="66"/>
      <c r="X10" s="74"/>
      <c r="Y10" s="74"/>
      <c r="Z10" s="74"/>
      <c r="AA10" s="74"/>
      <c r="AB10" s="74"/>
      <c r="AC10" s="74"/>
      <c r="AD10" s="81"/>
      <c r="AW10" s="18"/>
      <c r="AY10" s="28"/>
    </row>
    <row r="11" spans="1:52" ht="16" customHeight="1" x14ac:dyDescent="0.2">
      <c r="A11" s="5" t="s">
        <v>21</v>
      </c>
      <c r="B11" s="6">
        <v>44348</v>
      </c>
      <c r="C11" s="5" t="s">
        <v>25</v>
      </c>
      <c r="D11" s="5" t="s">
        <v>26</v>
      </c>
      <c r="E11" s="5" t="s">
        <v>15</v>
      </c>
      <c r="F11" s="90">
        <v>1</v>
      </c>
      <c r="G11" s="11" t="s">
        <v>27</v>
      </c>
      <c r="H11" s="11">
        <v>0.52083333333333337</v>
      </c>
      <c r="I11" s="5">
        <v>6</v>
      </c>
      <c r="J11" s="5" t="s">
        <v>31</v>
      </c>
      <c r="K11" s="5" t="s">
        <v>28</v>
      </c>
      <c r="L11" s="11">
        <v>0.52222222222222225</v>
      </c>
      <c r="M11" s="5">
        <v>15</v>
      </c>
      <c r="N11" s="5">
        <v>16</v>
      </c>
      <c r="O11" s="5">
        <v>18</v>
      </c>
      <c r="P11" s="7" t="s">
        <v>23</v>
      </c>
      <c r="Q11" s="7"/>
      <c r="R11" s="1">
        <f t="shared" si="0"/>
        <v>44348</v>
      </c>
      <c r="S11" s="34">
        <f t="shared" si="1"/>
        <v>16.333333333333332</v>
      </c>
      <c r="T11" s="39">
        <f>8310-8180</f>
        <v>130</v>
      </c>
      <c r="U11" s="57">
        <v>270.3</v>
      </c>
      <c r="V11" s="40"/>
      <c r="W11" s="67"/>
      <c r="X11" s="75"/>
      <c r="Y11" s="75"/>
      <c r="Z11" s="75"/>
      <c r="AA11" s="75"/>
      <c r="AB11" s="75"/>
      <c r="AC11" s="75"/>
      <c r="AD11" s="82"/>
      <c r="AW11" s="18"/>
      <c r="AY11" s="28"/>
    </row>
    <row r="12" spans="1:52" ht="16" customHeight="1" x14ac:dyDescent="0.2">
      <c r="A12" s="5" t="s">
        <v>21</v>
      </c>
      <c r="B12" s="6">
        <v>44348</v>
      </c>
      <c r="C12" s="5" t="s">
        <v>25</v>
      </c>
      <c r="D12" s="5" t="s">
        <v>26</v>
      </c>
      <c r="E12" s="5" t="s">
        <v>15</v>
      </c>
      <c r="F12" s="90">
        <v>1</v>
      </c>
      <c r="G12" s="11" t="s">
        <v>27</v>
      </c>
      <c r="H12" s="11">
        <v>0.63194444444444453</v>
      </c>
      <c r="I12" s="5">
        <v>6</v>
      </c>
      <c r="J12" s="5" t="s">
        <v>30</v>
      </c>
      <c r="K12" s="5" t="s">
        <v>28</v>
      </c>
      <c r="L12" s="11">
        <v>0.6333333333333333</v>
      </c>
      <c r="M12" s="5">
        <v>15</v>
      </c>
      <c r="N12" s="5">
        <v>16</v>
      </c>
      <c r="O12" s="5">
        <v>17</v>
      </c>
      <c r="P12" s="7" t="s">
        <v>23</v>
      </c>
      <c r="Q12" s="7"/>
      <c r="R12" s="1">
        <f t="shared" si="0"/>
        <v>44348</v>
      </c>
      <c r="S12" s="34">
        <f>AVERAGE(M12:O12)</f>
        <v>16</v>
      </c>
      <c r="T12" s="37"/>
      <c r="U12" s="57"/>
      <c r="V12" s="38"/>
      <c r="W12" s="66"/>
      <c r="X12" s="74"/>
      <c r="Y12" s="74"/>
      <c r="Z12" s="74"/>
      <c r="AA12" s="74"/>
      <c r="AB12" s="74"/>
      <c r="AC12" s="74"/>
      <c r="AD12" s="81"/>
      <c r="AW12" s="18"/>
      <c r="AY12" s="28"/>
    </row>
    <row r="13" spans="1:52" ht="16" customHeight="1" x14ac:dyDescent="0.2">
      <c r="A13" s="5" t="s">
        <v>21</v>
      </c>
      <c r="B13" s="6">
        <v>44348</v>
      </c>
      <c r="C13" s="5" t="s">
        <v>25</v>
      </c>
      <c r="D13" s="5" t="s">
        <v>26</v>
      </c>
      <c r="E13" s="5" t="s">
        <v>15</v>
      </c>
      <c r="F13" s="90">
        <v>1</v>
      </c>
      <c r="G13" s="11" t="s">
        <v>27</v>
      </c>
      <c r="H13" s="11">
        <v>0.74513888888888891</v>
      </c>
      <c r="I13" s="5">
        <v>6</v>
      </c>
      <c r="J13" s="13" t="s">
        <v>32</v>
      </c>
      <c r="K13" s="5" t="s">
        <v>28</v>
      </c>
      <c r="L13" s="11">
        <v>0.7465277777777779</v>
      </c>
      <c r="M13" s="5">
        <v>7</v>
      </c>
      <c r="N13" s="5">
        <v>7</v>
      </c>
      <c r="O13" s="5">
        <v>7</v>
      </c>
      <c r="P13" s="7" t="s">
        <v>23</v>
      </c>
      <c r="Q13" s="7" t="s">
        <v>33</v>
      </c>
      <c r="R13" s="1">
        <f t="shared" si="0"/>
        <v>44348</v>
      </c>
      <c r="S13" s="34">
        <f>AVERAGE(M13:O13)</f>
        <v>7</v>
      </c>
      <c r="T13" s="37"/>
      <c r="U13" s="57"/>
      <c r="V13" s="38"/>
      <c r="W13" s="66"/>
      <c r="X13" s="74"/>
      <c r="Y13" s="74"/>
      <c r="Z13" s="74"/>
      <c r="AA13" s="74"/>
      <c r="AB13" s="74"/>
      <c r="AC13" s="74"/>
      <c r="AD13" s="81"/>
      <c r="AW13" s="18"/>
      <c r="AY13" s="28"/>
    </row>
    <row r="14" spans="1:52" ht="16" customHeight="1" x14ac:dyDescent="0.2">
      <c r="A14" s="8"/>
      <c r="B14" s="17"/>
      <c r="C14" s="8"/>
      <c r="D14" s="8"/>
      <c r="E14" s="8"/>
      <c r="F14" s="91"/>
      <c r="G14" s="15"/>
      <c r="H14" s="15"/>
      <c r="I14" s="8"/>
      <c r="J14" s="16"/>
      <c r="K14" s="8"/>
      <c r="L14" s="15"/>
      <c r="M14" s="8"/>
      <c r="N14" s="8"/>
      <c r="O14" s="8"/>
      <c r="P14" s="9"/>
      <c r="Q14" s="9"/>
      <c r="S14" s="34"/>
      <c r="T14" s="37"/>
      <c r="U14" s="57"/>
      <c r="V14" s="38"/>
      <c r="W14" s="66"/>
      <c r="X14" s="74"/>
      <c r="Y14" s="74"/>
      <c r="Z14" s="74"/>
      <c r="AA14" s="74"/>
      <c r="AB14" s="74"/>
      <c r="AC14" s="74"/>
      <c r="AD14" s="81"/>
      <c r="AW14" s="18"/>
      <c r="AY14" s="28"/>
    </row>
    <row r="15" spans="1:52" ht="16" customHeight="1" x14ac:dyDescent="0.2">
      <c r="A15" s="3" t="s">
        <v>21</v>
      </c>
      <c r="B15" s="1">
        <v>44398</v>
      </c>
      <c r="C15" s="3" t="s">
        <v>25</v>
      </c>
      <c r="D15" s="3" t="s">
        <v>35</v>
      </c>
      <c r="E15" s="3" t="s">
        <v>15</v>
      </c>
      <c r="F15" s="89">
        <v>1</v>
      </c>
      <c r="G15" s="10">
        <v>0.32291666666666663</v>
      </c>
      <c r="H15" s="10">
        <v>0.39097222222222217</v>
      </c>
      <c r="I15" s="3">
        <v>6</v>
      </c>
      <c r="J15" s="12" t="s">
        <v>30</v>
      </c>
      <c r="K15" s="3" t="s">
        <v>28</v>
      </c>
      <c r="L15" s="10">
        <v>0.39236111111111105</v>
      </c>
      <c r="M15" s="3">
        <v>6</v>
      </c>
      <c r="N15" s="3">
        <v>7</v>
      </c>
      <c r="O15" s="3">
        <v>7</v>
      </c>
      <c r="P15" t="s">
        <v>22</v>
      </c>
      <c r="R15" s="1">
        <f t="shared" ref="R15:R23" si="2">B15</f>
        <v>44398</v>
      </c>
      <c r="S15" s="34">
        <f t="shared" ref="S15:S41" si="3">AVERAGE(M15:O15)</f>
        <v>6.666666666666667</v>
      </c>
      <c r="T15" s="37"/>
      <c r="U15" s="57"/>
      <c r="V15" s="38"/>
      <c r="W15" s="66"/>
      <c r="X15" s="74"/>
      <c r="Y15" s="74"/>
      <c r="Z15" s="74"/>
      <c r="AA15" s="74"/>
      <c r="AB15" s="74"/>
      <c r="AC15" s="74"/>
      <c r="AD15" s="81"/>
      <c r="AW15" s="18"/>
      <c r="AY15" s="28"/>
    </row>
    <row r="16" spans="1:52" ht="16" customHeight="1" x14ac:dyDescent="0.2">
      <c r="A16" s="3" t="s">
        <v>21</v>
      </c>
      <c r="B16" s="1">
        <v>44398</v>
      </c>
      <c r="C16" s="3" t="s">
        <v>25</v>
      </c>
      <c r="D16" s="3" t="s">
        <v>35</v>
      </c>
      <c r="E16" s="3" t="s">
        <v>15</v>
      </c>
      <c r="F16" s="89">
        <v>1</v>
      </c>
      <c r="G16" s="10">
        <v>0.47222222222222227</v>
      </c>
      <c r="H16" s="10">
        <v>0.53263888888888888</v>
      </c>
      <c r="I16" s="3">
        <v>6</v>
      </c>
      <c r="J16" s="12" t="s">
        <v>29</v>
      </c>
      <c r="K16" s="3" t="s">
        <v>28</v>
      </c>
      <c r="L16" s="10">
        <v>0.53472222222222232</v>
      </c>
      <c r="M16" s="3">
        <v>10</v>
      </c>
      <c r="N16" s="3">
        <v>10</v>
      </c>
      <c r="O16" s="3">
        <v>11</v>
      </c>
      <c r="P16" t="s">
        <v>22</v>
      </c>
      <c r="R16" s="1">
        <f t="shared" si="2"/>
        <v>44398</v>
      </c>
      <c r="S16" s="34">
        <f t="shared" si="3"/>
        <v>10.333333333333334</v>
      </c>
      <c r="T16" s="39">
        <f>8585-8411</f>
        <v>174</v>
      </c>
      <c r="U16" s="57">
        <v>372.33333333333331</v>
      </c>
      <c r="V16" s="40"/>
      <c r="W16" s="67"/>
      <c r="X16" s="75"/>
      <c r="Y16" s="75"/>
      <c r="Z16" s="75"/>
      <c r="AA16" s="75"/>
      <c r="AB16" s="75"/>
      <c r="AC16" s="75"/>
      <c r="AD16" s="82"/>
      <c r="AW16" s="18"/>
      <c r="AY16" s="28"/>
    </row>
    <row r="17" spans="1:51" ht="16" customHeight="1" x14ac:dyDescent="0.2">
      <c r="A17" s="3" t="s">
        <v>21</v>
      </c>
      <c r="B17" s="1">
        <v>44398</v>
      </c>
      <c r="C17" s="3" t="s">
        <v>25</v>
      </c>
      <c r="D17" s="3" t="s">
        <v>35</v>
      </c>
      <c r="E17" s="3" t="s">
        <v>15</v>
      </c>
      <c r="F17" s="89">
        <v>1</v>
      </c>
      <c r="G17" s="10">
        <v>0.58680555555555558</v>
      </c>
      <c r="H17" s="10">
        <v>0.64097222222222228</v>
      </c>
      <c r="I17" s="3">
        <v>6</v>
      </c>
      <c r="J17" s="12" t="s">
        <v>30</v>
      </c>
      <c r="K17" s="3" t="s">
        <v>28</v>
      </c>
      <c r="L17" s="10">
        <v>0.6430555555555556</v>
      </c>
      <c r="M17" s="3">
        <v>10</v>
      </c>
      <c r="N17" s="3">
        <v>12</v>
      </c>
      <c r="O17" s="3">
        <v>13</v>
      </c>
      <c r="P17" t="s">
        <v>22</v>
      </c>
      <c r="R17" s="1">
        <f t="shared" si="2"/>
        <v>44398</v>
      </c>
      <c r="S17" s="34">
        <f t="shared" si="3"/>
        <v>11.666666666666666</v>
      </c>
      <c r="T17" s="37"/>
      <c r="U17" s="57"/>
      <c r="V17" s="38"/>
      <c r="W17" s="66"/>
      <c r="X17" s="74"/>
      <c r="Y17" s="74"/>
      <c r="Z17" s="74"/>
      <c r="AA17" s="74"/>
      <c r="AB17" s="74"/>
      <c r="AC17" s="74"/>
      <c r="AD17" s="81"/>
      <c r="AW17" s="18"/>
      <c r="AY17" s="28"/>
    </row>
    <row r="18" spans="1:51" ht="16" customHeight="1" x14ac:dyDescent="0.2">
      <c r="A18" s="3" t="s">
        <v>21</v>
      </c>
      <c r="B18" s="1">
        <v>44398</v>
      </c>
      <c r="C18" s="3" t="s">
        <v>25</v>
      </c>
      <c r="D18" s="3" t="s">
        <v>35</v>
      </c>
      <c r="E18" s="3" t="s">
        <v>15</v>
      </c>
      <c r="F18" s="89">
        <v>1</v>
      </c>
      <c r="G18" s="10">
        <v>0.65972222222222221</v>
      </c>
      <c r="H18" s="10">
        <v>0.7236111111111112</v>
      </c>
      <c r="I18" s="3">
        <v>6</v>
      </c>
      <c r="J18" s="12" t="s">
        <v>30</v>
      </c>
      <c r="K18" s="3" t="s">
        <v>28</v>
      </c>
      <c r="L18" s="10">
        <v>0.72569444444444453</v>
      </c>
      <c r="M18" s="3">
        <v>11</v>
      </c>
      <c r="N18" s="3">
        <v>11</v>
      </c>
      <c r="O18" s="3">
        <v>14</v>
      </c>
      <c r="P18" t="s">
        <v>22</v>
      </c>
      <c r="R18" s="1">
        <f t="shared" si="2"/>
        <v>44398</v>
      </c>
      <c r="S18" s="34">
        <f t="shared" si="3"/>
        <v>12</v>
      </c>
      <c r="T18" s="37"/>
      <c r="U18" s="57"/>
      <c r="V18" s="38"/>
      <c r="W18" s="66"/>
      <c r="X18" s="74"/>
      <c r="Y18" s="74"/>
      <c r="Z18" s="74"/>
      <c r="AA18" s="74"/>
      <c r="AB18" s="74"/>
      <c r="AC18" s="74"/>
      <c r="AD18" s="81"/>
      <c r="AW18" s="18"/>
      <c r="AY18" s="28"/>
    </row>
    <row r="19" spans="1:51" ht="16" customHeight="1" x14ac:dyDescent="0.2">
      <c r="A19" s="5" t="s">
        <v>21</v>
      </c>
      <c r="B19" s="6">
        <v>44398</v>
      </c>
      <c r="C19" s="5" t="s">
        <v>25</v>
      </c>
      <c r="D19" s="5" t="s">
        <v>35</v>
      </c>
      <c r="E19" s="5" t="s">
        <v>15</v>
      </c>
      <c r="F19" s="90">
        <v>1</v>
      </c>
      <c r="G19" s="11" t="s">
        <v>27</v>
      </c>
      <c r="H19" s="11">
        <v>0.17430555555555557</v>
      </c>
      <c r="I19" s="5">
        <v>6</v>
      </c>
      <c r="J19" s="13" t="s">
        <v>27</v>
      </c>
      <c r="K19" s="5" t="s">
        <v>28</v>
      </c>
      <c r="L19" s="11">
        <v>0.1763888888888889</v>
      </c>
      <c r="M19" s="5">
        <v>3</v>
      </c>
      <c r="N19" s="5">
        <v>3</v>
      </c>
      <c r="O19" s="5">
        <v>3</v>
      </c>
      <c r="P19" s="7" t="s">
        <v>23</v>
      </c>
      <c r="Q19" s="7"/>
      <c r="R19" s="1">
        <f t="shared" si="2"/>
        <v>44398</v>
      </c>
      <c r="S19" s="34">
        <f t="shared" si="3"/>
        <v>3</v>
      </c>
      <c r="T19" s="39">
        <f>8585-8430</f>
        <v>155</v>
      </c>
      <c r="U19" s="57"/>
      <c r="V19" s="40"/>
      <c r="W19" s="67"/>
      <c r="X19" s="75"/>
      <c r="Y19" s="75"/>
      <c r="Z19" s="75"/>
      <c r="AA19" s="75"/>
      <c r="AB19" s="75"/>
      <c r="AC19" s="75"/>
      <c r="AD19" s="82"/>
      <c r="AW19" s="18"/>
      <c r="AY19" s="28"/>
    </row>
    <row r="20" spans="1:51" ht="16" customHeight="1" x14ac:dyDescent="0.2">
      <c r="A20" s="5" t="s">
        <v>21</v>
      </c>
      <c r="B20" s="6">
        <v>44398</v>
      </c>
      <c r="C20" s="5" t="s">
        <v>25</v>
      </c>
      <c r="D20" s="5" t="s">
        <v>35</v>
      </c>
      <c r="E20" s="5" t="s">
        <v>15</v>
      </c>
      <c r="F20" s="90">
        <v>1</v>
      </c>
      <c r="G20" s="11" t="s">
        <v>27</v>
      </c>
      <c r="H20" s="11">
        <v>0.3972222222222222</v>
      </c>
      <c r="I20" s="5">
        <v>6</v>
      </c>
      <c r="J20" s="13" t="s">
        <v>30</v>
      </c>
      <c r="K20" s="5" t="s">
        <v>28</v>
      </c>
      <c r="L20" s="11">
        <v>0.39930555555555558</v>
      </c>
      <c r="M20" s="5">
        <v>9</v>
      </c>
      <c r="N20" s="5">
        <v>14</v>
      </c>
      <c r="O20" s="5">
        <v>14</v>
      </c>
      <c r="P20" s="7" t="s">
        <v>23</v>
      </c>
      <c r="Q20" s="7"/>
      <c r="R20" s="1">
        <f t="shared" si="2"/>
        <v>44398</v>
      </c>
      <c r="S20" s="34">
        <f t="shared" si="3"/>
        <v>12.333333333333334</v>
      </c>
      <c r="T20" s="37"/>
      <c r="U20" s="57"/>
      <c r="V20" s="38"/>
      <c r="W20" s="66"/>
      <c r="X20" s="74"/>
      <c r="Y20" s="74"/>
      <c r="Z20" s="74"/>
      <c r="AA20" s="74"/>
      <c r="AB20" s="74"/>
      <c r="AC20" s="74"/>
      <c r="AD20" s="81"/>
      <c r="AW20" s="18"/>
      <c r="AY20" s="28"/>
    </row>
    <row r="21" spans="1:51" ht="16" customHeight="1" x14ac:dyDescent="0.2">
      <c r="A21" s="5" t="s">
        <v>21</v>
      </c>
      <c r="B21" s="6">
        <v>44398</v>
      </c>
      <c r="C21" s="5" t="s">
        <v>25</v>
      </c>
      <c r="D21" s="5" t="s">
        <v>35</v>
      </c>
      <c r="E21" s="5" t="s">
        <v>15</v>
      </c>
      <c r="F21" s="90">
        <v>1</v>
      </c>
      <c r="G21" s="11" t="s">
        <v>27</v>
      </c>
      <c r="H21" s="11">
        <v>0.53819444444444442</v>
      </c>
      <c r="I21" s="5">
        <v>6</v>
      </c>
      <c r="J21" s="13" t="s">
        <v>29</v>
      </c>
      <c r="K21" s="5" t="s">
        <v>28</v>
      </c>
      <c r="L21" s="11">
        <v>0.54027777777777786</v>
      </c>
      <c r="M21" s="5">
        <v>19</v>
      </c>
      <c r="N21" s="5">
        <v>20</v>
      </c>
      <c r="O21" s="5">
        <v>22</v>
      </c>
      <c r="P21" s="7" t="s">
        <v>23</v>
      </c>
      <c r="Q21" s="7"/>
      <c r="R21" s="1">
        <f t="shared" si="2"/>
        <v>44398</v>
      </c>
      <c r="S21" s="34">
        <f t="shared" si="3"/>
        <v>20.333333333333332</v>
      </c>
      <c r="T21" s="39">
        <f>8585-8411</f>
        <v>174</v>
      </c>
      <c r="U21" s="57">
        <v>372.33333333333331</v>
      </c>
      <c r="V21" s="40"/>
      <c r="W21" s="67"/>
      <c r="X21" s="75"/>
      <c r="Y21" s="75"/>
      <c r="Z21" s="75"/>
      <c r="AA21" s="75"/>
      <c r="AB21" s="75"/>
      <c r="AC21" s="75"/>
      <c r="AD21" s="82"/>
      <c r="AW21" s="18"/>
      <c r="AY21" s="28"/>
    </row>
    <row r="22" spans="1:51" ht="16" customHeight="1" x14ac:dyDescent="0.2">
      <c r="A22" s="5" t="s">
        <v>21</v>
      </c>
      <c r="B22" s="6">
        <v>44398</v>
      </c>
      <c r="C22" s="5" t="s">
        <v>25</v>
      </c>
      <c r="D22" s="5" t="s">
        <v>35</v>
      </c>
      <c r="E22" s="5" t="s">
        <v>15</v>
      </c>
      <c r="F22" s="90">
        <v>1</v>
      </c>
      <c r="G22" s="11" t="s">
        <v>27</v>
      </c>
      <c r="H22" s="11">
        <v>0.64513888888888893</v>
      </c>
      <c r="I22" s="5">
        <v>6</v>
      </c>
      <c r="J22" s="13" t="s">
        <v>30</v>
      </c>
      <c r="K22" s="5" t="s">
        <v>28</v>
      </c>
      <c r="L22" s="11">
        <v>0.64722222222222237</v>
      </c>
      <c r="M22" s="5">
        <v>18</v>
      </c>
      <c r="N22" s="5">
        <v>19</v>
      </c>
      <c r="O22" s="5">
        <v>20</v>
      </c>
      <c r="P22" s="7" t="s">
        <v>23</v>
      </c>
      <c r="Q22" s="7"/>
      <c r="R22" s="1">
        <f t="shared" si="2"/>
        <v>44398</v>
      </c>
      <c r="S22" s="34">
        <f t="shared" si="3"/>
        <v>19</v>
      </c>
      <c r="T22" s="37"/>
      <c r="U22" s="57"/>
      <c r="V22" s="38"/>
      <c r="W22" s="66"/>
      <c r="X22" s="74"/>
      <c r="Y22" s="74"/>
      <c r="Z22" s="74"/>
      <c r="AA22" s="74"/>
      <c r="AB22" s="74"/>
      <c r="AC22" s="74"/>
      <c r="AD22" s="81"/>
      <c r="AW22" s="18"/>
      <c r="AY22" s="28"/>
    </row>
    <row r="23" spans="1:51" ht="16" customHeight="1" x14ac:dyDescent="0.2">
      <c r="A23" s="5" t="s">
        <v>21</v>
      </c>
      <c r="B23" s="6">
        <v>44398</v>
      </c>
      <c r="C23" s="5" t="s">
        <v>25</v>
      </c>
      <c r="D23" s="5" t="s">
        <v>35</v>
      </c>
      <c r="E23" s="5" t="s">
        <v>15</v>
      </c>
      <c r="F23" s="90">
        <v>1</v>
      </c>
      <c r="G23" s="11" t="s">
        <v>27</v>
      </c>
      <c r="H23" s="11">
        <v>0.72777777777777775</v>
      </c>
      <c r="I23" s="5">
        <v>6</v>
      </c>
      <c r="J23" s="13" t="s">
        <v>30</v>
      </c>
      <c r="K23" s="5" t="s">
        <v>28</v>
      </c>
      <c r="L23" s="11">
        <v>0.73055555555555562</v>
      </c>
      <c r="M23" s="23" t="s">
        <v>47</v>
      </c>
      <c r="N23" s="5">
        <v>19</v>
      </c>
      <c r="O23" s="5">
        <v>20</v>
      </c>
      <c r="P23" s="7" t="s">
        <v>23</v>
      </c>
      <c r="Q23" s="7"/>
      <c r="R23" s="1">
        <f t="shared" si="2"/>
        <v>44398</v>
      </c>
      <c r="S23" s="34">
        <f t="shared" si="3"/>
        <v>19.5</v>
      </c>
      <c r="T23" s="37"/>
      <c r="U23" s="57"/>
      <c r="V23" s="38"/>
      <c r="W23" s="66"/>
      <c r="X23" s="74"/>
      <c r="Y23" s="74"/>
      <c r="Z23" s="74"/>
      <c r="AA23" s="74"/>
      <c r="AB23" s="74"/>
      <c r="AC23" s="74"/>
      <c r="AD23" s="81"/>
      <c r="AW23" s="18"/>
      <c r="AY23" s="28"/>
    </row>
    <row r="24" spans="1:51" ht="16" customHeight="1" x14ac:dyDescent="0.2">
      <c r="A24" s="8"/>
      <c r="B24" s="17"/>
      <c r="C24" s="8"/>
      <c r="D24" s="8"/>
      <c r="E24" s="8"/>
      <c r="F24" s="91"/>
      <c r="G24" s="15"/>
      <c r="H24" s="15"/>
      <c r="I24" s="8"/>
      <c r="J24" s="16"/>
      <c r="K24" s="8"/>
      <c r="L24" s="15"/>
      <c r="M24" s="8"/>
      <c r="N24" s="8"/>
      <c r="O24" s="8"/>
      <c r="P24" s="9"/>
      <c r="Q24" s="9"/>
      <c r="S24" s="34"/>
      <c r="T24" s="37"/>
      <c r="U24" s="57"/>
      <c r="V24" s="38"/>
      <c r="W24" s="66"/>
      <c r="X24" s="74"/>
      <c r="Y24" s="74"/>
      <c r="Z24" s="74"/>
      <c r="AA24" s="74"/>
      <c r="AB24" s="74"/>
      <c r="AC24" s="74"/>
      <c r="AD24" s="81"/>
      <c r="AW24" s="18"/>
      <c r="AY24" s="28"/>
    </row>
    <row r="25" spans="1:51" ht="16" customHeight="1" x14ac:dyDescent="0.2">
      <c r="A25" s="3" t="s">
        <v>21</v>
      </c>
      <c r="B25" s="1">
        <v>44434</v>
      </c>
      <c r="C25" s="3" t="s">
        <v>25</v>
      </c>
      <c r="D25" s="3" t="s">
        <v>51</v>
      </c>
      <c r="E25" s="3" t="s">
        <v>15</v>
      </c>
      <c r="F25" s="89">
        <v>1</v>
      </c>
      <c r="G25" s="10">
        <v>0.3263888888888889</v>
      </c>
      <c r="H25" s="10">
        <v>0.52708333333333335</v>
      </c>
      <c r="I25" s="3">
        <v>6</v>
      </c>
      <c r="J25" s="12" t="s">
        <v>30</v>
      </c>
      <c r="K25" s="3" t="s">
        <v>28</v>
      </c>
      <c r="L25" s="10">
        <v>0.52916666666666667</v>
      </c>
      <c r="M25" s="3">
        <v>18</v>
      </c>
      <c r="N25" s="3">
        <v>18</v>
      </c>
      <c r="O25" s="3">
        <v>19</v>
      </c>
      <c r="P25" t="s">
        <v>22</v>
      </c>
      <c r="Q25" t="s">
        <v>52</v>
      </c>
      <c r="R25" s="1">
        <f t="shared" ref="R25:R29" si="4">B25</f>
        <v>44434</v>
      </c>
      <c r="S25" s="34">
        <f t="shared" si="3"/>
        <v>18.333333333333332</v>
      </c>
      <c r="T25" s="39">
        <f>8595-8375</f>
        <v>220</v>
      </c>
      <c r="U25" s="57">
        <v>325.8</v>
      </c>
      <c r="V25" s="40"/>
      <c r="W25" s="67"/>
      <c r="X25" s="75"/>
      <c r="Y25" s="75"/>
      <c r="Z25" s="75"/>
      <c r="AA25" s="75"/>
      <c r="AB25" s="75"/>
      <c r="AC25" s="75"/>
      <c r="AD25" s="82"/>
      <c r="AW25" s="18"/>
      <c r="AY25" s="28"/>
    </row>
    <row r="26" spans="1:51" ht="16" customHeight="1" x14ac:dyDescent="0.2">
      <c r="A26" s="3" t="s">
        <v>21</v>
      </c>
      <c r="B26" s="1">
        <v>44434</v>
      </c>
      <c r="C26" s="3" t="s">
        <v>25</v>
      </c>
      <c r="D26" s="3" t="s">
        <v>51</v>
      </c>
      <c r="E26" s="3" t="s">
        <v>15</v>
      </c>
      <c r="F26" s="89">
        <v>1</v>
      </c>
      <c r="G26" s="10">
        <v>0.58402777777777781</v>
      </c>
      <c r="H26" s="10">
        <v>0.64444444444444449</v>
      </c>
      <c r="I26" s="3">
        <v>6</v>
      </c>
      <c r="J26" s="12" t="s">
        <v>30</v>
      </c>
      <c r="K26" s="3" t="s">
        <v>28</v>
      </c>
      <c r="L26" s="10">
        <v>0.64652777777777781</v>
      </c>
      <c r="M26" s="3">
        <v>18</v>
      </c>
      <c r="N26" s="3">
        <v>20</v>
      </c>
      <c r="O26" s="3">
        <v>20</v>
      </c>
      <c r="P26" t="s">
        <v>22</v>
      </c>
      <c r="R26" s="1">
        <f t="shared" si="4"/>
        <v>44434</v>
      </c>
      <c r="S26" s="34">
        <f t="shared" si="3"/>
        <v>19.333333333333332</v>
      </c>
      <c r="T26" s="37"/>
      <c r="U26" s="57"/>
      <c r="V26" s="38"/>
      <c r="W26" s="66"/>
      <c r="X26" s="74"/>
      <c r="Y26" s="74"/>
      <c r="Z26" s="74"/>
      <c r="AA26" s="74"/>
      <c r="AB26" s="74"/>
      <c r="AC26" s="74"/>
      <c r="AD26" s="81"/>
      <c r="AW26" s="18"/>
      <c r="AY26" s="28"/>
    </row>
    <row r="27" spans="1:51" ht="16" customHeight="1" x14ac:dyDescent="0.2">
      <c r="A27" s="5" t="s">
        <v>21</v>
      </c>
      <c r="B27" s="6">
        <v>44434</v>
      </c>
      <c r="C27" s="5" t="s">
        <v>25</v>
      </c>
      <c r="D27" s="5" t="s">
        <v>51</v>
      </c>
      <c r="E27" s="5" t="s">
        <v>15</v>
      </c>
      <c r="F27" s="90">
        <v>1</v>
      </c>
      <c r="G27" s="11" t="s">
        <v>27</v>
      </c>
      <c r="H27" s="11">
        <v>0.17361111111111113</v>
      </c>
      <c r="I27" s="5">
        <v>6</v>
      </c>
      <c r="J27" s="13" t="s">
        <v>27</v>
      </c>
      <c r="K27" s="5" t="s">
        <v>28</v>
      </c>
      <c r="L27" s="11">
        <v>0.1763888888888889</v>
      </c>
      <c r="M27" s="5">
        <v>6</v>
      </c>
      <c r="N27" s="5">
        <v>6</v>
      </c>
      <c r="O27" s="5">
        <v>8</v>
      </c>
      <c r="P27" s="7" t="s">
        <v>23</v>
      </c>
      <c r="Q27" s="7"/>
      <c r="R27" s="1">
        <f t="shared" si="4"/>
        <v>44434</v>
      </c>
      <c r="S27" s="34">
        <f t="shared" si="3"/>
        <v>6.666666666666667</v>
      </c>
      <c r="T27" s="39">
        <f>8595-8440</f>
        <v>155</v>
      </c>
      <c r="U27" s="57"/>
      <c r="V27" s="40"/>
      <c r="W27" s="67"/>
      <c r="X27" s="75"/>
      <c r="Y27" s="75"/>
      <c r="Z27" s="75"/>
      <c r="AA27" s="75"/>
      <c r="AB27" s="75"/>
      <c r="AC27" s="75"/>
      <c r="AD27" s="82"/>
      <c r="AW27" s="18"/>
      <c r="AY27" s="28"/>
    </row>
    <row r="28" spans="1:51" ht="16" customHeight="1" x14ac:dyDescent="0.2">
      <c r="A28" s="5" t="s">
        <v>21</v>
      </c>
      <c r="B28" s="6">
        <v>44434</v>
      </c>
      <c r="C28" s="5" t="s">
        <v>25</v>
      </c>
      <c r="D28" s="5" t="s">
        <v>51</v>
      </c>
      <c r="E28" s="5" t="s">
        <v>15</v>
      </c>
      <c r="F28" s="90">
        <v>1</v>
      </c>
      <c r="G28" s="11" t="s">
        <v>27</v>
      </c>
      <c r="H28" s="11">
        <v>0.53194444444444444</v>
      </c>
      <c r="I28" s="5">
        <v>6</v>
      </c>
      <c r="J28" s="13" t="s">
        <v>30</v>
      </c>
      <c r="K28" s="5" t="s">
        <v>28</v>
      </c>
      <c r="L28" s="11">
        <v>0.53472222222222221</v>
      </c>
      <c r="M28" s="5">
        <v>23</v>
      </c>
      <c r="N28" s="5">
        <v>24</v>
      </c>
      <c r="O28" s="5">
        <v>25</v>
      </c>
      <c r="P28" s="7" t="s">
        <v>23</v>
      </c>
      <c r="Q28" s="7" t="s">
        <v>52</v>
      </c>
      <c r="R28" s="1">
        <f t="shared" si="4"/>
        <v>44434</v>
      </c>
      <c r="S28" s="34">
        <f t="shared" si="3"/>
        <v>24</v>
      </c>
      <c r="T28" s="39">
        <f>8595-8375</f>
        <v>220</v>
      </c>
      <c r="U28" s="57">
        <v>325.8</v>
      </c>
      <c r="V28" s="40"/>
      <c r="W28" s="67"/>
      <c r="X28" s="75"/>
      <c r="Y28" s="75"/>
      <c r="Z28" s="75"/>
      <c r="AA28" s="75"/>
      <c r="AB28" s="75"/>
      <c r="AC28" s="75"/>
      <c r="AD28" s="82"/>
      <c r="AW28" s="18"/>
      <c r="AY28" s="28"/>
    </row>
    <row r="29" spans="1:51" ht="16" customHeight="1" x14ac:dyDescent="0.2">
      <c r="A29" s="5" t="s">
        <v>21</v>
      </c>
      <c r="B29" s="6">
        <v>44434</v>
      </c>
      <c r="C29" s="5" t="s">
        <v>25</v>
      </c>
      <c r="D29" s="5" t="s">
        <v>51</v>
      </c>
      <c r="E29" s="5" t="s">
        <v>15</v>
      </c>
      <c r="F29" s="90">
        <v>1</v>
      </c>
      <c r="G29" s="11" t="s">
        <v>27</v>
      </c>
      <c r="H29" s="11">
        <v>0.6479166666666667</v>
      </c>
      <c r="I29" s="5">
        <v>6</v>
      </c>
      <c r="J29" s="13" t="s">
        <v>30</v>
      </c>
      <c r="K29" s="5" t="s">
        <v>28</v>
      </c>
      <c r="L29" s="11">
        <v>0.65069444444444446</v>
      </c>
      <c r="M29" s="5">
        <v>23</v>
      </c>
      <c r="N29" s="5">
        <v>25</v>
      </c>
      <c r="O29" s="5">
        <v>26</v>
      </c>
      <c r="P29" s="7" t="s">
        <v>23</v>
      </c>
      <c r="Q29" s="7"/>
      <c r="R29" s="1">
        <f t="shared" si="4"/>
        <v>44434</v>
      </c>
      <c r="S29" s="34">
        <f t="shared" si="3"/>
        <v>24.666666666666668</v>
      </c>
      <c r="T29" s="37"/>
      <c r="U29" s="57"/>
      <c r="V29" s="38"/>
      <c r="W29" s="66"/>
      <c r="X29" s="74"/>
      <c r="Y29" s="74"/>
      <c r="Z29" s="74"/>
      <c r="AA29" s="74"/>
      <c r="AB29" s="74"/>
      <c r="AC29" s="74"/>
      <c r="AD29" s="81"/>
      <c r="AW29" s="18"/>
      <c r="AY29" s="28"/>
    </row>
    <row r="30" spans="1:51" ht="16" customHeight="1" x14ac:dyDescent="0.2">
      <c r="A30" s="8"/>
      <c r="B30" s="17"/>
      <c r="C30" s="8"/>
      <c r="D30" s="8"/>
      <c r="E30" s="8"/>
      <c r="F30" s="91"/>
      <c r="G30" s="15"/>
      <c r="H30" s="15"/>
      <c r="I30" s="8"/>
      <c r="J30" s="16"/>
      <c r="K30" s="8"/>
      <c r="L30" s="15"/>
      <c r="M30" s="8"/>
      <c r="N30" s="8"/>
      <c r="O30" s="8"/>
      <c r="P30" s="9"/>
      <c r="Q30" s="9"/>
      <c r="S30" s="34"/>
      <c r="T30" s="37"/>
      <c r="U30" s="57"/>
      <c r="V30" s="38"/>
      <c r="W30" s="66"/>
      <c r="X30" s="74"/>
      <c r="Y30" s="74"/>
      <c r="Z30" s="74"/>
      <c r="AA30" s="74"/>
      <c r="AB30" s="74"/>
      <c r="AC30" s="74"/>
      <c r="AD30" s="81"/>
      <c r="AW30" s="18"/>
      <c r="AY30" s="28"/>
    </row>
    <row r="31" spans="1:51" ht="16" customHeight="1" x14ac:dyDescent="0.2">
      <c r="A31" s="3" t="s">
        <v>21</v>
      </c>
      <c r="B31" s="1">
        <v>44446</v>
      </c>
      <c r="C31" s="3" t="s">
        <v>25</v>
      </c>
      <c r="D31" s="3" t="s">
        <v>25</v>
      </c>
      <c r="E31" s="3" t="s">
        <v>15</v>
      </c>
      <c r="F31" s="89">
        <v>1</v>
      </c>
      <c r="G31" s="10">
        <v>0.46180555555555558</v>
      </c>
      <c r="H31" s="10">
        <v>0.55486111111111114</v>
      </c>
      <c r="I31" s="3">
        <v>6</v>
      </c>
      <c r="J31" s="12" t="s">
        <v>30</v>
      </c>
      <c r="K31" s="3" t="s">
        <v>53</v>
      </c>
      <c r="L31" s="10">
        <v>0.55625000000000002</v>
      </c>
      <c r="M31" s="3">
        <v>26</v>
      </c>
      <c r="N31" s="3">
        <v>26</v>
      </c>
      <c r="O31" s="3">
        <v>29</v>
      </c>
      <c r="P31" t="s">
        <v>22</v>
      </c>
      <c r="Q31" t="s">
        <v>54</v>
      </c>
      <c r="R31" s="1">
        <f t="shared" ref="R31:R35" si="5">B31</f>
        <v>44446</v>
      </c>
      <c r="S31" s="34">
        <f t="shared" si="3"/>
        <v>27</v>
      </c>
      <c r="T31" s="39">
        <f>8595-8274</f>
        <v>321</v>
      </c>
      <c r="U31" s="57">
        <v>125.46</v>
      </c>
      <c r="V31" s="40"/>
      <c r="W31" s="67"/>
      <c r="X31" s="75"/>
      <c r="Y31" s="75"/>
      <c r="Z31" s="75"/>
      <c r="AA31" s="75"/>
      <c r="AB31" s="75"/>
      <c r="AC31" s="75"/>
      <c r="AD31" s="82"/>
      <c r="AW31" s="18"/>
      <c r="AY31" s="28"/>
    </row>
    <row r="32" spans="1:51" ht="16" customHeight="1" x14ac:dyDescent="0.2">
      <c r="A32" s="3" t="s">
        <v>21</v>
      </c>
      <c r="B32" s="1">
        <v>44446</v>
      </c>
      <c r="C32" s="3" t="s">
        <v>25</v>
      </c>
      <c r="D32" s="3" t="s">
        <v>25</v>
      </c>
      <c r="E32" s="3" t="s">
        <v>15</v>
      </c>
      <c r="F32" s="89">
        <v>1</v>
      </c>
      <c r="G32" s="10">
        <v>0.58333333333333337</v>
      </c>
      <c r="H32" s="10">
        <v>0.66111111111111109</v>
      </c>
      <c r="I32" s="3">
        <v>6</v>
      </c>
      <c r="J32" s="12" t="s">
        <v>30</v>
      </c>
      <c r="K32" s="3" t="s">
        <v>28</v>
      </c>
      <c r="L32" s="10">
        <v>0.66249999999999998</v>
      </c>
      <c r="M32" s="3">
        <v>26</v>
      </c>
      <c r="N32" s="3">
        <v>26</v>
      </c>
      <c r="O32" s="3">
        <v>27</v>
      </c>
      <c r="P32" t="s">
        <v>22</v>
      </c>
      <c r="R32" s="1">
        <f t="shared" si="5"/>
        <v>44446</v>
      </c>
      <c r="S32" s="34">
        <f t="shared" si="3"/>
        <v>26.333333333333332</v>
      </c>
      <c r="T32" s="37"/>
      <c r="U32" s="57"/>
      <c r="V32" s="38"/>
      <c r="W32" s="66"/>
      <c r="X32" s="74"/>
      <c r="Y32" s="74"/>
      <c r="Z32" s="74"/>
      <c r="AA32" s="74"/>
      <c r="AB32" s="74"/>
      <c r="AC32" s="74"/>
      <c r="AD32" s="81"/>
      <c r="AW32" s="18"/>
      <c r="AY32" s="28"/>
    </row>
    <row r="33" spans="1:52" ht="16" customHeight="1" x14ac:dyDescent="0.2">
      <c r="A33" s="5" t="s">
        <v>21</v>
      </c>
      <c r="B33" s="6">
        <v>44446</v>
      </c>
      <c r="C33" s="5" t="s">
        <v>25</v>
      </c>
      <c r="D33" s="5" t="s">
        <v>25</v>
      </c>
      <c r="E33" s="5" t="s">
        <v>15</v>
      </c>
      <c r="F33" s="90">
        <v>1</v>
      </c>
      <c r="G33" s="11" t="s">
        <v>27</v>
      </c>
      <c r="H33" s="11">
        <v>0.21458333333333335</v>
      </c>
      <c r="I33" s="5">
        <v>6</v>
      </c>
      <c r="J33" s="13" t="s">
        <v>27</v>
      </c>
      <c r="K33" s="5" t="s">
        <v>28</v>
      </c>
      <c r="L33" s="11">
        <v>0.21597222222222223</v>
      </c>
      <c r="M33" s="5">
        <v>18</v>
      </c>
      <c r="N33" s="5">
        <v>19</v>
      </c>
      <c r="O33" s="5">
        <v>19</v>
      </c>
      <c r="P33" s="7" t="s">
        <v>23</v>
      </c>
      <c r="Q33" s="7"/>
      <c r="R33" s="1">
        <f t="shared" si="5"/>
        <v>44446</v>
      </c>
      <c r="S33" s="34">
        <f t="shared" si="3"/>
        <v>18.666666666666668</v>
      </c>
      <c r="T33" s="39">
        <f>8595-8325</f>
        <v>270</v>
      </c>
      <c r="U33" s="57"/>
      <c r="V33" s="40"/>
      <c r="W33" s="67"/>
      <c r="X33" s="75"/>
      <c r="Y33" s="75"/>
      <c r="Z33" s="75"/>
      <c r="AA33" s="75"/>
      <c r="AB33" s="75"/>
      <c r="AC33" s="75"/>
      <c r="AD33" s="82"/>
      <c r="AW33" s="26" t="s">
        <v>56</v>
      </c>
      <c r="AY33" s="28"/>
    </row>
    <row r="34" spans="1:52" ht="16" customHeight="1" x14ac:dyDescent="0.2">
      <c r="A34" s="5" t="s">
        <v>21</v>
      </c>
      <c r="B34" s="6">
        <v>44446</v>
      </c>
      <c r="C34" s="5" t="s">
        <v>25</v>
      </c>
      <c r="D34" s="5" t="s">
        <v>25</v>
      </c>
      <c r="E34" s="5" t="s">
        <v>15</v>
      </c>
      <c r="F34" s="90">
        <v>1</v>
      </c>
      <c r="G34" s="11" t="s">
        <v>27</v>
      </c>
      <c r="H34" s="11">
        <v>0.55277777777777781</v>
      </c>
      <c r="I34" s="5">
        <v>6</v>
      </c>
      <c r="J34" s="13" t="s">
        <v>30</v>
      </c>
      <c r="K34" s="5" t="s">
        <v>53</v>
      </c>
      <c r="L34" s="11">
        <v>0.5541666666666667</v>
      </c>
      <c r="M34" s="5">
        <v>28</v>
      </c>
      <c r="N34" s="5">
        <v>29</v>
      </c>
      <c r="O34" s="5">
        <v>30</v>
      </c>
      <c r="P34" s="7" t="s">
        <v>23</v>
      </c>
      <c r="Q34" s="7" t="s">
        <v>54</v>
      </c>
      <c r="R34" s="1">
        <f t="shared" si="5"/>
        <v>44446</v>
      </c>
      <c r="S34" s="34">
        <f t="shared" si="3"/>
        <v>29</v>
      </c>
      <c r="T34" s="39">
        <f>8595-8274</f>
        <v>321</v>
      </c>
      <c r="U34" s="57">
        <v>125.46</v>
      </c>
      <c r="V34" s="40"/>
      <c r="W34" s="67"/>
      <c r="X34" s="75"/>
      <c r="Y34" s="75"/>
      <c r="Z34" s="75"/>
      <c r="AA34" s="75"/>
      <c r="AB34" s="75"/>
      <c r="AC34" s="75"/>
      <c r="AD34" s="82"/>
      <c r="AW34" s="27">
        <f>AVERAGE(S16,S75,S138,S203,S279,S355)-AVERAGE(S21,S80,S143,S208,S284,S360)</f>
        <v>-9.6666666666666696</v>
      </c>
      <c r="AX34" s="27" t="s">
        <v>57</v>
      </c>
      <c r="AY34" s="27">
        <f>(AW34/AVERAGE(S21,S80,S143,S208,S284,S360))*-100</f>
        <v>51.632047477744813</v>
      </c>
      <c r="AZ34" s="27" t="s">
        <v>58</v>
      </c>
    </row>
    <row r="35" spans="1:52" ht="16" customHeight="1" x14ac:dyDescent="0.2">
      <c r="A35" s="5" t="s">
        <v>21</v>
      </c>
      <c r="B35" s="6">
        <v>44446</v>
      </c>
      <c r="C35" s="5" t="s">
        <v>25</v>
      </c>
      <c r="D35" s="5" t="s">
        <v>25</v>
      </c>
      <c r="E35" s="5" t="s">
        <v>15</v>
      </c>
      <c r="F35" s="90">
        <v>1</v>
      </c>
      <c r="G35" s="11" t="s">
        <v>27</v>
      </c>
      <c r="H35" s="11">
        <v>0.65833333333333333</v>
      </c>
      <c r="I35" s="5">
        <v>6</v>
      </c>
      <c r="J35" s="13" t="s">
        <v>30</v>
      </c>
      <c r="K35" s="5" t="s">
        <v>28</v>
      </c>
      <c r="L35" s="11">
        <v>0.65972222222222221</v>
      </c>
      <c r="M35" s="5">
        <v>27</v>
      </c>
      <c r="N35" s="5">
        <v>29</v>
      </c>
      <c r="O35" s="5">
        <v>30</v>
      </c>
      <c r="P35" s="7" t="s">
        <v>23</v>
      </c>
      <c r="Q35" s="7"/>
      <c r="R35" s="1">
        <f t="shared" si="5"/>
        <v>44446</v>
      </c>
      <c r="S35" s="34">
        <f t="shared" si="3"/>
        <v>28.666666666666668</v>
      </c>
      <c r="T35" s="37"/>
      <c r="U35" s="57"/>
      <c r="V35" s="38"/>
      <c r="W35" s="66"/>
      <c r="X35" s="74"/>
      <c r="Y35" s="74"/>
      <c r="Z35" s="74"/>
      <c r="AA35" s="74"/>
      <c r="AB35" s="74"/>
      <c r="AC35" s="74"/>
      <c r="AD35" s="81"/>
      <c r="AW35" s="54" t="s">
        <v>72</v>
      </c>
      <c r="AY35" s="28"/>
    </row>
    <row r="36" spans="1:52" ht="16" customHeight="1" x14ac:dyDescent="0.2">
      <c r="A36" s="8"/>
      <c r="B36" s="17"/>
      <c r="C36" s="8"/>
      <c r="D36" s="8"/>
      <c r="E36" s="8"/>
      <c r="F36" s="91"/>
      <c r="G36" s="15"/>
      <c r="H36" s="15"/>
      <c r="I36" s="8"/>
      <c r="J36" s="16"/>
      <c r="K36" s="8"/>
      <c r="L36" s="15"/>
      <c r="M36" s="8"/>
      <c r="N36" s="8"/>
      <c r="O36" s="8"/>
      <c r="P36" s="9"/>
      <c r="Q36" s="9"/>
      <c r="S36" s="34"/>
      <c r="T36" s="37"/>
      <c r="U36" s="57"/>
      <c r="V36" s="38"/>
      <c r="W36" s="66"/>
      <c r="X36" s="74"/>
      <c r="Y36" s="74"/>
      <c r="Z36" s="74"/>
      <c r="AA36" s="74"/>
      <c r="AB36" s="74"/>
      <c r="AC36" s="74"/>
      <c r="AD36" s="81"/>
    </row>
    <row r="37" spans="1:52" ht="16" customHeight="1" x14ac:dyDescent="0.2">
      <c r="A37" s="3" t="s">
        <v>21</v>
      </c>
      <c r="B37" s="1">
        <v>44726</v>
      </c>
      <c r="C37" s="3" t="s">
        <v>25</v>
      </c>
      <c r="D37" s="3" t="s">
        <v>26</v>
      </c>
      <c r="E37" s="3" t="s">
        <v>15</v>
      </c>
      <c r="F37" s="89">
        <v>1</v>
      </c>
      <c r="G37" s="10">
        <v>0.3298611111111111</v>
      </c>
      <c r="H37" s="10">
        <v>0.37708333333333338</v>
      </c>
      <c r="I37" s="3">
        <v>6</v>
      </c>
      <c r="J37" s="12" t="s">
        <v>30</v>
      </c>
      <c r="K37" s="3" t="s">
        <v>28</v>
      </c>
      <c r="L37" s="10">
        <v>0.37777777777777777</v>
      </c>
      <c r="M37" s="3">
        <v>19</v>
      </c>
      <c r="N37" s="3">
        <v>20</v>
      </c>
      <c r="O37" s="3">
        <v>20</v>
      </c>
      <c r="P37" t="s">
        <v>22</v>
      </c>
      <c r="R37" s="1">
        <f t="shared" ref="R37:R43" si="6">B37</f>
        <v>44726</v>
      </c>
      <c r="S37" s="34">
        <f t="shared" si="3"/>
        <v>19.666666666666668</v>
      </c>
      <c r="T37" s="37"/>
      <c r="U37" s="57"/>
      <c r="V37" s="38"/>
      <c r="W37" s="66"/>
      <c r="X37" s="74"/>
      <c r="Y37" s="74"/>
      <c r="Z37" s="74"/>
      <c r="AA37" s="74"/>
      <c r="AB37" s="74"/>
      <c r="AC37" s="74"/>
      <c r="AD37" s="81"/>
      <c r="AW37" s="18"/>
      <c r="AY37" s="28"/>
    </row>
    <row r="38" spans="1:52" ht="16" customHeight="1" x14ac:dyDescent="0.2">
      <c r="A38" s="3" t="s">
        <v>21</v>
      </c>
      <c r="B38" s="1">
        <v>44726</v>
      </c>
      <c r="C38" s="3" t="s">
        <v>25</v>
      </c>
      <c r="D38" s="3" t="s">
        <v>26</v>
      </c>
      <c r="E38" s="3" t="s">
        <v>15</v>
      </c>
      <c r="F38" s="89">
        <v>1</v>
      </c>
      <c r="G38" s="10">
        <v>0.46458333333333335</v>
      </c>
      <c r="H38" s="10">
        <v>0.53055555555555556</v>
      </c>
      <c r="I38" s="3">
        <v>6</v>
      </c>
      <c r="J38" s="12" t="s">
        <v>29</v>
      </c>
      <c r="K38" s="3" t="s">
        <v>28</v>
      </c>
      <c r="L38" s="10">
        <v>0.53125</v>
      </c>
      <c r="M38" s="3">
        <v>23</v>
      </c>
      <c r="N38" s="3">
        <v>24</v>
      </c>
      <c r="O38" s="3">
        <v>24</v>
      </c>
      <c r="P38" t="s">
        <v>22</v>
      </c>
      <c r="R38" s="1">
        <f t="shared" si="6"/>
        <v>44726</v>
      </c>
      <c r="S38" s="34">
        <f t="shared" si="3"/>
        <v>23.666666666666668</v>
      </c>
      <c r="T38" s="37">
        <f>8910-8600</f>
        <v>310</v>
      </c>
      <c r="U38" s="57">
        <v>70.05</v>
      </c>
      <c r="V38" s="38"/>
      <c r="W38" s="66"/>
      <c r="X38" s="74"/>
      <c r="Y38" s="74"/>
      <c r="Z38" s="74"/>
      <c r="AA38" s="74"/>
      <c r="AB38" s="74"/>
      <c r="AC38" s="74"/>
      <c r="AD38" s="81"/>
      <c r="AW38" s="18"/>
      <c r="AY38" s="28"/>
    </row>
    <row r="39" spans="1:52" ht="16" customHeight="1" x14ac:dyDescent="0.2">
      <c r="A39" s="3" t="s">
        <v>21</v>
      </c>
      <c r="B39" s="1">
        <v>44726</v>
      </c>
      <c r="C39" s="3" t="s">
        <v>25</v>
      </c>
      <c r="D39" s="3" t="s">
        <v>26</v>
      </c>
      <c r="E39" s="3" t="s">
        <v>15</v>
      </c>
      <c r="F39" s="89">
        <v>1</v>
      </c>
      <c r="G39" s="10">
        <v>0.59305555555555556</v>
      </c>
      <c r="H39" s="10">
        <v>0.65</v>
      </c>
      <c r="I39" s="3">
        <v>6</v>
      </c>
      <c r="J39" s="12" t="s">
        <v>30</v>
      </c>
      <c r="K39" s="3" t="s">
        <v>28</v>
      </c>
      <c r="L39" s="10">
        <v>0.65069444444444446</v>
      </c>
      <c r="M39" s="3">
        <v>23</v>
      </c>
      <c r="N39" s="3">
        <v>24</v>
      </c>
      <c r="O39" s="3">
        <v>24</v>
      </c>
      <c r="P39" t="s">
        <v>22</v>
      </c>
      <c r="R39" s="1">
        <f t="shared" si="6"/>
        <v>44726</v>
      </c>
      <c r="S39" s="34">
        <f t="shared" si="3"/>
        <v>23.666666666666668</v>
      </c>
      <c r="T39" s="37"/>
      <c r="U39" s="57"/>
      <c r="V39" s="38"/>
      <c r="W39" s="66"/>
      <c r="X39" s="74"/>
      <c r="Y39" s="74"/>
      <c r="Z39" s="74"/>
      <c r="AA39" s="74"/>
      <c r="AB39" s="74"/>
      <c r="AC39" s="74"/>
      <c r="AD39" s="81"/>
      <c r="AW39" s="18"/>
      <c r="AY39" s="28"/>
    </row>
    <row r="40" spans="1:52" ht="16" customHeight="1" x14ac:dyDescent="0.2">
      <c r="A40" s="5" t="s">
        <v>21</v>
      </c>
      <c r="B40" s="6">
        <v>44726</v>
      </c>
      <c r="C40" s="5" t="s">
        <v>25</v>
      </c>
      <c r="D40" s="5" t="s">
        <v>26</v>
      </c>
      <c r="E40" s="5" t="s">
        <v>15</v>
      </c>
      <c r="F40" s="90">
        <v>1</v>
      </c>
      <c r="G40" s="11" t="s">
        <v>27</v>
      </c>
      <c r="H40" s="11">
        <v>0.14444444444444446</v>
      </c>
      <c r="I40" s="5">
        <v>6</v>
      </c>
      <c r="J40" s="13" t="s">
        <v>27</v>
      </c>
      <c r="K40" s="5" t="s">
        <v>28</v>
      </c>
      <c r="L40" s="11">
        <v>0.1451388888888889</v>
      </c>
      <c r="M40" s="5">
        <v>15</v>
      </c>
      <c r="N40" s="5">
        <v>15</v>
      </c>
      <c r="O40" s="5">
        <v>16</v>
      </c>
      <c r="P40" s="7" t="s">
        <v>23</v>
      </c>
      <c r="Q40" s="7"/>
      <c r="R40" s="1">
        <f t="shared" si="6"/>
        <v>44726</v>
      </c>
      <c r="S40" s="34">
        <f t="shared" si="3"/>
        <v>15.333333333333334</v>
      </c>
      <c r="T40" s="37">
        <f>8910-8660</f>
        <v>250</v>
      </c>
      <c r="U40" s="57"/>
      <c r="V40" s="38"/>
      <c r="W40" s="66"/>
      <c r="X40" s="74"/>
      <c r="Y40" s="74"/>
      <c r="Z40" s="74"/>
      <c r="AA40" s="74"/>
      <c r="AB40" s="74"/>
      <c r="AC40" s="74"/>
      <c r="AD40" s="81"/>
      <c r="AW40" s="18"/>
      <c r="AY40" s="28"/>
    </row>
    <row r="41" spans="1:52" ht="16" customHeight="1" x14ac:dyDescent="0.2">
      <c r="A41" s="5" t="s">
        <v>21</v>
      </c>
      <c r="B41" s="6">
        <v>44726</v>
      </c>
      <c r="C41" s="5" t="s">
        <v>25</v>
      </c>
      <c r="D41" s="5" t="s">
        <v>26</v>
      </c>
      <c r="E41" s="5" t="s">
        <v>15</v>
      </c>
      <c r="F41" s="90">
        <v>1</v>
      </c>
      <c r="G41" s="11" t="s">
        <v>27</v>
      </c>
      <c r="H41" s="11">
        <v>0.37986111111111115</v>
      </c>
      <c r="I41" s="5">
        <v>6</v>
      </c>
      <c r="J41" s="13" t="s">
        <v>30</v>
      </c>
      <c r="K41" s="5" t="s">
        <v>28</v>
      </c>
      <c r="L41" s="11">
        <v>0.38055555555555554</v>
      </c>
      <c r="M41" s="5">
        <v>21</v>
      </c>
      <c r="N41" s="5">
        <v>21</v>
      </c>
      <c r="O41" s="5">
        <v>22</v>
      </c>
      <c r="P41" s="7" t="s">
        <v>23</v>
      </c>
      <c r="Q41" s="7"/>
      <c r="R41" s="1">
        <f t="shared" si="6"/>
        <v>44726</v>
      </c>
      <c r="S41" s="34">
        <f t="shared" si="3"/>
        <v>21.333333333333332</v>
      </c>
      <c r="T41" s="37"/>
      <c r="U41" s="57"/>
      <c r="V41" s="38"/>
      <c r="W41" s="66"/>
      <c r="X41" s="74"/>
      <c r="Y41" s="74"/>
      <c r="Z41" s="74"/>
      <c r="AA41" s="74"/>
      <c r="AB41" s="74"/>
      <c r="AC41" s="74"/>
      <c r="AD41" s="81"/>
      <c r="AW41" s="18"/>
      <c r="AY41" s="28"/>
    </row>
    <row r="42" spans="1:52" ht="16" customHeight="1" x14ac:dyDescent="0.2">
      <c r="A42" s="5" t="s">
        <v>21</v>
      </c>
      <c r="B42" s="6">
        <v>44726</v>
      </c>
      <c r="C42" s="5" t="s">
        <v>25</v>
      </c>
      <c r="D42" s="5" t="s">
        <v>26</v>
      </c>
      <c r="E42" s="5" t="s">
        <v>15</v>
      </c>
      <c r="F42" s="90">
        <v>1</v>
      </c>
      <c r="G42" s="11" t="s">
        <v>27</v>
      </c>
      <c r="H42" s="11">
        <v>0.53263888888888888</v>
      </c>
      <c r="I42" s="5">
        <v>6</v>
      </c>
      <c r="J42" s="13" t="s">
        <v>29</v>
      </c>
      <c r="K42" s="5" t="s">
        <v>28</v>
      </c>
      <c r="L42" s="11">
        <v>0.53333333333333333</v>
      </c>
      <c r="M42" s="5">
        <v>25</v>
      </c>
      <c r="N42" s="5">
        <v>25</v>
      </c>
      <c r="O42" s="5">
        <v>25</v>
      </c>
      <c r="P42" s="7" t="s">
        <v>23</v>
      </c>
      <c r="Q42" s="7"/>
      <c r="R42" s="1">
        <f t="shared" si="6"/>
        <v>44726</v>
      </c>
      <c r="S42" s="34">
        <f>AVERAGE(M42:O42)</f>
        <v>25</v>
      </c>
      <c r="T42" s="37">
        <f>8910-8600</f>
        <v>310</v>
      </c>
      <c r="U42" s="57">
        <v>70.05</v>
      </c>
      <c r="V42" s="38"/>
      <c r="W42" s="66"/>
      <c r="X42" s="74"/>
      <c r="Y42" s="74"/>
      <c r="Z42" s="74"/>
      <c r="AA42" s="74"/>
      <c r="AB42" s="74"/>
      <c r="AC42" s="74"/>
      <c r="AD42" s="81"/>
      <c r="AW42" s="18"/>
      <c r="AY42" s="28"/>
    </row>
    <row r="43" spans="1:52" ht="16" customHeight="1" x14ac:dyDescent="0.2">
      <c r="A43" s="5" t="s">
        <v>21</v>
      </c>
      <c r="B43" s="6">
        <v>44726</v>
      </c>
      <c r="C43" s="5" t="s">
        <v>25</v>
      </c>
      <c r="D43" s="5" t="s">
        <v>26</v>
      </c>
      <c r="E43" s="5" t="s">
        <v>15</v>
      </c>
      <c r="F43" s="90">
        <v>1</v>
      </c>
      <c r="G43" s="11" t="s">
        <v>27</v>
      </c>
      <c r="H43" s="11">
        <v>0.65486111111111112</v>
      </c>
      <c r="I43" s="5">
        <v>6</v>
      </c>
      <c r="J43" s="13" t="s">
        <v>30</v>
      </c>
      <c r="K43" s="5" t="s">
        <v>28</v>
      </c>
      <c r="L43" s="11">
        <v>0.65555555555555556</v>
      </c>
      <c r="M43" s="5">
        <v>24</v>
      </c>
      <c r="N43" s="5">
        <v>25</v>
      </c>
      <c r="O43" s="5">
        <v>25</v>
      </c>
      <c r="P43" s="7" t="s">
        <v>23</v>
      </c>
      <c r="Q43" s="7"/>
      <c r="R43" s="1">
        <f t="shared" si="6"/>
        <v>44726</v>
      </c>
      <c r="S43" s="34">
        <f>AVERAGE(M43:O43)</f>
        <v>24.666666666666668</v>
      </c>
      <c r="T43" s="37"/>
      <c r="U43" s="57"/>
      <c r="V43" s="38"/>
      <c r="W43" s="66"/>
      <c r="X43" s="74"/>
      <c r="Y43" s="74"/>
      <c r="Z43" s="74"/>
      <c r="AA43" s="74"/>
      <c r="AB43" s="74"/>
      <c r="AC43" s="74"/>
      <c r="AD43" s="81"/>
      <c r="AW43" s="18"/>
      <c r="AY43" s="28"/>
    </row>
    <row r="44" spans="1:52" ht="16" customHeight="1" x14ac:dyDescent="0.2">
      <c r="A44" s="8"/>
      <c r="B44" s="17"/>
      <c r="C44" s="8"/>
      <c r="D44" s="8"/>
      <c r="E44" s="8"/>
      <c r="F44" s="91"/>
      <c r="G44" s="15"/>
      <c r="H44" s="15"/>
      <c r="I44" s="8"/>
      <c r="J44" s="16"/>
      <c r="K44" s="8"/>
      <c r="L44" s="15"/>
      <c r="M44" s="8"/>
      <c r="N44" s="8"/>
      <c r="O44" s="8"/>
      <c r="P44" s="9"/>
      <c r="Q44" s="9"/>
      <c r="R44" s="1"/>
      <c r="S44" s="34"/>
      <c r="T44" s="37"/>
      <c r="U44" s="57"/>
      <c r="V44" s="38"/>
      <c r="W44" s="66"/>
      <c r="X44" s="74"/>
      <c r="Y44" s="74"/>
      <c r="Z44" s="74"/>
      <c r="AA44" s="74"/>
      <c r="AB44" s="74"/>
      <c r="AC44" s="74"/>
      <c r="AD44" s="81"/>
      <c r="AW44" s="18"/>
      <c r="AY44" s="28"/>
    </row>
    <row r="45" spans="1:52" ht="16" customHeight="1" x14ac:dyDescent="0.2">
      <c r="A45" s="3" t="s">
        <v>21</v>
      </c>
      <c r="B45" s="1">
        <v>44753</v>
      </c>
      <c r="C45" s="3" t="s">
        <v>25</v>
      </c>
      <c r="D45" s="3" t="s">
        <v>25</v>
      </c>
      <c r="E45" s="3" t="s">
        <v>15</v>
      </c>
      <c r="F45" s="89">
        <v>1</v>
      </c>
      <c r="G45" s="10">
        <v>0.4993055555555555</v>
      </c>
      <c r="H45" s="10">
        <v>0.58819444444444446</v>
      </c>
      <c r="I45" s="3">
        <v>6</v>
      </c>
      <c r="J45" s="12" t="s">
        <v>29</v>
      </c>
      <c r="K45" s="3" t="s">
        <v>28</v>
      </c>
      <c r="L45" s="10">
        <v>0.59027777777777779</v>
      </c>
      <c r="M45" s="3">
        <v>31</v>
      </c>
      <c r="N45" s="3">
        <v>32</v>
      </c>
      <c r="O45" s="3">
        <v>32</v>
      </c>
      <c r="P45" t="s">
        <v>22</v>
      </c>
      <c r="R45" s="1">
        <f t="shared" ref="R45:R47" si="7">B45</f>
        <v>44753</v>
      </c>
      <c r="S45" s="34">
        <f>AVERAGE(M45:O45)</f>
        <v>31.666666666666668</v>
      </c>
      <c r="T45" s="37">
        <f>8910-8550</f>
        <v>360</v>
      </c>
      <c r="U45" s="57">
        <v>36.424999999999997</v>
      </c>
      <c r="V45" s="38"/>
      <c r="W45" s="66"/>
      <c r="X45" s="74"/>
      <c r="Y45" s="74"/>
      <c r="Z45" s="74"/>
      <c r="AA45" s="74"/>
      <c r="AB45" s="74"/>
      <c r="AC45" s="74"/>
      <c r="AD45" s="81"/>
      <c r="AW45" s="18"/>
      <c r="AY45" s="28"/>
    </row>
    <row r="46" spans="1:52" ht="16" customHeight="1" x14ac:dyDescent="0.2">
      <c r="A46" s="5" t="s">
        <v>21</v>
      </c>
      <c r="B46" s="6">
        <v>44753</v>
      </c>
      <c r="C46" s="5" t="s">
        <v>25</v>
      </c>
      <c r="D46" s="5" t="s">
        <v>25</v>
      </c>
      <c r="E46" s="5" t="s">
        <v>15</v>
      </c>
      <c r="F46" s="90">
        <v>1</v>
      </c>
      <c r="G46" s="11" t="s">
        <v>27</v>
      </c>
      <c r="H46" s="11">
        <v>0.18472222222222223</v>
      </c>
      <c r="I46" s="5">
        <v>6</v>
      </c>
      <c r="J46" s="13" t="s">
        <v>27</v>
      </c>
      <c r="K46" s="5" t="s">
        <v>28</v>
      </c>
      <c r="L46" s="11">
        <v>0.18611111111111112</v>
      </c>
      <c r="M46" s="5">
        <v>27</v>
      </c>
      <c r="N46" s="5">
        <v>27</v>
      </c>
      <c r="O46" s="5">
        <v>28</v>
      </c>
      <c r="P46" s="7" t="s">
        <v>23</v>
      </c>
      <c r="Q46" s="7"/>
      <c r="R46" s="1">
        <f t="shared" si="7"/>
        <v>44753</v>
      </c>
      <c r="S46" s="87">
        <f>AVERAGE(M46:O46)</f>
        <v>27.333333333333332</v>
      </c>
      <c r="T46" s="37">
        <f>8910-8582</f>
        <v>328</v>
      </c>
      <c r="U46" s="57"/>
      <c r="V46" s="38"/>
      <c r="W46" s="66"/>
      <c r="X46" s="74"/>
      <c r="Y46" s="74"/>
      <c r="Z46" s="74"/>
      <c r="AA46" s="74"/>
      <c r="AB46" s="74"/>
      <c r="AC46" s="74"/>
      <c r="AD46" s="81"/>
      <c r="AW46" s="18"/>
      <c r="AY46" s="28"/>
    </row>
    <row r="47" spans="1:52" x14ac:dyDescent="0.2">
      <c r="A47" s="5" t="s">
        <v>21</v>
      </c>
      <c r="B47" s="6">
        <v>44753</v>
      </c>
      <c r="C47" s="5" t="s">
        <v>25</v>
      </c>
      <c r="D47" s="5" t="s">
        <v>25</v>
      </c>
      <c r="E47" s="5" t="s">
        <v>15</v>
      </c>
      <c r="F47" s="90">
        <v>1</v>
      </c>
      <c r="G47" s="11" t="s">
        <v>27</v>
      </c>
      <c r="H47" s="11">
        <v>0.5854166666666667</v>
      </c>
      <c r="I47" s="5">
        <v>6</v>
      </c>
      <c r="J47" s="13" t="s">
        <v>29</v>
      </c>
      <c r="K47" s="5" t="s">
        <v>28</v>
      </c>
      <c r="L47" s="11">
        <v>0.58750000000000002</v>
      </c>
      <c r="M47" s="5">
        <v>31</v>
      </c>
      <c r="N47" s="5">
        <v>32</v>
      </c>
      <c r="O47" s="5">
        <v>32</v>
      </c>
      <c r="P47" s="7" t="s">
        <v>23</v>
      </c>
      <c r="Q47" s="7"/>
      <c r="R47" s="1">
        <f t="shared" si="7"/>
        <v>44753</v>
      </c>
      <c r="S47" s="34">
        <f>AVERAGE(M47:O47)</f>
        <v>31.666666666666668</v>
      </c>
      <c r="T47" s="37">
        <f>8910-8550</f>
        <v>360</v>
      </c>
      <c r="U47" s="57">
        <v>36.424999999999997</v>
      </c>
      <c r="V47" s="38"/>
      <c r="W47" s="66"/>
      <c r="X47" s="74"/>
      <c r="Y47" s="74"/>
      <c r="Z47" s="74"/>
      <c r="AA47" s="74"/>
      <c r="AB47" s="74"/>
      <c r="AC47" s="74"/>
      <c r="AD47" s="81"/>
      <c r="AW47" s="18"/>
      <c r="AY47" s="28"/>
    </row>
    <row r="48" spans="1:52" ht="16" customHeight="1" x14ac:dyDescent="0.2">
      <c r="A48" s="8"/>
      <c r="B48" s="17"/>
      <c r="C48" s="8"/>
      <c r="D48" s="8"/>
      <c r="E48" s="8"/>
      <c r="F48" s="91"/>
      <c r="G48" s="15"/>
      <c r="H48" s="15"/>
      <c r="I48" s="8"/>
      <c r="J48" s="16"/>
      <c r="K48" s="8"/>
      <c r="L48" s="15"/>
      <c r="M48" s="8"/>
      <c r="N48" s="8"/>
      <c r="O48" s="8"/>
      <c r="P48" s="9"/>
      <c r="Q48" s="9"/>
      <c r="R48" s="1"/>
      <c r="S48" s="34"/>
      <c r="T48" s="37"/>
      <c r="U48" s="57"/>
      <c r="V48" s="38"/>
      <c r="W48" s="66"/>
      <c r="X48" s="74"/>
      <c r="Y48" s="74"/>
      <c r="Z48" s="74"/>
      <c r="AA48" s="74"/>
      <c r="AB48" s="74"/>
      <c r="AC48" s="74"/>
      <c r="AD48" s="81"/>
      <c r="AW48" s="18"/>
      <c r="AY48" s="28"/>
    </row>
    <row r="49" spans="1:51" ht="16" customHeight="1" x14ac:dyDescent="0.2">
      <c r="A49" s="3" t="s">
        <v>21</v>
      </c>
      <c r="B49" s="1">
        <v>44786</v>
      </c>
      <c r="C49" s="3" t="s">
        <v>25</v>
      </c>
      <c r="D49" s="3" t="s">
        <v>25</v>
      </c>
      <c r="E49" s="3" t="s">
        <v>15</v>
      </c>
      <c r="F49" s="89">
        <v>1</v>
      </c>
      <c r="G49" s="10">
        <v>0.5</v>
      </c>
      <c r="H49" s="10">
        <v>0.58680555555555558</v>
      </c>
      <c r="I49" s="3">
        <v>6</v>
      </c>
      <c r="J49" s="12" t="s">
        <v>30</v>
      </c>
      <c r="K49" s="3" t="s">
        <v>28</v>
      </c>
      <c r="L49" s="10">
        <v>0.58888888888888891</v>
      </c>
      <c r="M49" s="3">
        <v>43</v>
      </c>
      <c r="N49" s="3">
        <v>44</v>
      </c>
      <c r="O49" s="3">
        <v>45</v>
      </c>
      <c r="P49" t="s">
        <v>22</v>
      </c>
      <c r="Q49" t="s">
        <v>80</v>
      </c>
      <c r="R49" s="1">
        <f>B49</f>
        <v>44786</v>
      </c>
      <c r="S49" s="34">
        <f>AVERAGE(M49:O49)</f>
        <v>44</v>
      </c>
      <c r="T49" s="37">
        <f>8910-8421</f>
        <v>489</v>
      </c>
      <c r="U49" s="57">
        <v>24.174999999999997</v>
      </c>
      <c r="V49" s="18"/>
      <c r="W49" s="66"/>
      <c r="X49" s="74"/>
      <c r="Y49" s="74"/>
      <c r="Z49" s="74"/>
      <c r="AA49" s="74"/>
      <c r="AB49" s="74"/>
      <c r="AC49" s="74"/>
      <c r="AD49" s="81"/>
      <c r="AW49" s="18"/>
      <c r="AY49" s="28"/>
    </row>
    <row r="50" spans="1:51" ht="16" customHeight="1" x14ac:dyDescent="0.2">
      <c r="A50" s="5" t="s">
        <v>21</v>
      </c>
      <c r="B50" s="6">
        <v>44786</v>
      </c>
      <c r="C50" s="5" t="s">
        <v>25</v>
      </c>
      <c r="D50" s="5" t="s">
        <v>25</v>
      </c>
      <c r="E50" s="5" t="s">
        <v>15</v>
      </c>
      <c r="F50" s="90">
        <v>1</v>
      </c>
      <c r="G50" s="11" t="s">
        <v>27</v>
      </c>
      <c r="H50" s="11">
        <v>0.20138888888888887</v>
      </c>
      <c r="I50" s="5">
        <v>6</v>
      </c>
      <c r="J50" s="13" t="s">
        <v>27</v>
      </c>
      <c r="K50" s="5" t="s">
        <v>28</v>
      </c>
      <c r="L50" s="11">
        <v>0.20277777777777781</v>
      </c>
      <c r="M50" s="5">
        <v>43</v>
      </c>
      <c r="N50" s="5">
        <v>44</v>
      </c>
      <c r="O50" s="5">
        <v>45</v>
      </c>
      <c r="P50" s="7" t="s">
        <v>23</v>
      </c>
      <c r="Q50" t="s">
        <v>80</v>
      </c>
      <c r="R50" s="1">
        <f t="shared" ref="R50:R51" si="8">B50</f>
        <v>44786</v>
      </c>
      <c r="S50" s="34">
        <f>AVERAGE(M50:O50)</f>
        <v>44</v>
      </c>
      <c r="T50" s="37">
        <f>8910-8430</f>
        <v>480</v>
      </c>
      <c r="U50" s="57"/>
      <c r="V50" s="18"/>
      <c r="W50" s="66"/>
      <c r="X50" s="74"/>
      <c r="Y50" s="74"/>
      <c r="Z50" s="74"/>
      <c r="AA50" s="74"/>
      <c r="AB50" s="74"/>
      <c r="AC50" s="74"/>
      <c r="AD50" s="81"/>
    </row>
    <row r="51" spans="1:51" ht="16" customHeight="1" x14ac:dyDescent="0.2">
      <c r="A51" s="5" t="s">
        <v>21</v>
      </c>
      <c r="B51" s="6">
        <v>44786</v>
      </c>
      <c r="C51" s="5" t="s">
        <v>25</v>
      </c>
      <c r="D51" s="5" t="s">
        <v>25</v>
      </c>
      <c r="E51" s="5" t="s">
        <v>15</v>
      </c>
      <c r="F51" s="90">
        <v>1</v>
      </c>
      <c r="G51" s="11" t="s">
        <v>27</v>
      </c>
      <c r="H51" s="11">
        <v>0.58333333333333337</v>
      </c>
      <c r="I51" s="5">
        <v>6</v>
      </c>
      <c r="J51" s="13" t="s">
        <v>30</v>
      </c>
      <c r="K51" s="5" t="s">
        <v>28</v>
      </c>
      <c r="L51" s="11">
        <v>0.5854166666666667</v>
      </c>
      <c r="M51" s="5">
        <v>43</v>
      </c>
      <c r="N51" s="5">
        <v>44</v>
      </c>
      <c r="O51" s="5">
        <v>46</v>
      </c>
      <c r="P51" s="7" t="s">
        <v>23</v>
      </c>
      <c r="Q51" t="s">
        <v>80</v>
      </c>
      <c r="R51" s="1">
        <f t="shared" si="8"/>
        <v>44786</v>
      </c>
      <c r="S51" s="34">
        <f>AVERAGE(M51:O51)</f>
        <v>44.333333333333336</v>
      </c>
      <c r="T51" s="37">
        <f>8910-8421</f>
        <v>489</v>
      </c>
      <c r="U51" s="57">
        <v>24.174999999999997</v>
      </c>
      <c r="V51" s="18"/>
      <c r="W51" s="66"/>
      <c r="X51" s="74"/>
      <c r="Y51" s="74"/>
      <c r="Z51" s="74"/>
      <c r="AA51" s="74"/>
      <c r="AB51" s="74"/>
      <c r="AC51" s="74"/>
      <c r="AD51" s="81"/>
      <c r="AW51" s="18"/>
      <c r="AY51" s="28"/>
    </row>
    <row r="52" spans="1:51" ht="16" customHeight="1" x14ac:dyDescent="0.2">
      <c r="A52" s="49"/>
      <c r="B52" s="50"/>
      <c r="C52" s="49"/>
      <c r="D52" s="49"/>
      <c r="E52" s="49"/>
      <c r="F52" s="92"/>
      <c r="G52" s="51"/>
      <c r="H52" s="51"/>
      <c r="I52" s="49"/>
      <c r="J52" s="52"/>
      <c r="K52" s="49"/>
      <c r="L52" s="51"/>
      <c r="M52" s="49"/>
      <c r="N52" s="49"/>
      <c r="O52" s="49"/>
      <c r="P52" s="53"/>
      <c r="Q52" s="53"/>
      <c r="S52" s="18"/>
      <c r="T52" s="18"/>
      <c r="U52" s="57"/>
      <c r="V52" s="18"/>
      <c r="W52" s="66"/>
      <c r="X52" s="74"/>
      <c r="Y52" s="74"/>
      <c r="Z52" s="74"/>
      <c r="AA52" s="74"/>
      <c r="AB52" s="74"/>
      <c r="AC52" s="74"/>
      <c r="AD52" s="81"/>
      <c r="AW52" s="18"/>
      <c r="AY52" s="28"/>
    </row>
    <row r="53" spans="1:51" ht="16" customHeight="1" x14ac:dyDescent="0.2">
      <c r="A53" s="61" t="s">
        <v>21</v>
      </c>
      <c r="B53" s="62">
        <v>44867</v>
      </c>
      <c r="C53" s="61" t="s">
        <v>25</v>
      </c>
      <c r="D53" s="61" t="s">
        <v>26</v>
      </c>
      <c r="E53" s="61" t="s">
        <v>15</v>
      </c>
      <c r="F53" s="93">
        <v>1</v>
      </c>
      <c r="G53" s="10" t="s">
        <v>27</v>
      </c>
      <c r="H53" s="10">
        <v>0.48819444444444443</v>
      </c>
      <c r="I53" s="3">
        <v>6</v>
      </c>
      <c r="J53" s="12" t="s">
        <v>30</v>
      </c>
      <c r="K53" s="3" t="s">
        <v>95</v>
      </c>
      <c r="L53" s="10">
        <v>0.48958333333333331</v>
      </c>
      <c r="M53" s="3">
        <v>20</v>
      </c>
      <c r="N53" s="3">
        <v>21</v>
      </c>
      <c r="O53" s="3">
        <v>22</v>
      </c>
      <c r="P53" s="63" t="s">
        <v>23</v>
      </c>
      <c r="Q53" s="63" t="s">
        <v>92</v>
      </c>
      <c r="S53" s="18"/>
      <c r="T53" s="18"/>
      <c r="U53" s="57"/>
      <c r="V53" s="18"/>
      <c r="W53" s="66"/>
      <c r="X53" s="74"/>
      <c r="Y53" s="74"/>
      <c r="Z53" s="74"/>
      <c r="AA53" s="74"/>
      <c r="AB53" s="74"/>
      <c r="AC53" s="74"/>
      <c r="AD53" s="81"/>
      <c r="AW53" s="18"/>
      <c r="AY53" s="28"/>
    </row>
    <row r="54" spans="1:51" ht="16" customHeight="1" x14ac:dyDescent="0.2">
      <c r="B54" s="1"/>
      <c r="G54" s="10"/>
      <c r="H54" s="10"/>
      <c r="I54" s="3"/>
      <c r="J54" s="12"/>
      <c r="K54" s="3"/>
      <c r="L54" s="10"/>
      <c r="M54" s="3"/>
      <c r="N54" s="3"/>
      <c r="O54" s="3"/>
      <c r="S54" s="18"/>
      <c r="T54" s="18"/>
      <c r="U54" s="57"/>
      <c r="V54" s="18"/>
      <c r="W54" s="66"/>
      <c r="X54" s="74"/>
      <c r="Y54" s="74"/>
      <c r="Z54" s="74"/>
      <c r="AA54" s="74"/>
      <c r="AB54" s="74"/>
      <c r="AC54" s="74"/>
      <c r="AD54" s="81"/>
      <c r="AW54" s="18"/>
      <c r="AY54" s="28"/>
    </row>
    <row r="55" spans="1:51" ht="16" customHeight="1" x14ac:dyDescent="0.2">
      <c r="B55" s="1"/>
      <c r="G55" s="10"/>
      <c r="H55" s="10"/>
      <c r="I55" s="3"/>
      <c r="J55" s="12"/>
      <c r="K55" s="3"/>
      <c r="L55" s="10"/>
      <c r="M55" s="3"/>
      <c r="N55" s="3"/>
      <c r="O55" s="3"/>
      <c r="S55" s="18"/>
      <c r="U55" s="57"/>
      <c r="V55" s="18"/>
      <c r="W55" s="66"/>
      <c r="X55" s="74"/>
      <c r="Y55" s="74"/>
      <c r="Z55" s="74"/>
      <c r="AA55" s="74"/>
      <c r="AB55" s="74"/>
      <c r="AC55" s="74"/>
      <c r="AD55" s="81"/>
      <c r="AW55" s="18"/>
      <c r="AY55" s="28"/>
    </row>
    <row r="56" spans="1:51" ht="16" customHeight="1" x14ac:dyDescent="0.2">
      <c r="B56" s="1"/>
      <c r="G56" s="10"/>
      <c r="H56" s="10"/>
      <c r="I56" s="3"/>
      <c r="J56" s="12"/>
      <c r="K56" s="3"/>
      <c r="L56" s="10"/>
      <c r="M56" s="3"/>
      <c r="N56" s="3"/>
      <c r="O56" s="3"/>
      <c r="S56" s="18"/>
      <c r="T56" s="18"/>
      <c r="U56" s="57"/>
      <c r="V56" s="18"/>
      <c r="W56" s="66"/>
      <c r="X56" s="74"/>
      <c r="Y56" s="74"/>
      <c r="Z56" s="74"/>
      <c r="AA56" s="74"/>
      <c r="AB56" s="74"/>
      <c r="AC56" s="74"/>
      <c r="AD56" s="81"/>
      <c r="AW56" s="18"/>
      <c r="AY56" s="28"/>
    </row>
    <row r="57" spans="1:51" ht="16" customHeight="1" x14ac:dyDescent="0.2">
      <c r="B57" s="1"/>
      <c r="G57" s="10"/>
      <c r="H57" s="10"/>
      <c r="I57" s="3"/>
      <c r="J57" s="12"/>
      <c r="K57" s="3"/>
      <c r="L57" s="10"/>
      <c r="M57" s="3"/>
      <c r="N57" s="3"/>
      <c r="O57" s="3"/>
      <c r="S57" s="18"/>
      <c r="T57" s="18"/>
      <c r="U57" s="57"/>
      <c r="V57" s="18"/>
      <c r="W57" s="66"/>
      <c r="X57" s="74"/>
      <c r="Y57" s="74"/>
      <c r="Z57" s="74"/>
      <c r="AA57" s="74"/>
      <c r="AB57" s="74"/>
      <c r="AC57" s="74"/>
      <c r="AD57" s="81"/>
      <c r="AW57" s="18"/>
      <c r="AY57" s="28"/>
    </row>
    <row r="58" spans="1:51" ht="16" customHeight="1" x14ac:dyDescent="0.2">
      <c r="B58" s="1"/>
      <c r="G58" s="10"/>
      <c r="H58" s="10"/>
      <c r="I58" s="3"/>
      <c r="J58" s="12"/>
      <c r="K58" s="3"/>
      <c r="L58" s="10"/>
      <c r="M58" s="3"/>
      <c r="N58" s="3"/>
      <c r="O58" s="3"/>
      <c r="S58" s="34"/>
      <c r="T58" s="37"/>
      <c r="U58" s="57"/>
      <c r="V58" s="38"/>
      <c r="W58" s="66"/>
      <c r="X58" s="74"/>
      <c r="Y58" s="74"/>
      <c r="Z58" s="74"/>
      <c r="AA58" s="74"/>
      <c r="AB58" s="74"/>
      <c r="AC58" s="74"/>
      <c r="AD58" s="81"/>
      <c r="AW58" s="18"/>
      <c r="AY58" s="28"/>
    </row>
    <row r="59" spans="1:51" ht="16" customHeight="1" x14ac:dyDescent="0.2">
      <c r="B59" s="1"/>
      <c r="G59" s="10"/>
      <c r="H59" s="10"/>
      <c r="I59" s="3"/>
      <c r="J59" s="12"/>
      <c r="K59" s="3"/>
      <c r="L59" s="10"/>
      <c r="M59" s="3"/>
      <c r="N59" s="3"/>
      <c r="O59" s="3"/>
      <c r="S59" s="34"/>
      <c r="T59" s="37"/>
      <c r="U59" s="57"/>
      <c r="V59" s="38"/>
      <c r="W59" s="66"/>
      <c r="X59" s="74"/>
      <c r="Y59" s="74"/>
      <c r="Z59" s="74"/>
      <c r="AA59" s="74"/>
      <c r="AB59" s="74"/>
      <c r="AC59" s="74"/>
      <c r="AD59" s="81"/>
      <c r="AW59" s="18"/>
      <c r="AY59" s="28"/>
    </row>
    <row r="60" spans="1:51" ht="16" customHeight="1" x14ac:dyDescent="0.2">
      <c r="A60"/>
      <c r="B60" s="1"/>
      <c r="G60" s="10"/>
      <c r="H60" s="10"/>
      <c r="I60" s="3"/>
      <c r="J60" s="12"/>
      <c r="K60" s="3"/>
      <c r="L60" s="10"/>
      <c r="M60" s="3"/>
      <c r="N60" s="3"/>
      <c r="O60" s="3"/>
      <c r="S60" s="34"/>
      <c r="T60" s="37"/>
      <c r="U60" s="57"/>
      <c r="V60" s="38"/>
      <c r="W60" s="66"/>
      <c r="X60" s="74"/>
      <c r="Y60" s="74"/>
      <c r="Z60" s="74"/>
      <c r="AA60" s="74"/>
      <c r="AB60" s="74"/>
      <c r="AC60" s="74"/>
      <c r="AD60" s="81"/>
      <c r="AW60" s="18"/>
      <c r="AY60" s="28"/>
    </row>
    <row r="61" spans="1:51" ht="16" customHeight="1" x14ac:dyDescent="0.2">
      <c r="A61"/>
      <c r="B61" s="1"/>
      <c r="G61" s="10"/>
      <c r="H61" s="10"/>
      <c r="I61" s="3"/>
      <c r="J61" s="12"/>
      <c r="K61" s="3"/>
      <c r="L61" s="10"/>
      <c r="M61" s="3"/>
      <c r="N61" s="3"/>
      <c r="O61" s="3"/>
      <c r="R61" s="1"/>
      <c r="S61" s="34"/>
      <c r="T61" s="37"/>
      <c r="U61" s="57"/>
      <c r="V61" s="38"/>
      <c r="W61" s="66"/>
      <c r="X61" s="74"/>
      <c r="Y61" s="74"/>
      <c r="Z61" s="74"/>
      <c r="AA61" s="74"/>
      <c r="AB61" s="74"/>
      <c r="AC61" s="74"/>
      <c r="AD61" s="81"/>
      <c r="AW61" s="18"/>
      <c r="AY61" s="28"/>
    </row>
    <row r="62" spans="1:51" ht="16" customHeight="1" x14ac:dyDescent="0.2">
      <c r="A62" s="3" t="s">
        <v>21</v>
      </c>
      <c r="B62" s="1">
        <v>44348</v>
      </c>
      <c r="C62" s="3" t="s">
        <v>25</v>
      </c>
      <c r="D62" s="3" t="s">
        <v>26</v>
      </c>
      <c r="E62" s="3" t="s">
        <v>15</v>
      </c>
      <c r="F62" s="89">
        <v>2</v>
      </c>
      <c r="G62" s="10">
        <v>0.30208333333333331</v>
      </c>
      <c r="H62" s="10">
        <v>0.32500000000000001</v>
      </c>
      <c r="I62" s="3">
        <v>7</v>
      </c>
      <c r="J62" s="3" t="s">
        <v>29</v>
      </c>
      <c r="K62" s="3" t="s">
        <v>28</v>
      </c>
      <c r="L62" s="10">
        <v>0.32777777777777778</v>
      </c>
      <c r="M62" s="3">
        <v>5</v>
      </c>
      <c r="N62" s="3">
        <v>5</v>
      </c>
      <c r="O62" s="3">
        <v>5</v>
      </c>
      <c r="P62" t="s">
        <v>22</v>
      </c>
      <c r="R62" s="1">
        <f t="shared" ref="R62:R72" si="9">B62</f>
        <v>44348</v>
      </c>
      <c r="S62" s="34">
        <f>AVERAGE(M62:O62)</f>
        <v>5</v>
      </c>
      <c r="T62" s="37"/>
      <c r="U62" s="57"/>
      <c r="V62" s="38"/>
      <c r="W62" s="66"/>
      <c r="X62" s="74"/>
      <c r="Y62" s="74"/>
      <c r="Z62" s="74"/>
      <c r="AA62" s="74"/>
      <c r="AB62" s="74"/>
      <c r="AC62" s="74"/>
      <c r="AD62" s="81"/>
      <c r="AW62" s="18"/>
      <c r="AY62" s="28"/>
    </row>
    <row r="63" spans="1:51" ht="16" customHeight="1" x14ac:dyDescent="0.2">
      <c r="A63" s="3" t="s">
        <v>21</v>
      </c>
      <c r="B63" s="1">
        <v>44348</v>
      </c>
      <c r="C63" s="3" t="s">
        <v>25</v>
      </c>
      <c r="D63" s="3" t="s">
        <v>26</v>
      </c>
      <c r="E63" s="3" t="s">
        <v>15</v>
      </c>
      <c r="F63" s="89">
        <v>2</v>
      </c>
      <c r="G63" s="10">
        <v>0.38541666666666663</v>
      </c>
      <c r="H63" s="10">
        <v>0.40833333333333333</v>
      </c>
      <c r="I63" s="3">
        <v>7</v>
      </c>
      <c r="J63" s="3" t="s">
        <v>30</v>
      </c>
      <c r="K63" s="3" t="s">
        <v>28</v>
      </c>
      <c r="L63" s="10">
        <v>0.40972222222222221</v>
      </c>
      <c r="M63" s="3">
        <v>7</v>
      </c>
      <c r="N63" s="3">
        <v>8</v>
      </c>
      <c r="O63" s="3">
        <v>8</v>
      </c>
      <c r="P63" t="s">
        <v>22</v>
      </c>
      <c r="R63" s="1">
        <f t="shared" si="9"/>
        <v>44348</v>
      </c>
      <c r="S63" s="34">
        <f t="shared" ref="S63:S70" si="10">AVERAGE(M63:O63)</f>
        <v>7.666666666666667</v>
      </c>
      <c r="T63" s="37"/>
      <c r="U63" s="57"/>
      <c r="V63" s="38"/>
      <c r="W63" s="66"/>
      <c r="X63" s="74"/>
      <c r="Y63" s="74"/>
      <c r="Z63" s="74"/>
      <c r="AA63" s="74"/>
      <c r="AB63" s="74"/>
      <c r="AC63" s="74"/>
      <c r="AD63" s="81"/>
      <c r="AW63" s="18"/>
      <c r="AY63" s="28"/>
    </row>
    <row r="64" spans="1:51" ht="16" customHeight="1" x14ac:dyDescent="0.2">
      <c r="A64" s="3" t="s">
        <v>21</v>
      </c>
      <c r="B64" s="1">
        <v>44348</v>
      </c>
      <c r="C64" s="3" t="s">
        <v>25</v>
      </c>
      <c r="D64" s="3" t="s">
        <v>26</v>
      </c>
      <c r="E64" s="3" t="s">
        <v>15</v>
      </c>
      <c r="F64" s="89">
        <v>2</v>
      </c>
      <c r="G64" s="10">
        <v>0.48958333333333331</v>
      </c>
      <c r="H64" s="10">
        <v>0.51527777777777783</v>
      </c>
      <c r="I64" s="3">
        <v>7</v>
      </c>
      <c r="J64" s="3" t="s">
        <v>30</v>
      </c>
      <c r="K64" s="3" t="s">
        <v>28</v>
      </c>
      <c r="L64" s="10">
        <v>0.51736111111111116</v>
      </c>
      <c r="M64" s="3">
        <v>9</v>
      </c>
      <c r="N64" s="3">
        <v>9</v>
      </c>
      <c r="O64" s="3">
        <v>9</v>
      </c>
      <c r="P64" t="s">
        <v>22</v>
      </c>
      <c r="R64" s="1">
        <f t="shared" si="9"/>
        <v>44348</v>
      </c>
      <c r="S64" s="34">
        <f t="shared" si="10"/>
        <v>9</v>
      </c>
      <c r="T64" s="39">
        <f>7365-7223</f>
        <v>142</v>
      </c>
      <c r="U64" s="57">
        <v>254.5</v>
      </c>
      <c r="V64" s="40"/>
      <c r="W64" s="67"/>
      <c r="X64" s="75"/>
      <c r="Y64" s="75"/>
      <c r="Z64" s="75"/>
      <c r="AA64" s="75"/>
      <c r="AB64" s="75"/>
      <c r="AC64" s="75"/>
      <c r="AD64" s="82"/>
      <c r="AW64" s="18"/>
      <c r="AY64" s="28"/>
    </row>
    <row r="65" spans="1:51" ht="16" customHeight="1" x14ac:dyDescent="0.2">
      <c r="A65" s="3" t="s">
        <v>21</v>
      </c>
      <c r="B65" s="1">
        <v>44348</v>
      </c>
      <c r="C65" s="3" t="s">
        <v>25</v>
      </c>
      <c r="D65" s="3" t="s">
        <v>26</v>
      </c>
      <c r="E65" s="3" t="s">
        <v>15</v>
      </c>
      <c r="F65" s="89">
        <v>2</v>
      </c>
      <c r="G65" s="10">
        <v>0.60069444444444442</v>
      </c>
      <c r="H65" s="10">
        <v>0.62847222222222221</v>
      </c>
      <c r="I65" s="3">
        <v>7</v>
      </c>
      <c r="J65" s="3" t="s">
        <v>30</v>
      </c>
      <c r="K65" s="3" t="s">
        <v>28</v>
      </c>
      <c r="L65" s="10">
        <v>0.6298611111111112</v>
      </c>
      <c r="M65" s="3">
        <v>9</v>
      </c>
      <c r="N65" s="3">
        <v>9</v>
      </c>
      <c r="O65" s="3">
        <v>10</v>
      </c>
      <c r="P65" t="s">
        <v>22</v>
      </c>
      <c r="R65" s="1">
        <f t="shared" si="9"/>
        <v>44348</v>
      </c>
      <c r="S65" s="34">
        <f t="shared" si="10"/>
        <v>9.3333333333333339</v>
      </c>
      <c r="T65" s="37"/>
      <c r="U65" s="57"/>
      <c r="V65" s="38"/>
      <c r="W65" s="66"/>
      <c r="X65" s="74"/>
      <c r="Y65" s="74"/>
      <c r="Z65" s="74"/>
      <c r="AA65" s="74"/>
      <c r="AB65" s="74"/>
      <c r="AC65" s="74"/>
      <c r="AD65" s="81"/>
      <c r="AW65" s="18"/>
      <c r="AY65" s="28"/>
    </row>
    <row r="66" spans="1:51" ht="16" customHeight="1" x14ac:dyDescent="0.2">
      <c r="A66" s="3" t="s">
        <v>21</v>
      </c>
      <c r="B66" s="1">
        <v>44348</v>
      </c>
      <c r="C66" s="3" t="s">
        <v>25</v>
      </c>
      <c r="D66" s="3" t="s">
        <v>26</v>
      </c>
      <c r="E66" s="3" t="s">
        <v>15</v>
      </c>
      <c r="F66" s="89">
        <v>2</v>
      </c>
      <c r="G66" s="10">
        <v>0.70486111111111116</v>
      </c>
      <c r="H66" s="10">
        <v>0.73888888888888893</v>
      </c>
      <c r="I66" s="3">
        <v>7</v>
      </c>
      <c r="J66" s="3" t="s">
        <v>30</v>
      </c>
      <c r="K66" s="3" t="s">
        <v>28</v>
      </c>
      <c r="L66" s="10">
        <v>0.74027777777777781</v>
      </c>
      <c r="M66" s="3">
        <v>6</v>
      </c>
      <c r="N66" s="3">
        <v>7</v>
      </c>
      <c r="O66" s="3">
        <v>7</v>
      </c>
      <c r="P66" t="s">
        <v>22</v>
      </c>
      <c r="R66" s="1">
        <f t="shared" si="9"/>
        <v>44348</v>
      </c>
      <c r="S66" s="34">
        <f t="shared" si="10"/>
        <v>6.666666666666667</v>
      </c>
      <c r="T66" s="37"/>
      <c r="U66" s="57"/>
      <c r="V66" s="38"/>
      <c r="W66" s="66"/>
      <c r="X66" s="74"/>
      <c r="Y66" s="74"/>
      <c r="Z66" s="74"/>
      <c r="AA66" s="74"/>
      <c r="AB66" s="74"/>
      <c r="AC66" s="74"/>
      <c r="AD66" s="81"/>
      <c r="AW66" s="18"/>
      <c r="AY66" s="28"/>
    </row>
    <row r="67" spans="1:51" ht="16" customHeight="1" x14ac:dyDescent="0.2">
      <c r="A67" s="5" t="s">
        <v>21</v>
      </c>
      <c r="B67" s="6">
        <v>44348</v>
      </c>
      <c r="C67" s="5" t="s">
        <v>25</v>
      </c>
      <c r="D67" s="5" t="s">
        <v>26</v>
      </c>
      <c r="E67" s="5" t="s">
        <v>15</v>
      </c>
      <c r="F67" s="90">
        <v>2</v>
      </c>
      <c r="G67" s="5" t="s">
        <v>27</v>
      </c>
      <c r="H67" s="11">
        <v>0.15486111111111112</v>
      </c>
      <c r="I67" s="5">
        <v>7</v>
      </c>
      <c r="J67" s="5" t="s">
        <v>27</v>
      </c>
      <c r="K67" s="5" t="s">
        <v>28</v>
      </c>
      <c r="L67" s="11">
        <v>0.15625</v>
      </c>
      <c r="M67" s="5">
        <v>4</v>
      </c>
      <c r="N67" s="5">
        <v>4</v>
      </c>
      <c r="O67" s="5">
        <v>5</v>
      </c>
      <c r="P67" s="7" t="s">
        <v>23</v>
      </c>
      <c r="Q67" s="7"/>
      <c r="R67" s="1">
        <f t="shared" si="9"/>
        <v>44348</v>
      </c>
      <c r="S67" s="34">
        <f t="shared" si="10"/>
        <v>4.333333333333333</v>
      </c>
      <c r="T67" s="39">
        <f>7365-7228</f>
        <v>137</v>
      </c>
      <c r="U67" s="58"/>
      <c r="V67" s="40"/>
      <c r="W67" s="67"/>
      <c r="X67" s="75"/>
      <c r="Y67" s="75"/>
      <c r="Z67" s="75"/>
      <c r="AA67" s="75"/>
      <c r="AB67" s="75"/>
      <c r="AC67" s="75"/>
      <c r="AD67" s="82"/>
      <c r="AW67" s="18"/>
      <c r="AY67" s="28"/>
    </row>
    <row r="68" spans="1:51" ht="16" customHeight="1" x14ac:dyDescent="0.2">
      <c r="A68" s="5" t="s">
        <v>21</v>
      </c>
      <c r="B68" s="6">
        <v>44348</v>
      </c>
      <c r="C68" s="5" t="s">
        <v>25</v>
      </c>
      <c r="D68" s="5" t="s">
        <v>26</v>
      </c>
      <c r="E68" s="5" t="s">
        <v>15</v>
      </c>
      <c r="F68" s="90">
        <v>2</v>
      </c>
      <c r="G68" s="5" t="s">
        <v>27</v>
      </c>
      <c r="H68" s="11">
        <v>0.32500000000000001</v>
      </c>
      <c r="I68" s="5">
        <v>7</v>
      </c>
      <c r="J68" s="5" t="s">
        <v>29</v>
      </c>
      <c r="K68" s="5" t="s">
        <v>28</v>
      </c>
      <c r="L68" s="11">
        <v>0.3263888888888889</v>
      </c>
      <c r="M68" s="5">
        <v>6</v>
      </c>
      <c r="N68" s="5">
        <v>6</v>
      </c>
      <c r="O68" s="5">
        <v>8</v>
      </c>
      <c r="P68" s="7" t="s">
        <v>23</v>
      </c>
      <c r="Q68" s="7"/>
      <c r="R68" s="1">
        <f t="shared" si="9"/>
        <v>44348</v>
      </c>
      <c r="S68" s="34">
        <f t="shared" si="10"/>
        <v>6.666666666666667</v>
      </c>
      <c r="T68" s="37"/>
      <c r="U68" s="57"/>
      <c r="V68" s="38"/>
      <c r="W68" s="66"/>
      <c r="X68" s="74"/>
      <c r="Y68" s="74"/>
      <c r="Z68" s="74"/>
      <c r="AA68" s="74"/>
      <c r="AB68" s="74"/>
      <c r="AC68" s="74"/>
      <c r="AD68" s="81"/>
      <c r="AE68" s="10"/>
      <c r="AW68" s="18"/>
      <c r="AY68" s="28"/>
    </row>
    <row r="69" spans="1:51" ht="16" customHeight="1" x14ac:dyDescent="0.2">
      <c r="A69" s="5" t="s">
        <v>21</v>
      </c>
      <c r="B69" s="6">
        <v>44348</v>
      </c>
      <c r="C69" s="5" t="s">
        <v>25</v>
      </c>
      <c r="D69" s="5" t="s">
        <v>26</v>
      </c>
      <c r="E69" s="5" t="s">
        <v>15</v>
      </c>
      <c r="F69" s="90">
        <v>2</v>
      </c>
      <c r="G69" s="11" t="s">
        <v>27</v>
      </c>
      <c r="H69" s="11">
        <v>0.40416666666666662</v>
      </c>
      <c r="I69" s="5">
        <v>7</v>
      </c>
      <c r="J69" s="5" t="s">
        <v>30</v>
      </c>
      <c r="K69" s="5" t="s">
        <v>28</v>
      </c>
      <c r="L69" s="11">
        <v>0.40625</v>
      </c>
      <c r="M69" s="5">
        <v>9</v>
      </c>
      <c r="N69" s="5">
        <v>9</v>
      </c>
      <c r="O69" s="5">
        <v>10</v>
      </c>
      <c r="P69" s="7" t="s">
        <v>23</v>
      </c>
      <c r="Q69" s="7"/>
      <c r="R69" s="1">
        <f t="shared" si="9"/>
        <v>44348</v>
      </c>
      <c r="S69" s="34">
        <f>AVERAGE(M69:O69)</f>
        <v>9.3333333333333339</v>
      </c>
      <c r="T69" s="37"/>
      <c r="U69" s="57"/>
      <c r="V69" s="38"/>
      <c r="W69" s="66"/>
      <c r="X69" s="74"/>
      <c r="Y69" s="74"/>
      <c r="Z69" s="74"/>
      <c r="AA69" s="74"/>
      <c r="AB69" s="74"/>
      <c r="AC69" s="74"/>
      <c r="AD69" s="81"/>
      <c r="AE69" s="10"/>
      <c r="AW69" s="18"/>
      <c r="AY69" s="28"/>
    </row>
    <row r="70" spans="1:51" ht="16" customHeight="1" x14ac:dyDescent="0.2">
      <c r="A70" s="5" t="s">
        <v>21</v>
      </c>
      <c r="B70" s="6">
        <v>44348</v>
      </c>
      <c r="C70" s="5" t="s">
        <v>25</v>
      </c>
      <c r="D70" s="5" t="s">
        <v>26</v>
      </c>
      <c r="E70" s="5" t="s">
        <v>15</v>
      </c>
      <c r="F70" s="90">
        <v>2</v>
      </c>
      <c r="G70" s="11" t="s">
        <v>27</v>
      </c>
      <c r="H70" s="11">
        <v>0.51250000000000007</v>
      </c>
      <c r="I70" s="5">
        <v>7</v>
      </c>
      <c r="J70" s="5" t="s">
        <v>30</v>
      </c>
      <c r="K70" s="5" t="s">
        <v>28</v>
      </c>
      <c r="L70" s="11">
        <v>0.51388888888888895</v>
      </c>
      <c r="M70" s="5">
        <v>12</v>
      </c>
      <c r="N70" s="5">
        <v>13</v>
      </c>
      <c r="O70" s="5">
        <v>15</v>
      </c>
      <c r="P70" s="7" t="s">
        <v>23</v>
      </c>
      <c r="Q70" s="7"/>
      <c r="R70" s="1">
        <f t="shared" si="9"/>
        <v>44348</v>
      </c>
      <c r="S70" s="34">
        <f t="shared" si="10"/>
        <v>13.333333333333334</v>
      </c>
      <c r="T70" s="39">
        <f>7365-7223</f>
        <v>142</v>
      </c>
      <c r="U70" s="57">
        <v>254.5</v>
      </c>
      <c r="V70" s="40"/>
      <c r="W70" s="67"/>
      <c r="X70" s="75"/>
      <c r="Y70" s="75"/>
      <c r="Z70" s="75"/>
      <c r="AA70" s="75"/>
      <c r="AB70" s="75"/>
      <c r="AC70" s="75"/>
      <c r="AD70" s="82"/>
      <c r="AE70" s="10"/>
      <c r="AW70" s="18"/>
      <c r="AY70" s="28"/>
    </row>
    <row r="71" spans="1:51" ht="16" customHeight="1" x14ac:dyDescent="0.2">
      <c r="A71" s="5" t="s">
        <v>21</v>
      </c>
      <c r="B71" s="6">
        <v>44348</v>
      </c>
      <c r="C71" s="5" t="s">
        <v>25</v>
      </c>
      <c r="D71" s="5" t="s">
        <v>26</v>
      </c>
      <c r="E71" s="5" t="s">
        <v>15</v>
      </c>
      <c r="F71" s="90">
        <v>2</v>
      </c>
      <c r="G71" s="11" t="s">
        <v>27</v>
      </c>
      <c r="H71" s="11">
        <v>0.62361111111111112</v>
      </c>
      <c r="I71" s="5">
        <v>7</v>
      </c>
      <c r="J71" s="5" t="s">
        <v>30</v>
      </c>
      <c r="K71" s="5" t="s">
        <v>28</v>
      </c>
      <c r="L71" s="11">
        <v>0.625</v>
      </c>
      <c r="M71" s="5">
        <v>12</v>
      </c>
      <c r="N71" s="5">
        <v>13</v>
      </c>
      <c r="O71" s="5">
        <v>14</v>
      </c>
      <c r="P71" s="7" t="s">
        <v>23</v>
      </c>
      <c r="Q71" s="7"/>
      <c r="R71" s="1">
        <f t="shared" si="9"/>
        <v>44348</v>
      </c>
      <c r="S71" s="34">
        <f>AVERAGE(M71:O71)</f>
        <v>13</v>
      </c>
      <c r="T71" s="37"/>
      <c r="U71" s="57"/>
      <c r="V71" s="38"/>
      <c r="W71" s="66"/>
      <c r="X71" s="74"/>
      <c r="Y71" s="74"/>
      <c r="Z71" s="74"/>
      <c r="AA71" s="74"/>
      <c r="AB71" s="74"/>
      <c r="AC71" s="74"/>
      <c r="AD71" s="81"/>
      <c r="AE71" s="10"/>
      <c r="AW71" s="18"/>
      <c r="AY71" s="28"/>
    </row>
    <row r="72" spans="1:51" ht="16" customHeight="1" x14ac:dyDescent="0.2">
      <c r="A72" s="5" t="s">
        <v>21</v>
      </c>
      <c r="B72" s="6">
        <v>44348</v>
      </c>
      <c r="C72" s="5" t="s">
        <v>25</v>
      </c>
      <c r="D72" s="5" t="s">
        <v>26</v>
      </c>
      <c r="E72" s="5" t="s">
        <v>15</v>
      </c>
      <c r="F72" s="90">
        <v>2</v>
      </c>
      <c r="G72" s="11" t="s">
        <v>27</v>
      </c>
      <c r="H72" s="11">
        <v>0.73750000000000004</v>
      </c>
      <c r="I72" s="5">
        <v>7</v>
      </c>
      <c r="J72" s="5" t="s">
        <v>30</v>
      </c>
      <c r="K72" s="5" t="s">
        <v>28</v>
      </c>
      <c r="L72" s="11">
        <v>0.73888888888888893</v>
      </c>
      <c r="M72" s="5">
        <v>7</v>
      </c>
      <c r="N72" s="5">
        <v>8</v>
      </c>
      <c r="O72" s="5">
        <v>8</v>
      </c>
      <c r="P72" s="7" t="s">
        <v>23</v>
      </c>
      <c r="Q72" s="7"/>
      <c r="R72" s="1">
        <f t="shared" si="9"/>
        <v>44348</v>
      </c>
      <c r="S72" s="34">
        <f>AVERAGE(M72:O72)</f>
        <v>7.666666666666667</v>
      </c>
      <c r="T72" s="37"/>
      <c r="U72" s="57"/>
      <c r="V72" s="38"/>
      <c r="W72" s="66"/>
      <c r="X72" s="74"/>
      <c r="Y72" s="74"/>
      <c r="Z72" s="74"/>
      <c r="AA72" s="74"/>
      <c r="AB72" s="74"/>
      <c r="AC72" s="74"/>
      <c r="AD72" s="81"/>
      <c r="AE72" s="10"/>
      <c r="AW72" s="18"/>
      <c r="AY72" s="28"/>
    </row>
    <row r="73" spans="1:51" ht="16" customHeight="1" x14ac:dyDescent="0.2">
      <c r="A73" s="8"/>
      <c r="B73" s="17"/>
      <c r="C73" s="8"/>
      <c r="D73" s="8"/>
      <c r="E73" s="8"/>
      <c r="F73" s="91"/>
      <c r="G73" s="15"/>
      <c r="H73" s="15"/>
      <c r="I73" s="8"/>
      <c r="J73" s="16"/>
      <c r="K73" s="8"/>
      <c r="L73" s="15"/>
      <c r="M73" s="8"/>
      <c r="N73" s="8"/>
      <c r="O73" s="8"/>
      <c r="P73" s="9"/>
      <c r="Q73" s="9"/>
      <c r="S73" s="34"/>
      <c r="T73" s="37"/>
      <c r="U73" s="57"/>
      <c r="V73" s="38"/>
      <c r="W73" s="66"/>
      <c r="X73" s="74"/>
      <c r="Y73" s="74"/>
      <c r="Z73" s="74"/>
      <c r="AA73" s="74"/>
      <c r="AB73" s="74"/>
      <c r="AC73" s="74"/>
      <c r="AD73" s="81"/>
      <c r="AE73" s="10"/>
      <c r="AW73" s="18"/>
      <c r="AY73" s="28"/>
    </row>
    <row r="74" spans="1:51" ht="16" customHeight="1" x14ac:dyDescent="0.2">
      <c r="A74" s="3" t="s">
        <v>21</v>
      </c>
      <c r="B74" s="1">
        <v>44398</v>
      </c>
      <c r="C74" s="3" t="s">
        <v>25</v>
      </c>
      <c r="D74" s="3" t="s">
        <v>35</v>
      </c>
      <c r="E74" s="3" t="s">
        <v>15</v>
      </c>
      <c r="F74" s="89">
        <v>2</v>
      </c>
      <c r="G74" s="10">
        <v>0.31944444444444442</v>
      </c>
      <c r="H74" s="10">
        <v>0.38263888888888886</v>
      </c>
      <c r="I74" s="3">
        <v>7</v>
      </c>
      <c r="J74" s="12" t="s">
        <v>30</v>
      </c>
      <c r="K74" s="3" t="s">
        <v>28</v>
      </c>
      <c r="L74" s="10">
        <v>0.38402777777777775</v>
      </c>
      <c r="M74" s="3">
        <v>4</v>
      </c>
      <c r="N74" s="3">
        <v>5</v>
      </c>
      <c r="O74" s="3">
        <v>6</v>
      </c>
      <c r="P74" t="s">
        <v>22</v>
      </c>
      <c r="R74" s="1">
        <f t="shared" ref="R74:R82" si="11">B74</f>
        <v>44398</v>
      </c>
      <c r="S74" s="34">
        <f t="shared" ref="S74:S82" si="12">AVERAGE(M74:O74)</f>
        <v>5</v>
      </c>
      <c r="T74" s="37"/>
      <c r="U74" s="57"/>
      <c r="V74" s="38"/>
      <c r="W74" s="66"/>
      <c r="X74" s="74"/>
      <c r="Y74" s="74"/>
      <c r="Z74" s="74"/>
      <c r="AA74" s="74"/>
      <c r="AB74" s="74"/>
      <c r="AC74" s="74"/>
      <c r="AD74" s="81"/>
      <c r="AE74" s="10"/>
      <c r="AW74" s="18"/>
      <c r="AY74" s="28"/>
    </row>
    <row r="75" spans="1:51" ht="16" customHeight="1" x14ac:dyDescent="0.2">
      <c r="A75" s="3" t="s">
        <v>21</v>
      </c>
      <c r="B75" s="1">
        <v>44398</v>
      </c>
      <c r="C75" s="3" t="s">
        <v>25</v>
      </c>
      <c r="D75" s="3" t="s">
        <v>35</v>
      </c>
      <c r="E75" s="3" t="s">
        <v>15</v>
      </c>
      <c r="F75" s="89">
        <v>2</v>
      </c>
      <c r="G75" s="10">
        <v>0.46874999999999994</v>
      </c>
      <c r="H75" s="10">
        <v>0.52500000000000002</v>
      </c>
      <c r="I75" s="3">
        <v>7</v>
      </c>
      <c r="J75" s="12" t="s">
        <v>30</v>
      </c>
      <c r="K75" s="3" t="s">
        <v>28</v>
      </c>
      <c r="L75" s="10">
        <v>0.52708333333333335</v>
      </c>
      <c r="M75" s="3">
        <v>8</v>
      </c>
      <c r="N75" s="3">
        <v>9</v>
      </c>
      <c r="O75" s="3">
        <v>9</v>
      </c>
      <c r="P75" t="s">
        <v>22</v>
      </c>
      <c r="R75" s="1">
        <f t="shared" si="11"/>
        <v>44398</v>
      </c>
      <c r="S75" s="34">
        <f t="shared" si="12"/>
        <v>8.6666666666666661</v>
      </c>
      <c r="T75" s="39">
        <f>7505-7350</f>
        <v>155</v>
      </c>
      <c r="U75" s="57">
        <v>465.7</v>
      </c>
      <c r="V75" s="40"/>
      <c r="W75" s="67"/>
      <c r="X75" s="75"/>
      <c r="Y75" s="75"/>
      <c r="Z75" s="75"/>
      <c r="AA75" s="75"/>
      <c r="AB75" s="75"/>
      <c r="AC75" s="75"/>
      <c r="AD75" s="82"/>
      <c r="AW75" s="18"/>
      <c r="AY75" s="28"/>
    </row>
    <row r="76" spans="1:51" ht="16" customHeight="1" x14ac:dyDescent="0.2">
      <c r="A76" s="3" t="s">
        <v>21</v>
      </c>
      <c r="B76" s="1">
        <v>44398</v>
      </c>
      <c r="C76" s="3" t="s">
        <v>25</v>
      </c>
      <c r="D76" s="3" t="s">
        <v>35</v>
      </c>
      <c r="E76" s="3" t="s">
        <v>15</v>
      </c>
      <c r="F76" s="89">
        <v>2</v>
      </c>
      <c r="G76" s="10">
        <v>0.58333333333333337</v>
      </c>
      <c r="H76" s="10">
        <v>0.63055555555555554</v>
      </c>
      <c r="I76" s="3">
        <v>7</v>
      </c>
      <c r="J76" s="12" t="s">
        <v>30</v>
      </c>
      <c r="K76" s="3" t="s">
        <v>28</v>
      </c>
      <c r="L76" s="10">
        <v>0.63263888888888897</v>
      </c>
      <c r="M76" s="3">
        <v>10</v>
      </c>
      <c r="N76" s="3">
        <v>10</v>
      </c>
      <c r="O76" s="3">
        <v>10</v>
      </c>
      <c r="P76" t="s">
        <v>22</v>
      </c>
      <c r="R76" s="1">
        <f t="shared" si="11"/>
        <v>44398</v>
      </c>
      <c r="S76" s="34">
        <f t="shared" si="12"/>
        <v>10</v>
      </c>
      <c r="T76" s="37"/>
      <c r="U76" s="57"/>
      <c r="V76" s="38"/>
      <c r="W76" s="66"/>
      <c r="X76" s="74"/>
      <c r="Y76" s="74"/>
      <c r="Z76" s="74"/>
      <c r="AA76" s="74"/>
      <c r="AB76" s="74"/>
      <c r="AC76" s="74"/>
      <c r="AD76" s="81"/>
      <c r="AW76" s="18"/>
      <c r="AY76" s="28"/>
    </row>
    <row r="77" spans="1:51" ht="16" customHeight="1" x14ac:dyDescent="0.2">
      <c r="A77" s="3" t="s">
        <v>21</v>
      </c>
      <c r="B77" s="1">
        <v>44398</v>
      </c>
      <c r="C77" s="3" t="s">
        <v>25</v>
      </c>
      <c r="D77" s="3" t="s">
        <v>35</v>
      </c>
      <c r="E77" s="3" t="s">
        <v>15</v>
      </c>
      <c r="F77" s="89">
        <v>2</v>
      </c>
      <c r="G77" s="10">
        <v>0.65972222222222221</v>
      </c>
      <c r="H77" s="10">
        <v>0.71458333333333335</v>
      </c>
      <c r="I77" s="3">
        <v>7</v>
      </c>
      <c r="J77" s="12" t="s">
        <v>30</v>
      </c>
      <c r="K77" s="3" t="s">
        <v>28</v>
      </c>
      <c r="L77" s="10">
        <v>0.71736111111111112</v>
      </c>
      <c r="M77" s="3">
        <v>7</v>
      </c>
      <c r="N77" s="3">
        <v>7</v>
      </c>
      <c r="O77" s="3">
        <v>8</v>
      </c>
      <c r="P77" t="s">
        <v>22</v>
      </c>
      <c r="R77" s="1">
        <f t="shared" si="11"/>
        <v>44398</v>
      </c>
      <c r="S77" s="34">
        <f t="shared" si="12"/>
        <v>7.333333333333333</v>
      </c>
      <c r="T77" s="37"/>
      <c r="U77" s="57"/>
      <c r="V77" s="38"/>
      <c r="W77" s="66"/>
      <c r="X77" s="74"/>
      <c r="Y77" s="74"/>
      <c r="Z77" s="74"/>
      <c r="AA77" s="74"/>
      <c r="AB77" s="74"/>
      <c r="AC77" s="74"/>
      <c r="AD77" s="81"/>
      <c r="AW77" s="18"/>
      <c r="AY77" s="28"/>
    </row>
    <row r="78" spans="1:51" ht="16" customHeight="1" x14ac:dyDescent="0.2">
      <c r="A78" s="5" t="s">
        <v>21</v>
      </c>
      <c r="B78" s="6">
        <v>44398</v>
      </c>
      <c r="C78" s="5" t="s">
        <v>25</v>
      </c>
      <c r="D78" s="5" t="s">
        <v>35</v>
      </c>
      <c r="E78" s="5" t="s">
        <v>15</v>
      </c>
      <c r="F78" s="90">
        <v>2</v>
      </c>
      <c r="G78" s="11" t="s">
        <v>27</v>
      </c>
      <c r="H78" s="11">
        <v>0.1652777777777778</v>
      </c>
      <c r="I78" s="5">
        <v>7</v>
      </c>
      <c r="J78" s="13" t="s">
        <v>27</v>
      </c>
      <c r="K78" s="5" t="s">
        <v>28</v>
      </c>
      <c r="L78" s="11">
        <v>0.16805555555555557</v>
      </c>
      <c r="M78" s="5">
        <v>3</v>
      </c>
      <c r="N78" s="5">
        <v>4</v>
      </c>
      <c r="O78" s="5">
        <v>4</v>
      </c>
      <c r="P78" s="7" t="s">
        <v>23</v>
      </c>
      <c r="Q78" s="7"/>
      <c r="R78" s="1">
        <f t="shared" si="11"/>
        <v>44398</v>
      </c>
      <c r="S78" s="34">
        <f t="shared" si="12"/>
        <v>3.6666666666666665</v>
      </c>
      <c r="T78" s="39">
        <f>7505-7355</f>
        <v>150</v>
      </c>
      <c r="U78" s="57"/>
      <c r="V78" s="40"/>
      <c r="W78" s="67"/>
      <c r="X78" s="75"/>
      <c r="Y78" s="75"/>
      <c r="Z78" s="75"/>
      <c r="AA78" s="75"/>
      <c r="AB78" s="75"/>
      <c r="AC78" s="75"/>
      <c r="AD78" s="82"/>
      <c r="AW78" s="18"/>
      <c r="AY78" s="28"/>
    </row>
    <row r="79" spans="1:51" ht="16" customHeight="1" x14ac:dyDescent="0.2">
      <c r="A79" s="5" t="s">
        <v>21</v>
      </c>
      <c r="B79" s="6">
        <v>44398</v>
      </c>
      <c r="C79" s="5" t="s">
        <v>25</v>
      </c>
      <c r="D79" s="5" t="s">
        <v>35</v>
      </c>
      <c r="E79" s="5" t="s">
        <v>15</v>
      </c>
      <c r="F79" s="90">
        <v>2</v>
      </c>
      <c r="G79" s="11" t="s">
        <v>27</v>
      </c>
      <c r="H79" s="11">
        <v>0.38680555555555551</v>
      </c>
      <c r="I79" s="5">
        <v>7</v>
      </c>
      <c r="J79" s="13" t="s">
        <v>30</v>
      </c>
      <c r="K79" s="5" t="s">
        <v>28</v>
      </c>
      <c r="L79" s="11">
        <v>0.3888888888888889</v>
      </c>
      <c r="M79" s="5">
        <v>10</v>
      </c>
      <c r="N79" s="5">
        <v>10</v>
      </c>
      <c r="O79" s="5">
        <v>16</v>
      </c>
      <c r="P79" s="7" t="s">
        <v>23</v>
      </c>
      <c r="Q79" s="7"/>
      <c r="R79" s="1">
        <f t="shared" si="11"/>
        <v>44398</v>
      </c>
      <c r="S79" s="34">
        <f t="shared" si="12"/>
        <v>12</v>
      </c>
      <c r="T79" s="37"/>
      <c r="U79" s="57"/>
      <c r="V79" s="38"/>
      <c r="W79" s="66"/>
      <c r="X79" s="74"/>
      <c r="Y79" s="74"/>
      <c r="Z79" s="74"/>
      <c r="AA79" s="74"/>
      <c r="AB79" s="74"/>
      <c r="AC79" s="74"/>
      <c r="AD79" s="81"/>
      <c r="AW79" s="18"/>
      <c r="AY79" s="28"/>
    </row>
    <row r="80" spans="1:51" ht="16" customHeight="1" x14ac:dyDescent="0.2">
      <c r="A80" s="5" t="s">
        <v>21</v>
      </c>
      <c r="B80" s="6">
        <v>44398</v>
      </c>
      <c r="C80" s="5" t="s">
        <v>25</v>
      </c>
      <c r="D80" s="5" t="s">
        <v>35</v>
      </c>
      <c r="E80" s="5" t="s">
        <v>15</v>
      </c>
      <c r="F80" s="90">
        <v>2</v>
      </c>
      <c r="G80" s="11" t="s">
        <v>27</v>
      </c>
      <c r="H80" s="11">
        <v>0.52916666666666667</v>
      </c>
      <c r="I80" s="5">
        <v>7</v>
      </c>
      <c r="J80" s="13" t="s">
        <v>30</v>
      </c>
      <c r="K80" s="5" t="s">
        <v>28</v>
      </c>
      <c r="L80" s="11">
        <v>0.53125</v>
      </c>
      <c r="M80" s="5">
        <v>16</v>
      </c>
      <c r="N80" s="5">
        <v>20</v>
      </c>
      <c r="O80" s="5">
        <v>22</v>
      </c>
      <c r="P80" s="7" t="s">
        <v>23</v>
      </c>
      <c r="Q80" s="7"/>
      <c r="R80" s="1">
        <f t="shared" si="11"/>
        <v>44398</v>
      </c>
      <c r="S80" s="34">
        <f t="shared" si="12"/>
        <v>19.333333333333332</v>
      </c>
      <c r="T80" s="39">
        <f>7505-7350</f>
        <v>155</v>
      </c>
      <c r="U80" s="57">
        <v>465.7</v>
      </c>
      <c r="V80" s="40"/>
      <c r="W80" s="67"/>
      <c r="X80" s="75"/>
      <c r="Y80" s="75"/>
      <c r="Z80" s="75"/>
      <c r="AA80" s="75"/>
      <c r="AB80" s="75"/>
      <c r="AC80" s="75"/>
      <c r="AD80" s="82"/>
      <c r="AW80" s="18"/>
      <c r="AY80" s="28"/>
    </row>
    <row r="81" spans="1:52" ht="16" customHeight="1" x14ac:dyDescent="0.2">
      <c r="A81" s="5" t="s">
        <v>21</v>
      </c>
      <c r="B81" s="6">
        <v>44398</v>
      </c>
      <c r="C81" s="5" t="s">
        <v>25</v>
      </c>
      <c r="D81" s="5" t="s">
        <v>35</v>
      </c>
      <c r="E81" s="5" t="s">
        <v>15</v>
      </c>
      <c r="F81" s="90">
        <v>2</v>
      </c>
      <c r="G81" s="11" t="s">
        <v>27</v>
      </c>
      <c r="H81" s="11">
        <v>0.6347222222222223</v>
      </c>
      <c r="I81" s="5">
        <v>7</v>
      </c>
      <c r="J81" s="13" t="s">
        <v>30</v>
      </c>
      <c r="K81" s="5" t="s">
        <v>28</v>
      </c>
      <c r="L81" s="11">
        <v>0.63680555555555562</v>
      </c>
      <c r="M81" s="5">
        <v>18</v>
      </c>
      <c r="N81" s="5">
        <v>19</v>
      </c>
      <c r="O81" s="5">
        <v>23</v>
      </c>
      <c r="P81" s="7" t="s">
        <v>23</v>
      </c>
      <c r="Q81" s="7"/>
      <c r="R81" s="1">
        <f t="shared" si="11"/>
        <v>44398</v>
      </c>
      <c r="S81" s="34">
        <f t="shared" si="12"/>
        <v>20</v>
      </c>
      <c r="T81" s="37"/>
      <c r="U81" s="57"/>
      <c r="V81" s="38"/>
      <c r="W81" s="66"/>
      <c r="X81" s="74"/>
      <c r="Y81" s="74"/>
      <c r="Z81" s="74"/>
      <c r="AA81" s="74"/>
      <c r="AB81" s="74"/>
      <c r="AC81" s="74"/>
      <c r="AD81" s="81"/>
      <c r="AW81" s="26" t="s">
        <v>56</v>
      </c>
      <c r="AY81" s="28"/>
    </row>
    <row r="82" spans="1:52" ht="16" customHeight="1" x14ac:dyDescent="0.2">
      <c r="A82" s="5" t="s">
        <v>21</v>
      </c>
      <c r="B82" s="6">
        <v>44398</v>
      </c>
      <c r="C82" s="5" t="s">
        <v>25</v>
      </c>
      <c r="D82" s="5" t="s">
        <v>35</v>
      </c>
      <c r="E82" s="5" t="s">
        <v>15</v>
      </c>
      <c r="F82" s="90">
        <v>2</v>
      </c>
      <c r="G82" s="11" t="s">
        <v>27</v>
      </c>
      <c r="H82" s="11">
        <v>0.72083333333333344</v>
      </c>
      <c r="I82" s="5">
        <v>7</v>
      </c>
      <c r="J82" s="13" t="s">
        <v>30</v>
      </c>
      <c r="K82" s="5" t="s">
        <v>28</v>
      </c>
      <c r="L82" s="11">
        <v>0.72222222222222221</v>
      </c>
      <c r="M82" s="23" t="s">
        <v>50</v>
      </c>
      <c r="N82" s="5">
        <v>15</v>
      </c>
      <c r="O82" s="5">
        <v>19</v>
      </c>
      <c r="P82" s="7" t="s">
        <v>23</v>
      </c>
      <c r="Q82" s="7"/>
      <c r="R82" s="1">
        <f t="shared" si="11"/>
        <v>44398</v>
      </c>
      <c r="S82" s="34">
        <f t="shared" si="12"/>
        <v>17</v>
      </c>
      <c r="T82" s="37"/>
      <c r="U82" s="57"/>
      <c r="V82" s="38"/>
      <c r="W82" s="66"/>
      <c r="X82" s="74"/>
      <c r="Y82" s="74"/>
      <c r="Z82" s="74"/>
      <c r="AA82" s="74"/>
      <c r="AB82" s="74"/>
      <c r="AC82" s="74"/>
      <c r="AD82" s="81"/>
      <c r="AW82" s="31" t="s">
        <v>61</v>
      </c>
      <c r="AY82" s="28"/>
    </row>
    <row r="83" spans="1:52" ht="16" customHeight="1" x14ac:dyDescent="0.2">
      <c r="A83" s="8"/>
      <c r="B83" s="17"/>
      <c r="C83" s="8"/>
      <c r="D83" s="8"/>
      <c r="E83" s="8"/>
      <c r="F83" s="91"/>
      <c r="G83" s="15"/>
      <c r="H83" s="15"/>
      <c r="I83" s="8"/>
      <c r="J83" s="16"/>
      <c r="K83" s="8"/>
      <c r="L83" s="15"/>
      <c r="M83" s="8"/>
      <c r="N83" s="8"/>
      <c r="O83" s="8"/>
      <c r="P83" s="9"/>
      <c r="Q83" s="9"/>
      <c r="S83" s="34"/>
      <c r="T83" s="37"/>
      <c r="U83" s="57"/>
      <c r="V83" s="38"/>
      <c r="W83" s="66"/>
      <c r="X83" s="74"/>
      <c r="Y83" s="74"/>
      <c r="Z83" s="74"/>
      <c r="AA83" s="74"/>
      <c r="AB83" s="74"/>
      <c r="AC83" s="74"/>
      <c r="AD83" s="81"/>
      <c r="AW83" s="27">
        <f>AVERAGE(S38,S97,S160,S225,S301,S377)-AVERAGE(S42,S101,S164,S229,S305,S381)</f>
        <v>-1.4444444444444358</v>
      </c>
      <c r="AX83" s="27" t="s">
        <v>57</v>
      </c>
      <c r="AY83" s="27">
        <f>(AW83/AVERAGE(S42,S101,S164,S229,S305,S381))*-100</f>
        <v>6.0747663551401505</v>
      </c>
      <c r="AZ83" s="27" t="s">
        <v>58</v>
      </c>
    </row>
    <row r="84" spans="1:52" ht="16" customHeight="1" x14ac:dyDescent="0.2">
      <c r="A84" s="3" t="s">
        <v>21</v>
      </c>
      <c r="B84" s="1">
        <v>44434</v>
      </c>
      <c r="C84" s="3" t="s">
        <v>25</v>
      </c>
      <c r="D84" s="3" t="s">
        <v>51</v>
      </c>
      <c r="E84" s="3" t="s">
        <v>15</v>
      </c>
      <c r="F84" s="89">
        <v>2</v>
      </c>
      <c r="G84" s="10">
        <v>0.32361111111111113</v>
      </c>
      <c r="H84" s="10">
        <v>0.51874999999999993</v>
      </c>
      <c r="I84" s="3">
        <v>7</v>
      </c>
      <c r="J84" s="12" t="s">
        <v>30</v>
      </c>
      <c r="K84" s="3" t="s">
        <v>28</v>
      </c>
      <c r="L84" s="10">
        <v>0.52083333333333337</v>
      </c>
      <c r="M84" s="3">
        <v>19</v>
      </c>
      <c r="N84" s="3">
        <v>20</v>
      </c>
      <c r="O84" s="3">
        <v>20</v>
      </c>
      <c r="P84" t="s">
        <v>22</v>
      </c>
      <c r="Q84" t="s">
        <v>52</v>
      </c>
      <c r="R84" s="1">
        <f t="shared" ref="R84:R88" si="13">B84</f>
        <v>44434</v>
      </c>
      <c r="S84" s="34">
        <f t="shared" ref="S84:S102" si="14">AVERAGE(M84:O84)</f>
        <v>19.666666666666668</v>
      </c>
      <c r="T84" s="39">
        <f>7505-7305</f>
        <v>200</v>
      </c>
      <c r="U84" s="58">
        <v>374.2</v>
      </c>
      <c r="V84" s="40"/>
      <c r="W84" s="67"/>
      <c r="X84" s="75"/>
      <c r="Y84" s="75"/>
      <c r="Z84" s="75"/>
      <c r="AA84" s="75"/>
      <c r="AB84" s="75"/>
      <c r="AC84" s="75"/>
      <c r="AD84" s="82"/>
      <c r="AW84" s="18"/>
      <c r="AY84" s="28"/>
    </row>
    <row r="85" spans="1:52" ht="16" customHeight="1" x14ac:dyDescent="0.2">
      <c r="A85" s="3" t="s">
        <v>21</v>
      </c>
      <c r="B85" s="1">
        <v>44434</v>
      </c>
      <c r="C85" s="3" t="s">
        <v>25</v>
      </c>
      <c r="D85" s="3" t="s">
        <v>51</v>
      </c>
      <c r="E85" s="3" t="s">
        <v>15</v>
      </c>
      <c r="F85" s="89">
        <v>2</v>
      </c>
      <c r="G85" s="10">
        <v>0.58194444444444449</v>
      </c>
      <c r="H85" s="10">
        <v>0.63611111111111118</v>
      </c>
      <c r="I85" s="3">
        <v>7</v>
      </c>
      <c r="J85" s="12" t="s">
        <v>30</v>
      </c>
      <c r="K85" s="3" t="s">
        <v>28</v>
      </c>
      <c r="L85" s="10">
        <v>0.6381944444444444</v>
      </c>
      <c r="M85" s="3">
        <v>17</v>
      </c>
      <c r="N85" s="3">
        <v>19</v>
      </c>
      <c r="O85" s="3">
        <v>21</v>
      </c>
      <c r="P85" t="s">
        <v>22</v>
      </c>
      <c r="R85" s="1">
        <f t="shared" si="13"/>
        <v>44434</v>
      </c>
      <c r="S85" s="34">
        <f t="shared" si="14"/>
        <v>19</v>
      </c>
      <c r="T85" s="37"/>
      <c r="U85" s="57"/>
      <c r="V85" s="38"/>
      <c r="W85" s="66"/>
      <c r="X85" s="74"/>
      <c r="Y85" s="74"/>
      <c r="Z85" s="74"/>
      <c r="AA85" s="74"/>
      <c r="AB85" s="74"/>
      <c r="AC85" s="74"/>
      <c r="AD85" s="81"/>
      <c r="AW85" s="18" t="s">
        <v>96</v>
      </c>
      <c r="AY85" s="28"/>
    </row>
    <row r="86" spans="1:52" ht="16" customHeight="1" x14ac:dyDescent="0.2">
      <c r="A86" s="5" t="s">
        <v>21</v>
      </c>
      <c r="B86" s="6">
        <v>44434</v>
      </c>
      <c r="C86" s="5" t="s">
        <v>25</v>
      </c>
      <c r="D86" s="5" t="s">
        <v>51</v>
      </c>
      <c r="E86" s="5" t="s">
        <v>15</v>
      </c>
      <c r="F86" s="90">
        <v>2</v>
      </c>
      <c r="G86" s="11" t="s">
        <v>27</v>
      </c>
      <c r="H86" s="11">
        <v>0.16388888888888889</v>
      </c>
      <c r="I86" s="5">
        <v>7</v>
      </c>
      <c r="J86" s="13" t="s">
        <v>27</v>
      </c>
      <c r="K86" s="5" t="s">
        <v>28</v>
      </c>
      <c r="L86" s="11">
        <v>0.16666666666666666</v>
      </c>
      <c r="M86" s="5">
        <v>7</v>
      </c>
      <c r="N86" s="5">
        <v>7</v>
      </c>
      <c r="O86" s="5">
        <v>7</v>
      </c>
      <c r="P86" s="7" t="s">
        <v>23</v>
      </c>
      <c r="Q86" s="7"/>
      <c r="R86" s="1">
        <f t="shared" si="13"/>
        <v>44434</v>
      </c>
      <c r="S86" s="34">
        <f t="shared" si="14"/>
        <v>7</v>
      </c>
      <c r="T86" s="39">
        <f>7505-7332</f>
        <v>173</v>
      </c>
      <c r="U86" s="57"/>
      <c r="V86" s="40"/>
      <c r="W86" s="67"/>
      <c r="X86" s="75"/>
      <c r="Y86" s="75"/>
      <c r="Z86" s="75"/>
      <c r="AA86" s="75"/>
      <c r="AB86" s="75"/>
      <c r="AC86" s="75"/>
      <c r="AD86" s="82"/>
      <c r="AW86" s="18" t="s">
        <v>97</v>
      </c>
      <c r="AY86" s="28"/>
    </row>
    <row r="87" spans="1:52" ht="16" customHeight="1" x14ac:dyDescent="0.2">
      <c r="A87" s="5" t="s">
        <v>21</v>
      </c>
      <c r="B87" s="6">
        <v>44434</v>
      </c>
      <c r="C87" s="5" t="s">
        <v>25</v>
      </c>
      <c r="D87" s="5" t="s">
        <v>51</v>
      </c>
      <c r="E87" s="5" t="s">
        <v>15</v>
      </c>
      <c r="F87" s="90">
        <v>2</v>
      </c>
      <c r="G87" s="11" t="s">
        <v>27</v>
      </c>
      <c r="H87" s="11">
        <v>0.5229166666666667</v>
      </c>
      <c r="I87" s="5">
        <v>7</v>
      </c>
      <c r="J87" s="13" t="s">
        <v>30</v>
      </c>
      <c r="K87" s="5" t="s">
        <v>28</v>
      </c>
      <c r="L87" s="11">
        <v>0.52569444444444446</v>
      </c>
      <c r="M87" s="5">
        <v>24</v>
      </c>
      <c r="N87" s="5">
        <v>24</v>
      </c>
      <c r="O87" s="5">
        <v>25</v>
      </c>
      <c r="P87" s="7" t="s">
        <v>23</v>
      </c>
      <c r="Q87" s="7" t="s">
        <v>52</v>
      </c>
      <c r="R87" s="1">
        <f t="shared" si="13"/>
        <v>44434</v>
      </c>
      <c r="S87" s="34">
        <f t="shared" si="14"/>
        <v>24.333333333333332</v>
      </c>
      <c r="T87" s="39">
        <f>7505-7305</f>
        <v>200</v>
      </c>
      <c r="U87" s="58">
        <v>374.2</v>
      </c>
      <c r="V87" s="40"/>
      <c r="W87" s="67"/>
      <c r="X87" s="75"/>
      <c r="Y87" s="75"/>
      <c r="Z87" s="75"/>
      <c r="AA87" s="75"/>
      <c r="AB87" s="75"/>
      <c r="AC87" s="75"/>
      <c r="AD87" s="82"/>
      <c r="AW87" s="18" t="s">
        <v>62</v>
      </c>
      <c r="AY87" s="28"/>
    </row>
    <row r="88" spans="1:52" ht="16" customHeight="1" x14ac:dyDescent="0.2">
      <c r="A88" s="5" t="s">
        <v>21</v>
      </c>
      <c r="B88" s="6">
        <v>44434</v>
      </c>
      <c r="C88" s="5" t="s">
        <v>25</v>
      </c>
      <c r="D88" s="5" t="s">
        <v>51</v>
      </c>
      <c r="E88" s="5" t="s">
        <v>15</v>
      </c>
      <c r="F88" s="90">
        <v>2</v>
      </c>
      <c r="G88" s="11" t="s">
        <v>27</v>
      </c>
      <c r="H88" s="11">
        <v>0.64027777777777783</v>
      </c>
      <c r="I88" s="5">
        <v>7</v>
      </c>
      <c r="J88" s="13" t="s">
        <v>30</v>
      </c>
      <c r="K88" s="5" t="s">
        <v>28</v>
      </c>
      <c r="L88" s="11">
        <v>0.64166666666666672</v>
      </c>
      <c r="M88" s="5">
        <v>22</v>
      </c>
      <c r="N88" s="5">
        <v>23</v>
      </c>
      <c r="O88" s="5">
        <v>27</v>
      </c>
      <c r="P88" s="7" t="s">
        <v>23</v>
      </c>
      <c r="Q88" s="7"/>
      <c r="R88" s="1">
        <f t="shared" si="13"/>
        <v>44434</v>
      </c>
      <c r="S88" s="34">
        <f t="shared" si="14"/>
        <v>24</v>
      </c>
      <c r="T88" s="37"/>
      <c r="U88" s="57"/>
      <c r="V88" s="38"/>
      <c r="W88" s="66"/>
      <c r="X88" s="74"/>
      <c r="Y88" s="74"/>
      <c r="Z88" s="74"/>
      <c r="AA88" s="74"/>
      <c r="AB88" s="74"/>
      <c r="AC88" s="74"/>
      <c r="AD88" s="81"/>
      <c r="AW88" s="18"/>
      <c r="AY88" s="28"/>
    </row>
    <row r="89" spans="1:52" ht="16" customHeight="1" x14ac:dyDescent="0.2">
      <c r="A89" s="8"/>
      <c r="B89" s="17"/>
      <c r="C89" s="8"/>
      <c r="D89" s="8"/>
      <c r="E89" s="8"/>
      <c r="F89" s="91"/>
      <c r="G89" s="15"/>
      <c r="H89" s="15"/>
      <c r="I89" s="8"/>
      <c r="J89" s="16"/>
      <c r="K89" s="8"/>
      <c r="L89" s="15"/>
      <c r="M89" s="8"/>
      <c r="N89" s="8"/>
      <c r="O89" s="8"/>
      <c r="P89" s="9"/>
      <c r="Q89" s="9"/>
      <c r="S89" s="34"/>
      <c r="T89" s="37"/>
      <c r="U89" s="57"/>
      <c r="V89" s="38"/>
      <c r="W89" s="66"/>
      <c r="X89" s="74"/>
      <c r="Y89" s="74"/>
      <c r="Z89" s="74"/>
      <c r="AA89" s="74"/>
      <c r="AB89" s="74"/>
      <c r="AC89" s="74"/>
      <c r="AD89" s="81"/>
      <c r="AW89" s="18"/>
      <c r="AY89" s="28"/>
    </row>
    <row r="90" spans="1:52" ht="16" customHeight="1" x14ac:dyDescent="0.2">
      <c r="A90" s="3" t="s">
        <v>21</v>
      </c>
      <c r="B90" s="1">
        <v>44446</v>
      </c>
      <c r="C90" s="3" t="s">
        <v>25</v>
      </c>
      <c r="D90" s="3" t="s">
        <v>25</v>
      </c>
      <c r="E90" s="3" t="s">
        <v>15</v>
      </c>
      <c r="F90" s="89">
        <v>2</v>
      </c>
      <c r="G90" s="10">
        <v>0.45833333333333331</v>
      </c>
      <c r="H90" s="10">
        <v>0.53819444444444442</v>
      </c>
      <c r="I90" s="3">
        <v>7</v>
      </c>
      <c r="J90" s="12" t="s">
        <v>30</v>
      </c>
      <c r="K90" s="3" t="s">
        <v>53</v>
      </c>
      <c r="L90" s="10">
        <v>0.5395833333333333</v>
      </c>
      <c r="M90" s="3">
        <v>25</v>
      </c>
      <c r="N90" s="3">
        <v>26</v>
      </c>
      <c r="O90" s="3">
        <v>27</v>
      </c>
      <c r="P90" t="s">
        <v>22</v>
      </c>
      <c r="Q90" t="s">
        <v>54</v>
      </c>
      <c r="R90" s="1">
        <f t="shared" ref="R90:R94" si="15">B90</f>
        <v>44446</v>
      </c>
      <c r="S90" s="34">
        <f t="shared" si="14"/>
        <v>26</v>
      </c>
      <c r="T90" s="39">
        <f>7505-7172</f>
        <v>333</v>
      </c>
      <c r="U90" s="57">
        <v>193.94</v>
      </c>
      <c r="V90" s="40"/>
      <c r="W90" s="67"/>
      <c r="X90" s="75"/>
      <c r="Y90" s="75"/>
      <c r="Z90" s="75"/>
      <c r="AA90" s="75"/>
      <c r="AB90" s="75"/>
      <c r="AC90" s="75"/>
      <c r="AD90" s="82"/>
    </row>
    <row r="91" spans="1:52" ht="16" customHeight="1" x14ac:dyDescent="0.2">
      <c r="A91" s="3" t="s">
        <v>21</v>
      </c>
      <c r="B91" s="1">
        <v>44446</v>
      </c>
      <c r="C91" s="3" t="s">
        <v>25</v>
      </c>
      <c r="D91" s="3" t="s">
        <v>25</v>
      </c>
      <c r="E91" s="3" t="s">
        <v>15</v>
      </c>
      <c r="F91" s="89">
        <v>2</v>
      </c>
      <c r="G91" s="10">
        <v>0.57986111111111105</v>
      </c>
      <c r="H91" s="10">
        <v>0.64861111111111114</v>
      </c>
      <c r="I91" s="3">
        <v>7</v>
      </c>
      <c r="J91" s="12" t="s">
        <v>30</v>
      </c>
      <c r="K91" s="3" t="s">
        <v>28</v>
      </c>
      <c r="L91" s="10">
        <v>0.65</v>
      </c>
      <c r="M91" s="3">
        <v>26</v>
      </c>
      <c r="N91" s="3">
        <v>26</v>
      </c>
      <c r="O91" s="3">
        <v>26</v>
      </c>
      <c r="P91" t="s">
        <v>22</v>
      </c>
      <c r="R91" s="1">
        <f t="shared" si="15"/>
        <v>44446</v>
      </c>
      <c r="S91" s="34">
        <f t="shared" si="14"/>
        <v>26</v>
      </c>
      <c r="T91" s="37"/>
      <c r="U91" s="57"/>
      <c r="V91" s="38"/>
      <c r="W91" s="66"/>
      <c r="X91" s="74"/>
      <c r="Y91" s="74"/>
      <c r="Z91" s="74"/>
      <c r="AA91" s="74"/>
      <c r="AB91" s="74"/>
      <c r="AC91" s="74"/>
      <c r="AD91" s="81"/>
    </row>
    <row r="92" spans="1:52" ht="16" customHeight="1" x14ac:dyDescent="0.2">
      <c r="A92" s="5" t="s">
        <v>21</v>
      </c>
      <c r="B92" s="6">
        <v>44446</v>
      </c>
      <c r="C92" s="5" t="s">
        <v>25</v>
      </c>
      <c r="D92" s="5" t="s">
        <v>25</v>
      </c>
      <c r="E92" s="5" t="s">
        <v>15</v>
      </c>
      <c r="F92" s="90">
        <v>2</v>
      </c>
      <c r="G92" s="11" t="s">
        <v>27</v>
      </c>
      <c r="H92" s="11">
        <v>0.21041666666666667</v>
      </c>
      <c r="I92" s="5">
        <v>7</v>
      </c>
      <c r="J92" s="13" t="s">
        <v>27</v>
      </c>
      <c r="K92" s="5" t="s">
        <v>28</v>
      </c>
      <c r="L92" s="11">
        <v>0.21249999999999999</v>
      </c>
      <c r="M92" s="5">
        <v>18</v>
      </c>
      <c r="N92" s="5">
        <v>18</v>
      </c>
      <c r="O92" s="5">
        <v>19</v>
      </c>
      <c r="P92" s="7" t="s">
        <v>23</v>
      </c>
      <c r="Q92" s="7"/>
      <c r="R92" s="1">
        <f t="shared" si="15"/>
        <v>44446</v>
      </c>
      <c r="S92" s="34">
        <f t="shared" si="14"/>
        <v>18.333333333333332</v>
      </c>
      <c r="T92" s="39">
        <f>7505-7201</f>
        <v>304</v>
      </c>
      <c r="U92" s="57"/>
      <c r="V92" s="40"/>
      <c r="W92" s="67"/>
      <c r="X92" s="75"/>
      <c r="Y92" s="75"/>
      <c r="Z92" s="75"/>
      <c r="AA92" s="75"/>
      <c r="AB92" s="75"/>
      <c r="AC92" s="75"/>
      <c r="AD92" s="82"/>
    </row>
    <row r="93" spans="1:52" ht="16" customHeight="1" x14ac:dyDescent="0.2">
      <c r="A93" s="5" t="s">
        <v>21</v>
      </c>
      <c r="B93" s="6">
        <v>44446</v>
      </c>
      <c r="C93" s="5" t="s">
        <v>25</v>
      </c>
      <c r="D93" s="5" t="s">
        <v>25</v>
      </c>
      <c r="E93" s="5" t="s">
        <v>15</v>
      </c>
      <c r="F93" s="90">
        <v>2</v>
      </c>
      <c r="G93" s="11" t="s">
        <v>27</v>
      </c>
      <c r="H93" s="11">
        <v>0.53472222222222221</v>
      </c>
      <c r="I93" s="5">
        <v>7</v>
      </c>
      <c r="J93" s="13" t="s">
        <v>30</v>
      </c>
      <c r="K93" s="5" t="s">
        <v>53</v>
      </c>
      <c r="L93" s="11">
        <v>0.53611111111111109</v>
      </c>
      <c r="M93" s="5">
        <v>28</v>
      </c>
      <c r="N93" s="5">
        <v>29</v>
      </c>
      <c r="O93" s="5">
        <v>29</v>
      </c>
      <c r="P93" s="7" t="s">
        <v>23</v>
      </c>
      <c r="Q93" s="7" t="s">
        <v>54</v>
      </c>
      <c r="R93" s="1">
        <f t="shared" si="15"/>
        <v>44446</v>
      </c>
      <c r="S93" s="34">
        <f t="shared" si="14"/>
        <v>28.666666666666668</v>
      </c>
      <c r="T93" s="39">
        <f>7505-7172</f>
        <v>333</v>
      </c>
      <c r="U93" s="57">
        <v>193.94</v>
      </c>
      <c r="V93" s="40"/>
      <c r="W93" s="67"/>
      <c r="X93" s="75"/>
      <c r="Y93" s="75"/>
      <c r="Z93" s="75"/>
      <c r="AA93" s="75"/>
      <c r="AB93" s="75"/>
      <c r="AC93" s="75"/>
      <c r="AD93" s="82"/>
    </row>
    <row r="94" spans="1:52" ht="16" customHeight="1" x14ac:dyDescent="0.2">
      <c r="A94" s="5" t="s">
        <v>21</v>
      </c>
      <c r="B94" s="6">
        <v>44446</v>
      </c>
      <c r="C94" s="5" t="s">
        <v>25</v>
      </c>
      <c r="D94" s="5" t="s">
        <v>25</v>
      </c>
      <c r="E94" s="5" t="s">
        <v>15</v>
      </c>
      <c r="F94" s="90">
        <v>2</v>
      </c>
      <c r="G94" s="11" t="s">
        <v>27</v>
      </c>
      <c r="H94" s="11">
        <v>0.64513888888888882</v>
      </c>
      <c r="I94" s="5">
        <v>7</v>
      </c>
      <c r="J94" s="13" t="s">
        <v>30</v>
      </c>
      <c r="K94" s="5" t="s">
        <v>28</v>
      </c>
      <c r="L94" s="11">
        <v>0.64652777777777781</v>
      </c>
      <c r="M94" s="5">
        <v>28</v>
      </c>
      <c r="N94" s="5">
        <v>29</v>
      </c>
      <c r="O94" s="5">
        <v>31</v>
      </c>
      <c r="P94" s="7" t="s">
        <v>23</v>
      </c>
      <c r="Q94" s="7"/>
      <c r="R94" s="1">
        <f t="shared" si="15"/>
        <v>44446</v>
      </c>
      <c r="S94" s="34">
        <f t="shared" si="14"/>
        <v>29.333333333333332</v>
      </c>
      <c r="T94" s="37"/>
      <c r="U94" s="57"/>
      <c r="V94" s="38"/>
      <c r="W94" s="66"/>
      <c r="X94" s="74"/>
      <c r="Y94" s="74"/>
      <c r="Z94" s="74"/>
      <c r="AA94" s="74"/>
      <c r="AB94" s="74"/>
      <c r="AC94" s="74"/>
      <c r="AD94" s="81"/>
    </row>
    <row r="95" spans="1:52" ht="16" customHeight="1" x14ac:dyDescent="0.2">
      <c r="A95" s="8"/>
      <c r="B95" s="17"/>
      <c r="C95" s="8"/>
      <c r="D95" s="8"/>
      <c r="E95" s="8"/>
      <c r="F95" s="91"/>
      <c r="G95" s="15"/>
      <c r="H95" s="15"/>
      <c r="I95" s="8"/>
      <c r="J95" s="16"/>
      <c r="K95" s="8"/>
      <c r="L95" s="15"/>
      <c r="M95" s="8"/>
      <c r="N95" s="8"/>
      <c r="O95" s="8"/>
      <c r="P95" s="9"/>
      <c r="Q95" s="9"/>
      <c r="S95" s="34"/>
      <c r="T95" s="37"/>
      <c r="U95" s="57"/>
      <c r="V95" s="38"/>
      <c r="W95" s="66"/>
      <c r="X95" s="74"/>
      <c r="Y95" s="74"/>
      <c r="Z95" s="74"/>
      <c r="AA95" s="74"/>
      <c r="AB95" s="74"/>
      <c r="AC95" s="74"/>
      <c r="AD95" s="81"/>
    </row>
    <row r="96" spans="1:52" ht="16" customHeight="1" x14ac:dyDescent="0.2">
      <c r="A96" s="3" t="s">
        <v>21</v>
      </c>
      <c r="B96" s="1">
        <v>44726</v>
      </c>
      <c r="C96" s="3" t="s">
        <v>25</v>
      </c>
      <c r="D96" s="3" t="s">
        <v>26</v>
      </c>
      <c r="E96" s="3" t="s">
        <v>15</v>
      </c>
      <c r="F96" s="89">
        <v>2</v>
      </c>
      <c r="G96" s="10">
        <v>0.3263888888888889</v>
      </c>
      <c r="H96" s="10">
        <v>0.3659722222222222</v>
      </c>
      <c r="I96" s="3">
        <v>7</v>
      </c>
      <c r="J96" s="3" t="s">
        <v>30</v>
      </c>
      <c r="K96" s="3" t="s">
        <v>28</v>
      </c>
      <c r="L96" s="10">
        <v>0.3666666666666667</v>
      </c>
      <c r="M96" s="3">
        <v>19</v>
      </c>
      <c r="N96" s="3">
        <v>19</v>
      </c>
      <c r="O96" s="3">
        <v>19</v>
      </c>
      <c r="P96" t="s">
        <v>22</v>
      </c>
      <c r="R96" s="1">
        <f t="shared" ref="R96:R102" si="16">B96</f>
        <v>44726</v>
      </c>
      <c r="S96" s="34">
        <f t="shared" si="14"/>
        <v>19</v>
      </c>
      <c r="T96" s="37"/>
      <c r="U96" s="57"/>
      <c r="V96" s="38"/>
      <c r="W96" s="66"/>
      <c r="X96" s="74"/>
      <c r="Y96" s="74"/>
      <c r="Z96" s="74"/>
      <c r="AA96" s="74"/>
      <c r="AB96" s="74"/>
      <c r="AC96" s="74"/>
      <c r="AD96" s="81"/>
    </row>
    <row r="97" spans="1:30" ht="16" customHeight="1" x14ac:dyDescent="0.2">
      <c r="A97" s="3" t="s">
        <v>21</v>
      </c>
      <c r="B97" s="1">
        <v>44726</v>
      </c>
      <c r="C97" s="3" t="s">
        <v>25</v>
      </c>
      <c r="D97" s="3" t="s">
        <v>26</v>
      </c>
      <c r="E97" s="3" t="s">
        <v>15</v>
      </c>
      <c r="F97" s="89">
        <v>2</v>
      </c>
      <c r="G97" s="10">
        <v>0.46111111111111108</v>
      </c>
      <c r="H97" s="10">
        <v>0.51944444444444449</v>
      </c>
      <c r="I97" s="3">
        <v>7</v>
      </c>
      <c r="J97" s="3" t="s">
        <v>30</v>
      </c>
      <c r="K97" s="3" t="s">
        <v>28</v>
      </c>
      <c r="L97" s="10">
        <v>0.52013888888888882</v>
      </c>
      <c r="M97" s="3">
        <v>23</v>
      </c>
      <c r="N97" s="3">
        <v>23</v>
      </c>
      <c r="O97" s="3">
        <v>23</v>
      </c>
      <c r="P97" t="s">
        <v>22</v>
      </c>
      <c r="R97" s="1">
        <f t="shared" si="16"/>
        <v>44726</v>
      </c>
      <c r="S97" s="34">
        <f t="shared" si="14"/>
        <v>23</v>
      </c>
      <c r="T97" s="37">
        <f>7620-7340</f>
        <v>280</v>
      </c>
      <c r="U97" s="57">
        <v>119.44000000000001</v>
      </c>
      <c r="V97" s="38"/>
      <c r="W97" s="66"/>
      <c r="X97" s="74"/>
      <c r="Y97" s="74"/>
      <c r="Z97" s="74"/>
      <c r="AA97" s="74"/>
      <c r="AB97" s="74"/>
      <c r="AC97" s="74"/>
      <c r="AD97" s="81"/>
    </row>
    <row r="98" spans="1:30" ht="16" customHeight="1" x14ac:dyDescent="0.2">
      <c r="A98" s="3" t="s">
        <v>21</v>
      </c>
      <c r="B98" s="1">
        <v>44726</v>
      </c>
      <c r="C98" s="3" t="s">
        <v>25</v>
      </c>
      <c r="D98" s="3" t="s">
        <v>26</v>
      </c>
      <c r="E98" s="3" t="s">
        <v>15</v>
      </c>
      <c r="F98" s="89">
        <v>2</v>
      </c>
      <c r="G98" s="10">
        <v>0.59027777777777779</v>
      </c>
      <c r="H98" s="10">
        <v>0.64027777777777783</v>
      </c>
      <c r="I98" s="3">
        <v>7</v>
      </c>
      <c r="J98" s="3" t="s">
        <v>30</v>
      </c>
      <c r="K98" s="3" t="s">
        <v>28</v>
      </c>
      <c r="L98" s="10">
        <v>0.64097222222222217</v>
      </c>
      <c r="M98" s="3">
        <v>24</v>
      </c>
      <c r="N98" s="3">
        <v>24</v>
      </c>
      <c r="O98" s="3">
        <v>24</v>
      </c>
      <c r="P98" t="s">
        <v>22</v>
      </c>
      <c r="R98" s="1">
        <f t="shared" si="16"/>
        <v>44726</v>
      </c>
      <c r="S98" s="34">
        <f t="shared" si="14"/>
        <v>24</v>
      </c>
      <c r="T98" s="37"/>
      <c r="U98" s="57"/>
      <c r="V98" s="38"/>
      <c r="W98" s="66"/>
      <c r="X98" s="74"/>
      <c r="Y98" s="74"/>
      <c r="Z98" s="74"/>
      <c r="AA98" s="74"/>
      <c r="AB98" s="74"/>
      <c r="AC98" s="74"/>
      <c r="AD98" s="81"/>
    </row>
    <row r="99" spans="1:30" ht="16" customHeight="1" x14ac:dyDescent="0.2">
      <c r="A99" s="5" t="s">
        <v>21</v>
      </c>
      <c r="B99" s="6">
        <v>44726</v>
      </c>
      <c r="C99" s="5" t="s">
        <v>25</v>
      </c>
      <c r="D99" s="5" t="s">
        <v>26</v>
      </c>
      <c r="E99" s="5" t="s">
        <v>15</v>
      </c>
      <c r="F99" s="90">
        <v>2</v>
      </c>
      <c r="G99" s="11" t="s">
        <v>27</v>
      </c>
      <c r="H99" s="11">
        <v>0.15208333333333332</v>
      </c>
      <c r="I99" s="5">
        <v>7</v>
      </c>
      <c r="J99" s="5" t="s">
        <v>27</v>
      </c>
      <c r="K99" s="5" t="s">
        <v>28</v>
      </c>
      <c r="L99" s="11">
        <v>0.15277777777777776</v>
      </c>
      <c r="M99" s="5">
        <v>16</v>
      </c>
      <c r="N99" s="5">
        <v>16</v>
      </c>
      <c r="O99" s="5">
        <v>17</v>
      </c>
      <c r="P99" s="7" t="s">
        <v>23</v>
      </c>
      <c r="Q99" s="7"/>
      <c r="R99" s="1">
        <f t="shared" si="16"/>
        <v>44726</v>
      </c>
      <c r="S99" s="34">
        <f t="shared" si="14"/>
        <v>16.333333333333332</v>
      </c>
      <c r="T99" s="37">
        <f>7620-7390</f>
        <v>230</v>
      </c>
      <c r="U99" s="57"/>
      <c r="V99" s="38"/>
      <c r="W99" s="66"/>
      <c r="X99" s="74"/>
      <c r="Y99" s="74"/>
      <c r="Z99" s="74"/>
      <c r="AA99" s="74"/>
      <c r="AB99" s="74"/>
      <c r="AC99" s="74"/>
      <c r="AD99" s="81"/>
    </row>
    <row r="100" spans="1:30" ht="16" customHeight="1" x14ac:dyDescent="0.2">
      <c r="A100" s="5" t="s">
        <v>21</v>
      </c>
      <c r="B100" s="6">
        <v>44726</v>
      </c>
      <c r="C100" s="5" t="s">
        <v>25</v>
      </c>
      <c r="D100" s="5" t="s">
        <v>26</v>
      </c>
      <c r="E100" s="5" t="s">
        <v>15</v>
      </c>
      <c r="F100" s="90">
        <v>2</v>
      </c>
      <c r="G100" s="11" t="s">
        <v>27</v>
      </c>
      <c r="H100" s="11">
        <v>0.37152777777777773</v>
      </c>
      <c r="I100" s="5">
        <v>7</v>
      </c>
      <c r="J100" s="5" t="s">
        <v>30</v>
      </c>
      <c r="K100" s="5" t="s">
        <v>28</v>
      </c>
      <c r="L100" s="11">
        <v>0.37222222222222223</v>
      </c>
      <c r="M100" s="5">
        <v>21</v>
      </c>
      <c r="N100" s="5">
        <v>22</v>
      </c>
      <c r="O100" s="5">
        <v>23</v>
      </c>
      <c r="P100" s="7" t="s">
        <v>23</v>
      </c>
      <c r="Q100" s="7"/>
      <c r="R100" s="1">
        <f t="shared" si="16"/>
        <v>44726</v>
      </c>
      <c r="S100" s="34">
        <f t="shared" si="14"/>
        <v>22</v>
      </c>
      <c r="T100" s="37"/>
      <c r="U100" s="57"/>
      <c r="V100" s="38"/>
      <c r="W100" s="66"/>
      <c r="X100" s="74"/>
      <c r="Y100" s="74"/>
      <c r="Z100" s="74"/>
      <c r="AA100" s="74"/>
      <c r="AB100" s="74"/>
      <c r="AC100" s="74"/>
      <c r="AD100" s="81"/>
    </row>
    <row r="101" spans="1:30" ht="16" customHeight="1" x14ac:dyDescent="0.2">
      <c r="A101" s="5" t="s">
        <v>21</v>
      </c>
      <c r="B101" s="6">
        <v>44726</v>
      </c>
      <c r="C101" s="5" t="s">
        <v>25</v>
      </c>
      <c r="D101" s="5" t="s">
        <v>26</v>
      </c>
      <c r="E101" s="5" t="s">
        <v>15</v>
      </c>
      <c r="F101" s="90">
        <v>2</v>
      </c>
      <c r="G101" s="11" t="s">
        <v>27</v>
      </c>
      <c r="H101" s="11">
        <v>0.52430555555555558</v>
      </c>
      <c r="I101" s="5">
        <v>7</v>
      </c>
      <c r="J101" s="5" t="s">
        <v>30</v>
      </c>
      <c r="K101" s="5" t="s">
        <v>28</v>
      </c>
      <c r="L101" s="11">
        <v>0.52500000000000002</v>
      </c>
      <c r="M101" s="5">
        <v>25</v>
      </c>
      <c r="N101" s="5">
        <v>25</v>
      </c>
      <c r="O101" s="5">
        <v>27</v>
      </c>
      <c r="P101" s="7" t="s">
        <v>23</v>
      </c>
      <c r="Q101" s="7"/>
      <c r="R101" s="1">
        <f t="shared" si="16"/>
        <v>44726</v>
      </c>
      <c r="S101" s="34">
        <f t="shared" si="14"/>
        <v>25.666666666666668</v>
      </c>
      <c r="T101" s="37">
        <f>7620-7340</f>
        <v>280</v>
      </c>
      <c r="U101" s="57">
        <v>119.44000000000001</v>
      </c>
      <c r="V101" s="38"/>
      <c r="W101" s="66"/>
      <c r="X101" s="74"/>
      <c r="Y101" s="74"/>
      <c r="Z101" s="74"/>
      <c r="AA101" s="74"/>
      <c r="AB101" s="74"/>
      <c r="AC101" s="74"/>
      <c r="AD101" s="81"/>
    </row>
    <row r="102" spans="1:30" ht="16" customHeight="1" x14ac:dyDescent="0.2">
      <c r="A102" s="5" t="s">
        <v>21</v>
      </c>
      <c r="B102" s="6">
        <v>44726</v>
      </c>
      <c r="C102" s="5" t="s">
        <v>25</v>
      </c>
      <c r="D102" s="5" t="s">
        <v>26</v>
      </c>
      <c r="E102" s="5" t="s">
        <v>15</v>
      </c>
      <c r="F102" s="90">
        <v>2</v>
      </c>
      <c r="G102" s="11" t="s">
        <v>27</v>
      </c>
      <c r="H102" s="11">
        <v>0.64583333333333337</v>
      </c>
      <c r="I102" s="5">
        <v>7</v>
      </c>
      <c r="J102" s="5" t="s">
        <v>30</v>
      </c>
      <c r="K102" s="5" t="s">
        <v>28</v>
      </c>
      <c r="L102" s="11">
        <v>0.64652777777777781</v>
      </c>
      <c r="M102" s="5">
        <v>25</v>
      </c>
      <c r="N102" s="5">
        <v>26</v>
      </c>
      <c r="O102" s="5">
        <v>26</v>
      </c>
      <c r="P102" s="7" t="s">
        <v>23</v>
      </c>
      <c r="Q102" s="7"/>
      <c r="R102" s="1">
        <f t="shared" si="16"/>
        <v>44726</v>
      </c>
      <c r="S102" s="34">
        <f t="shared" si="14"/>
        <v>25.666666666666668</v>
      </c>
      <c r="T102" s="37"/>
      <c r="U102" s="57"/>
      <c r="V102" s="38"/>
      <c r="W102" s="66"/>
      <c r="X102" s="74"/>
      <c r="Y102" s="74"/>
      <c r="Z102" s="74"/>
      <c r="AA102" s="74"/>
      <c r="AB102" s="74"/>
      <c r="AC102" s="74"/>
      <c r="AD102" s="81"/>
    </row>
    <row r="103" spans="1:30" ht="16" customHeight="1" x14ac:dyDescent="0.2">
      <c r="A103" s="8"/>
      <c r="B103" s="17"/>
      <c r="C103" s="8"/>
      <c r="D103" s="8"/>
      <c r="E103" s="8"/>
      <c r="F103" s="91"/>
      <c r="G103" s="15"/>
      <c r="H103" s="15"/>
      <c r="I103" s="8"/>
      <c r="J103" s="16"/>
      <c r="K103" s="8"/>
      <c r="L103" s="15"/>
      <c r="M103" s="8"/>
      <c r="N103" s="8"/>
      <c r="O103" s="8"/>
      <c r="P103" s="9"/>
      <c r="Q103" s="9"/>
      <c r="R103" s="1"/>
      <c r="S103" s="34"/>
      <c r="T103" s="37"/>
      <c r="U103" s="57"/>
      <c r="V103" s="38"/>
      <c r="W103" s="66"/>
      <c r="X103" s="74"/>
      <c r="Y103" s="74"/>
      <c r="Z103" s="74"/>
      <c r="AA103" s="74"/>
      <c r="AB103" s="74"/>
      <c r="AC103" s="74"/>
      <c r="AD103" s="81"/>
    </row>
    <row r="104" spans="1:30" ht="16" customHeight="1" x14ac:dyDescent="0.2">
      <c r="A104" s="3" t="s">
        <v>21</v>
      </c>
      <c r="B104" s="1">
        <v>44753</v>
      </c>
      <c r="C104" s="3" t="s">
        <v>25</v>
      </c>
      <c r="D104" s="3" t="s">
        <v>25</v>
      </c>
      <c r="E104" s="3" t="s">
        <v>15</v>
      </c>
      <c r="F104" s="89">
        <v>2</v>
      </c>
      <c r="G104" s="10">
        <v>0.53819444444444442</v>
      </c>
      <c r="H104" s="10">
        <v>0.6166666666666667</v>
      </c>
      <c r="I104" s="3">
        <v>7</v>
      </c>
      <c r="J104" s="12" t="s">
        <v>30</v>
      </c>
      <c r="K104" s="3" t="s">
        <v>28</v>
      </c>
      <c r="L104" s="10">
        <v>0.57708333333333339</v>
      </c>
      <c r="M104" s="3">
        <v>31</v>
      </c>
      <c r="N104" s="3">
        <v>32</v>
      </c>
      <c r="O104" s="3">
        <v>32</v>
      </c>
      <c r="P104" t="s">
        <v>22</v>
      </c>
      <c r="R104" s="1">
        <f t="shared" ref="R104:R106" si="17">B104</f>
        <v>44753</v>
      </c>
      <c r="S104" s="34">
        <f>AVERAGE(M104:O104)</f>
        <v>31.666666666666668</v>
      </c>
      <c r="T104" s="37">
        <f>7620-7305</f>
        <v>315</v>
      </c>
      <c r="U104" s="57">
        <v>46.324999999999996</v>
      </c>
      <c r="V104" s="38"/>
      <c r="W104" s="66"/>
      <c r="X104" s="74"/>
      <c r="Y104" s="74"/>
      <c r="Z104" s="74"/>
      <c r="AA104" s="74"/>
      <c r="AB104" s="74"/>
      <c r="AC104" s="74"/>
      <c r="AD104" s="81"/>
    </row>
    <row r="105" spans="1:30" ht="16" customHeight="1" x14ac:dyDescent="0.2">
      <c r="A105" s="5" t="s">
        <v>21</v>
      </c>
      <c r="B105" s="6">
        <v>44753</v>
      </c>
      <c r="C105" s="5" t="s">
        <v>25</v>
      </c>
      <c r="D105" s="5" t="s">
        <v>25</v>
      </c>
      <c r="E105" s="5" t="s">
        <v>15</v>
      </c>
      <c r="F105" s="90">
        <v>2</v>
      </c>
      <c r="G105" s="11" t="s">
        <v>27</v>
      </c>
      <c r="H105" s="11">
        <v>0.21666666666666667</v>
      </c>
      <c r="I105" s="5">
        <v>7</v>
      </c>
      <c r="J105" s="13" t="s">
        <v>27</v>
      </c>
      <c r="K105" s="5" t="s">
        <v>28</v>
      </c>
      <c r="L105" s="11">
        <v>0.17708333333333334</v>
      </c>
      <c r="M105" s="5">
        <v>26</v>
      </c>
      <c r="N105" s="5">
        <v>27</v>
      </c>
      <c r="O105" s="5">
        <v>27</v>
      </c>
      <c r="P105" s="7" t="s">
        <v>23</v>
      </c>
      <c r="Q105" s="7"/>
      <c r="R105" s="1">
        <f t="shared" si="17"/>
        <v>44753</v>
      </c>
      <c r="S105" s="87">
        <f>AVERAGE(M105:O105)</f>
        <v>26.666666666666668</v>
      </c>
      <c r="T105" s="37">
        <f>7620-7318</f>
        <v>302</v>
      </c>
      <c r="U105" s="57"/>
      <c r="V105" s="38"/>
      <c r="W105" s="66"/>
      <c r="X105" s="74"/>
      <c r="Y105" s="74"/>
      <c r="Z105" s="74"/>
      <c r="AA105" s="74"/>
      <c r="AB105" s="74"/>
      <c r="AC105" s="74"/>
      <c r="AD105" s="81"/>
    </row>
    <row r="106" spans="1:30" ht="16" customHeight="1" x14ac:dyDescent="0.2">
      <c r="A106" s="5" t="s">
        <v>21</v>
      </c>
      <c r="B106" s="6">
        <v>44753</v>
      </c>
      <c r="C106" s="5" t="s">
        <v>25</v>
      </c>
      <c r="D106" s="5" t="s">
        <v>25</v>
      </c>
      <c r="E106" s="5" t="s">
        <v>15</v>
      </c>
      <c r="F106" s="90">
        <v>2</v>
      </c>
      <c r="G106" s="11" t="s">
        <v>27</v>
      </c>
      <c r="H106" s="11">
        <v>0.61319444444444449</v>
      </c>
      <c r="I106" s="5">
        <v>7</v>
      </c>
      <c r="J106" s="13" t="s">
        <v>30</v>
      </c>
      <c r="K106" s="5" t="s">
        <v>28</v>
      </c>
      <c r="L106" s="11">
        <v>0.57361111111111118</v>
      </c>
      <c r="M106" s="5">
        <v>31</v>
      </c>
      <c r="N106" s="5">
        <v>31</v>
      </c>
      <c r="O106" s="5">
        <v>32</v>
      </c>
      <c r="P106" s="7" t="s">
        <v>23</v>
      </c>
      <c r="Q106" s="7"/>
      <c r="R106" s="1">
        <f t="shared" si="17"/>
        <v>44753</v>
      </c>
      <c r="S106" s="34">
        <f>AVERAGE(M106:O106)</f>
        <v>31.333333333333332</v>
      </c>
      <c r="T106" s="37">
        <f>7620-7305</f>
        <v>315</v>
      </c>
      <c r="U106" s="57">
        <v>46.324999999999996</v>
      </c>
      <c r="V106" s="38"/>
      <c r="W106" s="66"/>
      <c r="X106" s="74"/>
      <c r="Y106" s="74"/>
      <c r="Z106" s="74"/>
      <c r="AA106" s="74"/>
      <c r="AB106" s="74"/>
      <c r="AC106" s="74"/>
      <c r="AD106" s="81"/>
    </row>
    <row r="107" spans="1:30" ht="16" customHeight="1" x14ac:dyDescent="0.2">
      <c r="A107" s="8"/>
      <c r="B107" s="17"/>
      <c r="C107" s="8"/>
      <c r="D107" s="8"/>
      <c r="E107" s="8"/>
      <c r="F107" s="91"/>
      <c r="G107" s="15"/>
      <c r="H107" s="15"/>
      <c r="I107" s="8"/>
      <c r="J107" s="16"/>
      <c r="K107" s="8"/>
      <c r="L107" s="15"/>
      <c r="M107" s="8"/>
      <c r="N107" s="8"/>
      <c r="O107" s="8"/>
      <c r="P107" s="9"/>
      <c r="Q107" s="9"/>
      <c r="R107" s="1"/>
      <c r="S107" s="34"/>
      <c r="T107" s="37"/>
      <c r="U107" s="57"/>
      <c r="V107" s="38"/>
      <c r="W107" s="66"/>
      <c r="X107" s="74"/>
      <c r="Y107" s="74"/>
      <c r="Z107" s="74"/>
      <c r="AA107" s="74"/>
      <c r="AB107" s="74"/>
      <c r="AC107" s="74"/>
      <c r="AD107" s="81"/>
    </row>
    <row r="108" spans="1:30" ht="16" customHeight="1" x14ac:dyDescent="0.2">
      <c r="A108" s="3" t="s">
        <v>21</v>
      </c>
      <c r="B108" s="1">
        <v>44786</v>
      </c>
      <c r="C108" s="3" t="s">
        <v>25</v>
      </c>
      <c r="D108" s="3" t="s">
        <v>25</v>
      </c>
      <c r="E108" s="3" t="s">
        <v>15</v>
      </c>
      <c r="F108" s="89">
        <v>2</v>
      </c>
      <c r="G108" s="10">
        <v>0.49722222222222223</v>
      </c>
      <c r="H108" s="10">
        <v>0.57291666666666663</v>
      </c>
      <c r="I108" s="3">
        <v>7</v>
      </c>
      <c r="J108" s="12" t="s">
        <v>30</v>
      </c>
      <c r="K108" s="3" t="s">
        <v>28</v>
      </c>
      <c r="L108" s="10">
        <v>0.57500000000000007</v>
      </c>
      <c r="M108" s="3">
        <v>41</v>
      </c>
      <c r="N108" s="3">
        <v>42</v>
      </c>
      <c r="O108" s="3">
        <v>42</v>
      </c>
      <c r="P108" t="s">
        <v>22</v>
      </c>
      <c r="Q108" t="s">
        <v>79</v>
      </c>
      <c r="R108" s="1">
        <f t="shared" ref="R108:R110" si="18">B108</f>
        <v>44786</v>
      </c>
      <c r="S108" s="34">
        <f>AVERAGE(M108:O108)</f>
        <v>41.666666666666664</v>
      </c>
      <c r="T108" s="37">
        <f>7620-7212</f>
        <v>408</v>
      </c>
      <c r="U108" s="57">
        <v>24.125</v>
      </c>
      <c r="V108" s="38"/>
      <c r="W108" s="66"/>
      <c r="X108" s="74"/>
      <c r="Y108" s="74"/>
      <c r="Z108" s="74"/>
      <c r="AA108" s="74"/>
      <c r="AB108" s="74"/>
      <c r="AC108" s="74"/>
      <c r="AD108" s="81"/>
    </row>
    <row r="109" spans="1:30" ht="16" customHeight="1" x14ac:dyDescent="0.2">
      <c r="A109" s="5" t="s">
        <v>21</v>
      </c>
      <c r="B109" s="6">
        <v>44786</v>
      </c>
      <c r="C109" s="5" t="s">
        <v>25</v>
      </c>
      <c r="D109" s="5" t="s">
        <v>25</v>
      </c>
      <c r="E109" s="5" t="s">
        <v>15</v>
      </c>
      <c r="F109" s="90">
        <v>2</v>
      </c>
      <c r="G109" s="11" t="s">
        <v>27</v>
      </c>
      <c r="H109" s="11">
        <v>0.19027777777777777</v>
      </c>
      <c r="I109" s="5">
        <v>7</v>
      </c>
      <c r="J109" s="13" t="s">
        <v>27</v>
      </c>
      <c r="K109" s="5" t="s">
        <v>28</v>
      </c>
      <c r="L109" s="11">
        <v>0.19236111111111112</v>
      </c>
      <c r="M109" s="5">
        <v>39</v>
      </c>
      <c r="N109" s="5">
        <v>40</v>
      </c>
      <c r="O109" s="5">
        <v>41</v>
      </c>
      <c r="P109" s="7" t="s">
        <v>23</v>
      </c>
      <c r="Q109" t="s">
        <v>79</v>
      </c>
      <c r="R109" s="1">
        <f t="shared" si="18"/>
        <v>44786</v>
      </c>
      <c r="S109" s="34">
        <f>AVERAGE(M109:O109)</f>
        <v>40</v>
      </c>
      <c r="T109" s="37">
        <f>7620-7210</f>
        <v>410</v>
      </c>
      <c r="U109" s="57"/>
      <c r="V109" s="38"/>
      <c r="W109" s="66"/>
      <c r="X109" s="74"/>
      <c r="Y109" s="74"/>
      <c r="Z109" s="74"/>
      <c r="AA109" s="74"/>
      <c r="AB109" s="74"/>
      <c r="AC109" s="74"/>
      <c r="AD109" s="81"/>
    </row>
    <row r="110" spans="1:30" ht="16" customHeight="1" x14ac:dyDescent="0.2">
      <c r="A110" s="5" t="s">
        <v>21</v>
      </c>
      <c r="B110" s="6">
        <v>44786</v>
      </c>
      <c r="C110" s="5" t="s">
        <v>25</v>
      </c>
      <c r="D110" s="5" t="s">
        <v>25</v>
      </c>
      <c r="E110" s="5" t="s">
        <v>15</v>
      </c>
      <c r="F110" s="90">
        <v>2</v>
      </c>
      <c r="G110" s="11" t="s">
        <v>27</v>
      </c>
      <c r="H110" s="11">
        <v>0.56944444444444442</v>
      </c>
      <c r="I110" s="5">
        <v>7</v>
      </c>
      <c r="J110" s="13" t="s">
        <v>30</v>
      </c>
      <c r="K110" s="5" t="s">
        <v>28</v>
      </c>
      <c r="L110" s="11">
        <v>0.57152777777777775</v>
      </c>
      <c r="M110" s="5">
        <v>41</v>
      </c>
      <c r="N110" s="5">
        <v>43</v>
      </c>
      <c r="O110" s="5">
        <v>43</v>
      </c>
      <c r="P110" s="7" t="s">
        <v>23</v>
      </c>
      <c r="Q110" t="s">
        <v>79</v>
      </c>
      <c r="R110" s="1">
        <f t="shared" si="18"/>
        <v>44786</v>
      </c>
      <c r="S110" s="34">
        <f>AVERAGE(M110:O110)</f>
        <v>42.333333333333336</v>
      </c>
      <c r="T110" s="37">
        <f>7620-7212</f>
        <v>408</v>
      </c>
      <c r="U110" s="57">
        <v>24.125</v>
      </c>
      <c r="V110" s="38"/>
      <c r="W110" s="66"/>
      <c r="X110" s="74"/>
      <c r="Y110" s="74"/>
      <c r="Z110" s="74"/>
      <c r="AA110" s="74"/>
      <c r="AB110" s="74"/>
      <c r="AC110" s="74"/>
      <c r="AD110" s="81"/>
    </row>
    <row r="111" spans="1:30" ht="16" customHeight="1" x14ac:dyDescent="0.2">
      <c r="A111" s="49"/>
      <c r="B111" s="50"/>
      <c r="C111" s="49"/>
      <c r="D111" s="49"/>
      <c r="E111" s="49"/>
      <c r="F111" s="92"/>
      <c r="G111" s="51"/>
      <c r="H111" s="51"/>
      <c r="I111" s="49"/>
      <c r="J111" s="52"/>
      <c r="K111" s="49"/>
      <c r="L111" s="51"/>
      <c r="M111" s="49"/>
      <c r="N111" s="49"/>
      <c r="O111" s="49"/>
      <c r="P111" s="53"/>
      <c r="Q111" s="53"/>
      <c r="R111" s="1"/>
      <c r="S111" s="34"/>
      <c r="T111" s="37"/>
      <c r="U111" s="57"/>
      <c r="V111" s="38"/>
      <c r="W111" s="66"/>
      <c r="X111" s="74"/>
      <c r="Y111" s="74"/>
      <c r="Z111" s="74"/>
      <c r="AA111" s="74"/>
      <c r="AB111" s="74"/>
      <c r="AC111" s="74"/>
      <c r="AD111" s="81"/>
    </row>
    <row r="112" spans="1:30" ht="16" customHeight="1" x14ac:dyDescent="0.2">
      <c r="A112" s="61" t="s">
        <v>21</v>
      </c>
      <c r="B112" s="62">
        <v>44867</v>
      </c>
      <c r="C112" s="61" t="s">
        <v>25</v>
      </c>
      <c r="D112" s="61" t="s">
        <v>26</v>
      </c>
      <c r="E112" s="61" t="s">
        <v>15</v>
      </c>
      <c r="F112" s="93">
        <v>2</v>
      </c>
      <c r="G112" s="63" t="s">
        <v>27</v>
      </c>
      <c r="H112" s="64">
        <v>0.48402777777777778</v>
      </c>
      <c r="I112" s="63">
        <v>7</v>
      </c>
      <c r="J112" s="63" t="s">
        <v>30</v>
      </c>
      <c r="K112" s="63" t="s">
        <v>90</v>
      </c>
      <c r="L112" s="64">
        <v>0.4861111111111111</v>
      </c>
      <c r="M112" s="63">
        <v>16</v>
      </c>
      <c r="N112" s="63">
        <v>17</v>
      </c>
      <c r="O112" s="63">
        <v>18</v>
      </c>
      <c r="P112" s="63" t="s">
        <v>23</v>
      </c>
      <c r="Q112" s="63" t="s">
        <v>94</v>
      </c>
      <c r="R112" s="1"/>
      <c r="S112" s="34"/>
      <c r="T112" s="37"/>
      <c r="U112" s="57"/>
      <c r="V112" s="38"/>
      <c r="W112" s="66"/>
      <c r="X112" s="74"/>
      <c r="Y112" s="74"/>
      <c r="Z112" s="74"/>
      <c r="AA112" s="74"/>
      <c r="AB112" s="74"/>
      <c r="AC112" s="74"/>
      <c r="AD112" s="81"/>
    </row>
    <row r="113" spans="1:30" ht="16" customHeight="1" x14ac:dyDescent="0.2">
      <c r="B113" s="1"/>
      <c r="G113" s="10"/>
      <c r="H113" s="10"/>
      <c r="I113" s="3"/>
      <c r="J113" s="3"/>
      <c r="K113" s="3"/>
      <c r="L113" s="10"/>
      <c r="M113" s="3"/>
      <c r="N113" s="3"/>
      <c r="O113" s="3"/>
      <c r="R113" s="1"/>
      <c r="S113" s="34"/>
      <c r="T113" s="37"/>
      <c r="U113" s="57"/>
      <c r="V113" s="38"/>
      <c r="W113" s="66"/>
      <c r="X113" s="74"/>
      <c r="Y113" s="74"/>
      <c r="Z113" s="74"/>
      <c r="AA113" s="74"/>
      <c r="AB113" s="74"/>
      <c r="AC113" s="74"/>
      <c r="AD113" s="81"/>
    </row>
    <row r="114" spans="1:30" ht="16" customHeight="1" x14ac:dyDescent="0.2">
      <c r="B114" s="1"/>
      <c r="G114" s="10"/>
      <c r="H114" s="10"/>
      <c r="I114" s="3"/>
      <c r="J114" s="3"/>
      <c r="K114" s="3"/>
      <c r="L114" s="10"/>
      <c r="M114" s="3"/>
      <c r="N114" s="3"/>
      <c r="O114" s="3"/>
      <c r="R114" s="1"/>
      <c r="S114" s="34"/>
      <c r="T114" s="37"/>
      <c r="U114" s="57"/>
      <c r="V114" s="38"/>
      <c r="W114" s="66"/>
      <c r="X114" s="74"/>
      <c r="Y114" s="74"/>
      <c r="Z114" s="74"/>
      <c r="AA114" s="74"/>
      <c r="AB114" s="74"/>
      <c r="AC114" s="74"/>
      <c r="AD114" s="81"/>
    </row>
    <row r="115" spans="1:30" ht="16" customHeight="1" x14ac:dyDescent="0.2">
      <c r="B115" s="1"/>
      <c r="G115" s="10"/>
      <c r="H115" s="10"/>
      <c r="I115" s="3"/>
      <c r="J115" s="3"/>
      <c r="K115" s="3"/>
      <c r="L115" s="10"/>
      <c r="M115" s="3"/>
      <c r="N115" s="3"/>
      <c r="O115" s="3"/>
      <c r="R115" s="1"/>
      <c r="S115" s="34"/>
      <c r="T115" s="37"/>
      <c r="U115" s="57"/>
      <c r="V115" s="38"/>
      <c r="W115" s="66"/>
      <c r="X115" s="74"/>
      <c r="Y115" s="74"/>
      <c r="Z115" s="74"/>
      <c r="AA115" s="74"/>
      <c r="AB115" s="74"/>
      <c r="AC115" s="74"/>
      <c r="AD115" s="81"/>
    </row>
    <row r="116" spans="1:30" ht="16" customHeight="1" x14ac:dyDescent="0.2">
      <c r="B116" s="1"/>
      <c r="G116" s="10"/>
      <c r="H116" s="10"/>
      <c r="I116" s="3"/>
      <c r="J116" s="3"/>
      <c r="K116" s="3"/>
      <c r="L116" s="10"/>
      <c r="M116" s="3"/>
      <c r="N116" s="3"/>
      <c r="O116" s="3"/>
      <c r="R116" s="1"/>
      <c r="S116" s="34"/>
      <c r="T116" s="37"/>
      <c r="U116" s="57"/>
      <c r="V116" s="38"/>
      <c r="W116" s="66"/>
      <c r="X116" s="74"/>
      <c r="Y116" s="74"/>
      <c r="Z116" s="74"/>
      <c r="AA116" s="74"/>
      <c r="AB116" s="74"/>
      <c r="AC116" s="74"/>
      <c r="AD116" s="81"/>
    </row>
    <row r="117" spans="1:30" ht="16" customHeight="1" x14ac:dyDescent="0.2">
      <c r="B117" s="1"/>
      <c r="G117" s="10"/>
      <c r="H117" s="10"/>
      <c r="I117" s="3"/>
      <c r="J117" s="3"/>
      <c r="K117" s="3"/>
      <c r="L117" s="10"/>
      <c r="M117" s="3"/>
      <c r="N117" s="3"/>
      <c r="O117" s="3"/>
      <c r="R117" s="1"/>
      <c r="S117" s="34"/>
      <c r="T117" s="37"/>
      <c r="U117" s="57"/>
      <c r="V117" s="38"/>
      <c r="W117" s="66"/>
      <c r="X117" s="74"/>
      <c r="Y117" s="74"/>
      <c r="Z117" s="74"/>
      <c r="AA117" s="74"/>
      <c r="AB117" s="74"/>
      <c r="AC117" s="74"/>
      <c r="AD117" s="81"/>
    </row>
    <row r="118" spans="1:30" ht="16" customHeight="1" x14ac:dyDescent="0.2">
      <c r="B118" s="1"/>
      <c r="G118" s="10"/>
      <c r="H118" s="10"/>
      <c r="I118" s="3"/>
      <c r="J118" s="3"/>
      <c r="K118" s="3"/>
      <c r="L118" s="10"/>
      <c r="M118" s="3"/>
      <c r="N118" s="3"/>
      <c r="O118" s="3"/>
    </row>
    <row r="119" spans="1:30" ht="16" customHeight="1" x14ac:dyDescent="0.2">
      <c r="B119" s="1"/>
      <c r="G119" s="10"/>
      <c r="H119" s="10"/>
      <c r="I119" s="3"/>
      <c r="J119" s="3"/>
      <c r="K119" s="3"/>
      <c r="L119" s="10"/>
      <c r="M119" s="3"/>
      <c r="N119" s="3"/>
      <c r="O119" s="3"/>
    </row>
    <row r="120" spans="1:30" ht="16" customHeight="1" x14ac:dyDescent="0.2">
      <c r="B120" s="1"/>
      <c r="G120" s="10"/>
      <c r="H120" s="10"/>
      <c r="I120" s="3"/>
      <c r="J120" s="3"/>
      <c r="K120" s="3"/>
      <c r="L120" s="10"/>
      <c r="M120" s="3"/>
      <c r="N120" s="3"/>
      <c r="O120" s="3"/>
    </row>
    <row r="121" spans="1:30" ht="16" customHeight="1" x14ac:dyDescent="0.2">
      <c r="B121" s="1"/>
      <c r="G121" s="10"/>
      <c r="H121" s="10"/>
      <c r="I121" s="3"/>
      <c r="J121" s="3"/>
      <c r="K121" s="3"/>
      <c r="L121" s="10"/>
      <c r="M121" s="3"/>
      <c r="N121" s="3"/>
      <c r="O121" s="3"/>
    </row>
    <row r="122" spans="1:30" ht="16" customHeight="1" x14ac:dyDescent="0.2">
      <c r="B122" s="1"/>
      <c r="G122" s="10"/>
      <c r="H122" s="10"/>
      <c r="I122" s="3"/>
      <c r="J122" s="3"/>
      <c r="K122" s="3"/>
      <c r="L122" s="10"/>
      <c r="M122" s="3"/>
      <c r="N122" s="3"/>
      <c r="O122" s="3"/>
    </row>
    <row r="123" spans="1:30" ht="16" customHeight="1" x14ac:dyDescent="0.2">
      <c r="B123" s="1"/>
      <c r="G123" s="10"/>
      <c r="H123" s="10"/>
      <c r="I123" s="3"/>
      <c r="J123" s="3"/>
      <c r="K123" s="3"/>
      <c r="L123" s="10"/>
      <c r="M123" s="3"/>
      <c r="N123" s="3"/>
      <c r="O123" s="3"/>
    </row>
    <row r="124" spans="1:30" ht="16" customHeight="1" x14ac:dyDescent="0.2">
      <c r="B124" s="1"/>
      <c r="G124" s="10"/>
      <c r="H124" s="10"/>
      <c r="I124" s="3"/>
      <c r="J124" s="3"/>
      <c r="K124" s="3"/>
      <c r="L124" s="10"/>
      <c r="M124" s="3"/>
      <c r="N124" s="3"/>
      <c r="O124" s="3"/>
    </row>
    <row r="125" spans="1:30" ht="16" customHeight="1" x14ac:dyDescent="0.2">
      <c r="A125" s="3" t="s">
        <v>21</v>
      </c>
      <c r="B125" s="1">
        <v>44348</v>
      </c>
      <c r="C125" s="3" t="s">
        <v>25</v>
      </c>
      <c r="D125" s="3" t="s">
        <v>26</v>
      </c>
      <c r="E125" s="3" t="s">
        <v>15</v>
      </c>
      <c r="F125" s="89">
        <v>3</v>
      </c>
      <c r="G125" s="10">
        <v>0.29861111111111105</v>
      </c>
      <c r="H125" s="10">
        <v>0.32152777777777775</v>
      </c>
      <c r="I125" s="3">
        <v>7</v>
      </c>
      <c r="J125" s="3" t="s">
        <v>30</v>
      </c>
      <c r="K125" s="3" t="s">
        <v>28</v>
      </c>
      <c r="L125" s="10">
        <v>0.32430555555555551</v>
      </c>
      <c r="M125" s="3">
        <v>6</v>
      </c>
      <c r="N125" s="3">
        <v>6</v>
      </c>
      <c r="O125" s="3">
        <v>7</v>
      </c>
      <c r="P125" t="s">
        <v>22</v>
      </c>
      <c r="R125" s="1">
        <f t="shared" ref="R125:R135" si="19">B125</f>
        <v>44348</v>
      </c>
      <c r="S125" s="34">
        <f>AVERAGE(M125:O125)</f>
        <v>6.333333333333333</v>
      </c>
      <c r="T125" s="37"/>
      <c r="U125" s="57"/>
      <c r="V125" s="38"/>
      <c r="W125" s="66"/>
      <c r="X125" s="74">
        <v>-49.051333504538015</v>
      </c>
      <c r="Y125" s="74">
        <v>-16.466813078368624</v>
      </c>
      <c r="Z125" s="74">
        <v>-14.880437290618442</v>
      </c>
      <c r="AA125" s="74">
        <v>-16.364673851496708</v>
      </c>
      <c r="AB125" s="74">
        <v>-16.759535056875226</v>
      </c>
      <c r="AC125" s="75">
        <f t="shared" ref="AC125:AC129" si="20">X125*5/160+Y125*45/160+Z125*40/160+AA125*40/160+AB125*30/160</f>
        <v>-17.117835959000878</v>
      </c>
      <c r="AD125">
        <v>0.72490142400000002</v>
      </c>
    </row>
    <row r="126" spans="1:30" ht="16" customHeight="1" x14ac:dyDescent="0.2">
      <c r="A126" s="3" t="s">
        <v>21</v>
      </c>
      <c r="B126" s="1">
        <v>44348</v>
      </c>
      <c r="C126" s="3" t="s">
        <v>25</v>
      </c>
      <c r="D126" s="3" t="s">
        <v>26</v>
      </c>
      <c r="E126" s="3" t="s">
        <v>15</v>
      </c>
      <c r="F126" s="89">
        <v>3</v>
      </c>
      <c r="G126" s="10">
        <v>0.39236111111111105</v>
      </c>
      <c r="H126" s="10">
        <v>0.41527777777777775</v>
      </c>
      <c r="I126" s="3">
        <v>7</v>
      </c>
      <c r="J126" s="3" t="s">
        <v>30</v>
      </c>
      <c r="K126" s="3" t="s">
        <v>28</v>
      </c>
      <c r="L126" s="10">
        <v>0.41666666666666663</v>
      </c>
      <c r="M126" s="3">
        <v>9</v>
      </c>
      <c r="N126" s="3">
        <v>7</v>
      </c>
      <c r="O126" s="3">
        <v>8</v>
      </c>
      <c r="P126" t="s">
        <v>22</v>
      </c>
      <c r="R126" s="1">
        <f t="shared" si="19"/>
        <v>44348</v>
      </c>
      <c r="S126" s="34">
        <f t="shared" ref="S126:S133" si="21">AVERAGE(M126:O126)</f>
        <v>8</v>
      </c>
      <c r="T126" s="37"/>
      <c r="U126" s="57"/>
      <c r="V126" s="38"/>
      <c r="W126" s="66"/>
      <c r="X126" s="74">
        <v>-49.69959032204612</v>
      </c>
      <c r="Y126" s="74">
        <v>-16.561576408115847</v>
      </c>
      <c r="Z126" s="74">
        <v>-14.927773626002278</v>
      </c>
      <c r="AA126" s="74">
        <v>-16.452745582376018</v>
      </c>
      <c r="AB126" s="74">
        <v>-17.130292804181259</v>
      </c>
      <c r="AC126" s="75">
        <f t="shared" si="20"/>
        <v>-17.268115265225084</v>
      </c>
      <c r="AD126">
        <v>1.2209218770000001</v>
      </c>
    </row>
    <row r="127" spans="1:30" ht="16" customHeight="1" x14ac:dyDescent="0.2">
      <c r="A127" s="3" t="s">
        <v>21</v>
      </c>
      <c r="B127" s="1">
        <v>44348</v>
      </c>
      <c r="C127" s="3" t="s">
        <v>25</v>
      </c>
      <c r="D127" s="3" t="s">
        <v>26</v>
      </c>
      <c r="E127" s="3" t="s">
        <v>15</v>
      </c>
      <c r="F127" s="89">
        <v>3</v>
      </c>
      <c r="G127" s="10">
        <v>0.47916666666666669</v>
      </c>
      <c r="H127" s="10">
        <v>0.5083333333333333</v>
      </c>
      <c r="I127" s="3">
        <v>7</v>
      </c>
      <c r="J127" s="3" t="s">
        <v>31</v>
      </c>
      <c r="K127" s="3" t="s">
        <v>28</v>
      </c>
      <c r="L127" s="10">
        <v>0.50972222222222219</v>
      </c>
      <c r="M127" s="3">
        <v>9</v>
      </c>
      <c r="N127" s="3">
        <v>9</v>
      </c>
      <c r="O127" s="3">
        <v>10</v>
      </c>
      <c r="P127" t="s">
        <v>22</v>
      </c>
      <c r="R127" s="1">
        <f t="shared" si="19"/>
        <v>44348</v>
      </c>
      <c r="S127" s="34">
        <f t="shared" si="21"/>
        <v>9.3333333333333339</v>
      </c>
      <c r="T127" s="39">
        <f>2200-1963</f>
        <v>237</v>
      </c>
      <c r="U127" s="57">
        <v>328.7</v>
      </c>
      <c r="V127" s="38">
        <v>11.115</v>
      </c>
      <c r="W127" s="66"/>
      <c r="X127" s="74">
        <v>-51.004925273673223</v>
      </c>
      <c r="Y127" s="74">
        <v>-16.676447411663997</v>
      </c>
      <c r="Z127" s="74">
        <v>-14.974903189026563</v>
      </c>
      <c r="AA127" s="74">
        <v>-16.614019056382368</v>
      </c>
      <c r="AB127" s="74">
        <v>-18.205315036500568</v>
      </c>
      <c r="AC127" s="75">
        <f t="shared" si="20"/>
        <v>-17.594881880028876</v>
      </c>
      <c r="AD127">
        <v>2.1374396359999999</v>
      </c>
    </row>
    <row r="128" spans="1:30" ht="16" customHeight="1" x14ac:dyDescent="0.2">
      <c r="A128" s="3" t="s">
        <v>21</v>
      </c>
      <c r="B128" s="1">
        <v>44348</v>
      </c>
      <c r="C128" s="3" t="s">
        <v>25</v>
      </c>
      <c r="D128" s="3" t="s">
        <v>26</v>
      </c>
      <c r="E128" s="3" t="s">
        <v>15</v>
      </c>
      <c r="F128" s="89">
        <v>3</v>
      </c>
      <c r="G128" s="10">
        <v>0.59375</v>
      </c>
      <c r="H128" s="10">
        <v>0.62013888888888891</v>
      </c>
      <c r="I128" s="3">
        <v>7</v>
      </c>
      <c r="J128" s="3" t="s">
        <v>30</v>
      </c>
      <c r="K128" s="3" t="s">
        <v>28</v>
      </c>
      <c r="L128" s="10">
        <v>0.62152777777777779</v>
      </c>
      <c r="M128" s="3">
        <v>10</v>
      </c>
      <c r="N128" s="3">
        <v>12</v>
      </c>
      <c r="O128" s="3">
        <v>10</v>
      </c>
      <c r="P128" t="s">
        <v>22</v>
      </c>
      <c r="R128" s="1">
        <f t="shared" si="19"/>
        <v>44348</v>
      </c>
      <c r="S128" s="34">
        <f t="shared" si="21"/>
        <v>10.666666666666666</v>
      </c>
      <c r="T128" s="37"/>
      <c r="U128" s="57"/>
      <c r="V128" s="38"/>
      <c r="W128" s="66"/>
      <c r="X128" s="74">
        <v>-53.226975935439327</v>
      </c>
      <c r="Y128" s="74">
        <v>-16.89223124207053</v>
      </c>
      <c r="Z128" s="74">
        <v>-15.075738396348791</v>
      </c>
      <c r="AA128" s="74">
        <v>-16.864217177652872</v>
      </c>
      <c r="AB128" s="74">
        <v>-20.449097160099562</v>
      </c>
      <c r="AC128" s="75">
        <f t="shared" si="20"/>
        <v>-18.233477645833897</v>
      </c>
      <c r="AD128" s="86">
        <v>2.1374396359999999</v>
      </c>
    </row>
    <row r="129" spans="1:52" ht="16" customHeight="1" x14ac:dyDescent="0.2">
      <c r="A129" s="3" t="s">
        <v>21</v>
      </c>
      <c r="B129" s="1">
        <v>44348</v>
      </c>
      <c r="C129" s="3" t="s">
        <v>25</v>
      </c>
      <c r="D129" s="3" t="s">
        <v>26</v>
      </c>
      <c r="E129" s="3" t="s">
        <v>15</v>
      </c>
      <c r="F129" s="89">
        <v>3</v>
      </c>
      <c r="G129" s="10">
        <v>0.70138888888888884</v>
      </c>
      <c r="H129" s="10">
        <v>0.72916666666666674</v>
      </c>
      <c r="I129" s="3">
        <v>7</v>
      </c>
      <c r="J129" s="3" t="s">
        <v>30</v>
      </c>
      <c r="K129" s="3" t="s">
        <v>28</v>
      </c>
      <c r="L129" s="10">
        <v>0.73055555555555562</v>
      </c>
      <c r="M129" s="3">
        <v>7</v>
      </c>
      <c r="N129" s="3">
        <v>8</v>
      </c>
      <c r="O129" s="3">
        <v>8</v>
      </c>
      <c r="P129" t="s">
        <v>22</v>
      </c>
      <c r="R129" s="1">
        <f t="shared" si="19"/>
        <v>44348</v>
      </c>
      <c r="S129" s="34">
        <f t="shared" si="21"/>
        <v>7.666666666666667</v>
      </c>
      <c r="T129" s="37"/>
      <c r="U129" s="57"/>
      <c r="V129" s="38"/>
      <c r="W129" s="66"/>
      <c r="X129" s="74">
        <v>-54.716725352256546</v>
      </c>
      <c r="Y129" s="74">
        <v>-17.022899244620572</v>
      </c>
      <c r="Z129" s="74">
        <v>-15.164038526659372</v>
      </c>
      <c r="AA129" s="74">
        <v>-17.007041373601417</v>
      </c>
      <c r="AB129" s="74">
        <v>-21.281931583266861</v>
      </c>
      <c r="AC129" s="75">
        <f t="shared" si="20"/>
        <v>-18.530720226735287</v>
      </c>
      <c r="AD129">
        <v>1.6652112130000001</v>
      </c>
    </row>
    <row r="130" spans="1:52" ht="16" customHeight="1" x14ac:dyDescent="0.2">
      <c r="A130" s="5" t="s">
        <v>21</v>
      </c>
      <c r="B130" s="6">
        <v>44348</v>
      </c>
      <c r="C130" s="5" t="s">
        <v>25</v>
      </c>
      <c r="D130" s="5" t="s">
        <v>26</v>
      </c>
      <c r="E130" s="5" t="s">
        <v>15</v>
      </c>
      <c r="F130" s="90">
        <v>3</v>
      </c>
      <c r="G130" s="5" t="s">
        <v>27</v>
      </c>
      <c r="H130" s="11">
        <v>0.14166666666666669</v>
      </c>
      <c r="I130" s="5">
        <v>7</v>
      </c>
      <c r="J130" s="5" t="s">
        <v>27</v>
      </c>
      <c r="K130" s="5" t="s">
        <v>28</v>
      </c>
      <c r="L130" s="11">
        <v>0.14236111111111113</v>
      </c>
      <c r="M130" s="5">
        <v>4</v>
      </c>
      <c r="N130" s="5">
        <v>5</v>
      </c>
      <c r="O130" s="5">
        <v>5</v>
      </c>
      <c r="P130" s="7" t="s">
        <v>23</v>
      </c>
      <c r="Q130" s="7"/>
      <c r="R130" s="1">
        <f t="shared" si="19"/>
        <v>44348</v>
      </c>
      <c r="S130" s="34">
        <f t="shared" si="21"/>
        <v>4.666666666666667</v>
      </c>
      <c r="T130" s="39">
        <f>2200-1983</f>
        <v>217</v>
      </c>
      <c r="U130" s="58"/>
      <c r="V130" s="40"/>
      <c r="W130" s="67"/>
      <c r="X130" s="75">
        <v>-48.626871504497501</v>
      </c>
      <c r="Y130" s="75">
        <v>-16.455966995710487</v>
      </c>
      <c r="Z130" s="75">
        <v>-14.845610938397442</v>
      </c>
      <c r="AA130" s="75">
        <v>-16.273984522230116</v>
      </c>
      <c r="AB130" s="75">
        <v>-16.881771931058726</v>
      </c>
      <c r="AC130" s="75">
        <f>X130*5/160+Y130*45/160+Z130*40/160+AA130*40/160+AB130*30/160</f>
        <v>-17.093061554289523</v>
      </c>
      <c r="AD130">
        <v>0.80875387499999996</v>
      </c>
      <c r="AE130" s="18">
        <f>AVERAGE(X130:AB130)</f>
        <v>-22.616841178378856</v>
      </c>
    </row>
    <row r="131" spans="1:52" ht="16" customHeight="1" x14ac:dyDescent="0.2">
      <c r="A131" s="5" t="s">
        <v>21</v>
      </c>
      <c r="B131" s="6">
        <v>44348</v>
      </c>
      <c r="C131" s="5" t="s">
        <v>25</v>
      </c>
      <c r="D131" s="5" t="s">
        <v>26</v>
      </c>
      <c r="E131" s="5" t="s">
        <v>15</v>
      </c>
      <c r="F131" s="90">
        <v>3</v>
      </c>
      <c r="G131" s="11" t="s">
        <v>27</v>
      </c>
      <c r="H131" s="11">
        <v>0.32152777777777775</v>
      </c>
      <c r="I131" s="5">
        <v>7</v>
      </c>
      <c r="J131" s="5" t="s">
        <v>30</v>
      </c>
      <c r="K131" s="5" t="s">
        <v>28</v>
      </c>
      <c r="L131" s="11">
        <v>0.32291666666666663</v>
      </c>
      <c r="M131" s="5">
        <v>10</v>
      </c>
      <c r="N131" s="5">
        <v>11</v>
      </c>
      <c r="O131" s="5">
        <v>11</v>
      </c>
      <c r="P131" s="7" t="s">
        <v>23</v>
      </c>
      <c r="Q131" s="7"/>
      <c r="R131" s="1">
        <f t="shared" si="19"/>
        <v>44348</v>
      </c>
      <c r="S131" s="34">
        <f t="shared" si="21"/>
        <v>10.666666666666666</v>
      </c>
      <c r="T131" s="37"/>
      <c r="U131" s="57"/>
      <c r="V131" s="38"/>
      <c r="W131" s="66"/>
      <c r="X131" s="74">
        <v>-49.051333504538015</v>
      </c>
      <c r="Y131" s="74">
        <v>-16.466813078368624</v>
      </c>
      <c r="Z131" s="74">
        <v>-14.880437290618442</v>
      </c>
      <c r="AA131" s="74">
        <v>-16.364673851496708</v>
      </c>
      <c r="AB131" s="74">
        <v>-16.759535056875226</v>
      </c>
      <c r="AC131" s="75">
        <f t="shared" ref="AC131:AC135" si="22">X131*5/160+Y131*45/160+Z131*40/160+AA131*40/160+AB131*30/160</f>
        <v>-17.117835959000878</v>
      </c>
      <c r="AD131">
        <v>0.72490142400000002</v>
      </c>
    </row>
    <row r="132" spans="1:52" ht="16" customHeight="1" x14ac:dyDescent="0.2">
      <c r="A132" s="5" t="s">
        <v>21</v>
      </c>
      <c r="B132" s="6">
        <v>44348</v>
      </c>
      <c r="C132" s="5" t="s">
        <v>25</v>
      </c>
      <c r="D132" s="5" t="s">
        <v>26</v>
      </c>
      <c r="E132" s="5" t="s">
        <v>15</v>
      </c>
      <c r="F132" s="90">
        <v>3</v>
      </c>
      <c r="G132" s="11" t="s">
        <v>27</v>
      </c>
      <c r="H132" s="11">
        <v>0.41319444444444442</v>
      </c>
      <c r="I132" s="5">
        <v>7</v>
      </c>
      <c r="J132" s="5" t="s">
        <v>30</v>
      </c>
      <c r="K132" s="5" t="s">
        <v>28</v>
      </c>
      <c r="L132" s="11">
        <v>0.4145833333333333</v>
      </c>
      <c r="M132" s="5">
        <v>17</v>
      </c>
      <c r="N132" s="5">
        <v>17</v>
      </c>
      <c r="O132" s="5">
        <v>13</v>
      </c>
      <c r="P132" s="7" t="s">
        <v>23</v>
      </c>
      <c r="Q132" s="7"/>
      <c r="R132" s="1">
        <f t="shared" si="19"/>
        <v>44348</v>
      </c>
      <c r="S132" s="34">
        <f>AVERAGE(M132:O132)</f>
        <v>15.666666666666666</v>
      </c>
      <c r="T132" s="37"/>
      <c r="U132" s="57"/>
      <c r="V132" s="38"/>
      <c r="W132" s="66"/>
      <c r="X132" s="74">
        <v>-49.69959032204612</v>
      </c>
      <c r="Y132" s="74">
        <v>-16.561576408115847</v>
      </c>
      <c r="Z132" s="74">
        <v>-14.927773626002278</v>
      </c>
      <c r="AA132" s="74">
        <v>-16.452745582376018</v>
      </c>
      <c r="AB132" s="74">
        <v>-17.130292804181259</v>
      </c>
      <c r="AC132" s="75">
        <f t="shared" si="22"/>
        <v>-17.268115265225084</v>
      </c>
      <c r="AD132">
        <v>1.2209218770000001</v>
      </c>
    </row>
    <row r="133" spans="1:52" ht="16" customHeight="1" x14ac:dyDescent="0.2">
      <c r="A133" s="5" t="s">
        <v>21</v>
      </c>
      <c r="B133" s="6">
        <v>44348</v>
      </c>
      <c r="C133" s="5" t="s">
        <v>25</v>
      </c>
      <c r="D133" s="5" t="s">
        <v>26</v>
      </c>
      <c r="E133" s="5" t="s">
        <v>15</v>
      </c>
      <c r="F133" s="90">
        <v>3</v>
      </c>
      <c r="G133" s="5" t="s">
        <v>27</v>
      </c>
      <c r="H133" s="11">
        <v>0.50416666666666665</v>
      </c>
      <c r="I133" s="5">
        <v>7</v>
      </c>
      <c r="J133" s="5" t="s">
        <v>31</v>
      </c>
      <c r="K133" s="5" t="s">
        <v>28</v>
      </c>
      <c r="L133" s="11">
        <v>0.50555555555555554</v>
      </c>
      <c r="M133" s="5">
        <v>13</v>
      </c>
      <c r="N133" s="5">
        <v>17</v>
      </c>
      <c r="O133" s="5">
        <v>15</v>
      </c>
      <c r="P133" s="7" t="s">
        <v>23</v>
      </c>
      <c r="Q133" s="7"/>
      <c r="R133" s="1">
        <f t="shared" si="19"/>
        <v>44348</v>
      </c>
      <c r="S133" s="34">
        <f t="shared" si="21"/>
        <v>15</v>
      </c>
      <c r="T133" s="39">
        <f>2200-1963</f>
        <v>237</v>
      </c>
      <c r="U133" s="57">
        <v>328.7</v>
      </c>
      <c r="V133" s="38">
        <v>11.115</v>
      </c>
      <c r="W133" s="66"/>
      <c r="X133" s="74">
        <v>-51.004925273673223</v>
      </c>
      <c r="Y133" s="74">
        <v>-16.676447411663997</v>
      </c>
      <c r="Z133" s="74">
        <v>-14.974903189026563</v>
      </c>
      <c r="AA133" s="74">
        <v>-16.614019056382368</v>
      </c>
      <c r="AB133" s="74">
        <v>-18.205315036500568</v>
      </c>
      <c r="AC133" s="75">
        <f t="shared" si="22"/>
        <v>-17.594881880028876</v>
      </c>
      <c r="AD133">
        <v>2.1374396359999999</v>
      </c>
    </row>
    <row r="134" spans="1:52" ht="16" customHeight="1" x14ac:dyDescent="0.2">
      <c r="A134" s="5" t="s">
        <v>21</v>
      </c>
      <c r="B134" s="6">
        <v>44348</v>
      </c>
      <c r="C134" s="5" t="s">
        <v>25</v>
      </c>
      <c r="D134" s="5" t="s">
        <v>26</v>
      </c>
      <c r="E134" s="5" t="s">
        <v>15</v>
      </c>
      <c r="F134" s="90">
        <v>3</v>
      </c>
      <c r="G134" s="11" t="s">
        <v>27</v>
      </c>
      <c r="H134" s="11">
        <v>0.61458333333333337</v>
      </c>
      <c r="I134" s="5">
        <v>7</v>
      </c>
      <c r="J134" s="5" t="s">
        <v>30</v>
      </c>
      <c r="K134" s="5" t="s">
        <v>28</v>
      </c>
      <c r="L134" s="11">
        <v>0.61805555555555558</v>
      </c>
      <c r="M134" s="5">
        <v>15</v>
      </c>
      <c r="N134" s="5">
        <v>20</v>
      </c>
      <c r="O134" s="5">
        <v>19</v>
      </c>
      <c r="P134" s="7" t="s">
        <v>23</v>
      </c>
      <c r="Q134" s="7"/>
      <c r="R134" s="1">
        <f t="shared" si="19"/>
        <v>44348</v>
      </c>
      <c r="S134" s="34">
        <f>AVERAGE(M134:O134)</f>
        <v>18</v>
      </c>
      <c r="T134" s="37"/>
      <c r="U134" s="57"/>
      <c r="V134" s="38"/>
      <c r="W134" s="66"/>
      <c r="X134" s="74">
        <v>-53.226975935439327</v>
      </c>
      <c r="Y134" s="74">
        <v>-16.89223124207053</v>
      </c>
      <c r="Z134" s="74">
        <v>-15.075738396348791</v>
      </c>
      <c r="AA134" s="74">
        <v>-16.864217177652872</v>
      </c>
      <c r="AB134" s="74">
        <v>-20.449097160099562</v>
      </c>
      <c r="AC134" s="75">
        <f t="shared" si="22"/>
        <v>-18.233477645833897</v>
      </c>
      <c r="AD134" s="86">
        <v>2.1374396359999999</v>
      </c>
    </row>
    <row r="135" spans="1:52" ht="16" customHeight="1" x14ac:dyDescent="0.2">
      <c r="A135" s="5" t="s">
        <v>21</v>
      </c>
      <c r="B135" s="6">
        <v>44348</v>
      </c>
      <c r="C135" s="5" t="s">
        <v>25</v>
      </c>
      <c r="D135" s="5" t="s">
        <v>26</v>
      </c>
      <c r="E135" s="5" t="s">
        <v>15</v>
      </c>
      <c r="F135" s="90">
        <v>3</v>
      </c>
      <c r="G135" s="11" t="s">
        <v>27</v>
      </c>
      <c r="H135" s="11">
        <v>0.7270833333333333</v>
      </c>
      <c r="I135" s="5">
        <v>7</v>
      </c>
      <c r="J135" s="5" t="s">
        <v>30</v>
      </c>
      <c r="K135" s="5" t="s">
        <v>28</v>
      </c>
      <c r="L135" s="11">
        <v>0.7284722222222223</v>
      </c>
      <c r="M135" s="5">
        <v>8</v>
      </c>
      <c r="N135" s="5">
        <v>8</v>
      </c>
      <c r="O135" s="5">
        <v>12</v>
      </c>
      <c r="P135" s="7" t="s">
        <v>23</v>
      </c>
      <c r="Q135" s="7"/>
      <c r="R135" s="1">
        <f t="shared" si="19"/>
        <v>44348</v>
      </c>
      <c r="S135" s="34">
        <f>AVERAGE(M135:O135)</f>
        <v>9.3333333333333339</v>
      </c>
      <c r="T135" s="37"/>
      <c r="U135" s="57"/>
      <c r="V135" s="38"/>
      <c r="W135" s="66"/>
      <c r="X135" s="74">
        <v>-54.716725352256546</v>
      </c>
      <c r="Y135" s="74">
        <v>-17.022899244620572</v>
      </c>
      <c r="Z135" s="74">
        <v>-15.164038526659372</v>
      </c>
      <c r="AA135" s="74">
        <v>-17.007041373601417</v>
      </c>
      <c r="AB135" s="74">
        <v>-21.281931583266861</v>
      </c>
      <c r="AC135" s="75">
        <f t="shared" si="22"/>
        <v>-18.530720226735287</v>
      </c>
      <c r="AD135">
        <v>1.6652112130000001</v>
      </c>
    </row>
    <row r="136" spans="1:52" ht="16" customHeight="1" x14ac:dyDescent="0.2">
      <c r="A136" s="8"/>
      <c r="B136" s="17"/>
      <c r="C136" s="8"/>
      <c r="D136" s="8"/>
      <c r="E136" s="8"/>
      <c r="F136" s="91"/>
      <c r="G136" s="15"/>
      <c r="H136" s="15"/>
      <c r="I136" s="8"/>
      <c r="J136" s="16"/>
      <c r="K136" s="8"/>
      <c r="L136" s="15"/>
      <c r="M136" s="8"/>
      <c r="N136" s="8"/>
      <c r="O136" s="8"/>
      <c r="P136" s="9"/>
      <c r="Q136" s="9"/>
      <c r="S136" s="34"/>
      <c r="T136" s="37"/>
      <c r="U136" s="57"/>
      <c r="V136" s="38"/>
      <c r="W136" s="66"/>
      <c r="X136" s="74"/>
      <c r="Y136" s="74"/>
      <c r="Z136" s="74"/>
      <c r="AA136" s="74"/>
      <c r="AB136" s="74"/>
      <c r="AC136" s="74"/>
      <c r="AD136" s="81"/>
    </row>
    <row r="137" spans="1:52" ht="16" customHeight="1" x14ac:dyDescent="0.2">
      <c r="A137" s="3" t="s">
        <v>21</v>
      </c>
      <c r="B137" s="1">
        <v>44398</v>
      </c>
      <c r="C137" s="3" t="s">
        <v>25</v>
      </c>
      <c r="D137" s="3" t="s">
        <v>35</v>
      </c>
      <c r="E137" s="3" t="s">
        <v>15</v>
      </c>
      <c r="F137" s="89">
        <v>3</v>
      </c>
      <c r="G137" s="10">
        <v>0.31944444444444442</v>
      </c>
      <c r="H137" s="10">
        <v>0.37152777777777773</v>
      </c>
      <c r="I137" s="3">
        <v>7</v>
      </c>
      <c r="J137" s="3" t="s">
        <v>30</v>
      </c>
      <c r="K137" s="3" t="s">
        <v>28</v>
      </c>
      <c r="L137" s="10">
        <v>0.37361111111111112</v>
      </c>
      <c r="M137" s="3">
        <v>7</v>
      </c>
      <c r="N137" s="3">
        <v>7</v>
      </c>
      <c r="O137" s="3">
        <v>8</v>
      </c>
      <c r="P137" t="s">
        <v>22</v>
      </c>
      <c r="Q137" t="s">
        <v>37</v>
      </c>
      <c r="R137" s="1">
        <f t="shared" ref="R137:R145" si="23">B137</f>
        <v>44398</v>
      </c>
      <c r="S137" s="34">
        <f t="shared" ref="S137:S145" si="24">AVERAGE(M137:O137)</f>
        <v>7.333333333333333</v>
      </c>
      <c r="T137" s="37"/>
      <c r="U137" s="57"/>
      <c r="V137" s="38"/>
      <c r="W137" s="66"/>
      <c r="X137" s="74">
        <v>-49.832894018329</v>
      </c>
      <c r="Y137" s="74">
        <v>-18.814329039997794</v>
      </c>
      <c r="Z137" s="74">
        <v>-86.153367659209025</v>
      </c>
      <c r="AA137" s="74">
        <v>-181.63232655648278</v>
      </c>
      <c r="AB137" s="74">
        <v>-221.61686831441025</v>
      </c>
      <c r="AC137" s="75">
        <f t="shared" ref="AC137:AC140" si="25">X137*5/160+Y137*45/160+Z137*40/160+AA137*40/160+AB137*30/160</f>
        <v>-115.34839434344704</v>
      </c>
      <c r="AD137">
        <v>0.84073598199999999</v>
      </c>
    </row>
    <row r="138" spans="1:52" ht="16" customHeight="1" x14ac:dyDescent="0.2">
      <c r="A138" s="3" t="s">
        <v>21</v>
      </c>
      <c r="B138" s="1">
        <v>44398</v>
      </c>
      <c r="C138" s="3" t="s">
        <v>25</v>
      </c>
      <c r="D138" s="3" t="s">
        <v>35</v>
      </c>
      <c r="E138" s="3" t="s">
        <v>15</v>
      </c>
      <c r="F138" s="89">
        <v>3</v>
      </c>
      <c r="G138" s="10">
        <v>0.46874999999999994</v>
      </c>
      <c r="H138" s="10">
        <v>0.51250000000000007</v>
      </c>
      <c r="I138" s="3">
        <v>7</v>
      </c>
      <c r="J138" s="3" t="s">
        <v>30</v>
      </c>
      <c r="K138" s="3" t="s">
        <v>28</v>
      </c>
      <c r="L138" s="10">
        <v>0.51527777777777783</v>
      </c>
      <c r="M138" s="3">
        <v>11</v>
      </c>
      <c r="N138" s="3">
        <v>14</v>
      </c>
      <c r="O138" s="3">
        <v>14</v>
      </c>
      <c r="P138" t="s">
        <v>22</v>
      </c>
      <c r="Q138" t="s">
        <v>38</v>
      </c>
      <c r="R138" s="1">
        <f t="shared" si="23"/>
        <v>44398</v>
      </c>
      <c r="S138" s="34">
        <f t="shared" si="24"/>
        <v>13</v>
      </c>
      <c r="T138" s="39">
        <f>2410-2128</f>
        <v>282</v>
      </c>
      <c r="U138" s="57">
        <v>465.43333333333334</v>
      </c>
      <c r="V138" s="38">
        <v>10.811999999999999</v>
      </c>
      <c r="W138" s="66"/>
      <c r="X138" s="74">
        <v>-53.724999108573492</v>
      </c>
      <c r="Y138" s="74">
        <v>-19.574588477736899</v>
      </c>
      <c r="Z138" s="74">
        <v>-87.741738072915069</v>
      </c>
      <c r="AA138" s="74">
        <v>-184.13268450049617</v>
      </c>
      <c r="AB138" s="74">
        <v>-232.79749405185993</v>
      </c>
      <c r="AC138" s="75">
        <f t="shared" si="25"/>
        <v>-118.80239500958297</v>
      </c>
      <c r="AD138">
        <v>1.771851724</v>
      </c>
    </row>
    <row r="139" spans="1:52" ht="16" customHeight="1" x14ac:dyDescent="0.2">
      <c r="A139" s="3" t="s">
        <v>21</v>
      </c>
      <c r="B139" s="1">
        <v>44398</v>
      </c>
      <c r="C139" s="3" t="s">
        <v>25</v>
      </c>
      <c r="D139" s="3" t="s">
        <v>35</v>
      </c>
      <c r="E139" s="3" t="s">
        <v>15</v>
      </c>
      <c r="F139" s="89">
        <v>3</v>
      </c>
      <c r="G139" s="10">
        <v>0.57986111111111116</v>
      </c>
      <c r="H139" s="10">
        <v>0.62152777777777779</v>
      </c>
      <c r="I139" s="3">
        <v>7</v>
      </c>
      <c r="J139" s="3" t="s">
        <v>30</v>
      </c>
      <c r="K139" s="3" t="s">
        <v>28</v>
      </c>
      <c r="L139" s="10">
        <v>0.62361111111111112</v>
      </c>
      <c r="M139" s="3">
        <v>9</v>
      </c>
      <c r="N139" s="3">
        <v>10</v>
      </c>
      <c r="O139" s="3">
        <v>12</v>
      </c>
      <c r="P139" t="s">
        <v>22</v>
      </c>
      <c r="Q139" t="s">
        <v>39</v>
      </c>
      <c r="R139" s="1">
        <f t="shared" si="23"/>
        <v>44398</v>
      </c>
      <c r="S139" s="34">
        <f t="shared" si="24"/>
        <v>10.333333333333334</v>
      </c>
      <c r="T139" s="37"/>
      <c r="U139" s="57"/>
      <c r="V139" s="38"/>
      <c r="W139" s="66"/>
      <c r="X139" s="74">
        <v>-56.827705723912217</v>
      </c>
      <c r="Y139" s="74">
        <v>-20.094762757482528</v>
      </c>
      <c r="Z139" s="74">
        <v>-88.996113307720805</v>
      </c>
      <c r="AA139" s="74">
        <v>-186.29332733608189</v>
      </c>
      <c r="AB139" s="74">
        <v>-243.05056952719383</v>
      </c>
      <c r="AC139" s="75">
        <f t="shared" si="25"/>
        <v>-121.82185977671374</v>
      </c>
      <c r="AD139" s="86">
        <v>1.771851724</v>
      </c>
    </row>
    <row r="140" spans="1:52" ht="16" customHeight="1" x14ac:dyDescent="0.2">
      <c r="A140" s="3" t="s">
        <v>21</v>
      </c>
      <c r="B140" s="1">
        <v>44398</v>
      </c>
      <c r="C140" s="3" t="s">
        <v>25</v>
      </c>
      <c r="D140" s="3" t="s">
        <v>35</v>
      </c>
      <c r="E140" s="3" t="s">
        <v>15</v>
      </c>
      <c r="F140" s="89">
        <v>3</v>
      </c>
      <c r="G140" s="10">
        <v>0.65625</v>
      </c>
      <c r="H140" s="10">
        <v>0.70486111111111116</v>
      </c>
      <c r="I140" s="3">
        <v>7</v>
      </c>
      <c r="J140" s="3" t="s">
        <v>30</v>
      </c>
      <c r="K140" s="3" t="s">
        <v>28</v>
      </c>
      <c r="L140" s="10">
        <v>0.70694444444444438</v>
      </c>
      <c r="M140" s="3">
        <v>9</v>
      </c>
      <c r="N140" s="3">
        <v>10</v>
      </c>
      <c r="O140" s="3">
        <v>11</v>
      </c>
      <c r="P140" t="s">
        <v>22</v>
      </c>
      <c r="Q140" t="s">
        <v>36</v>
      </c>
      <c r="R140" s="1">
        <f t="shared" si="23"/>
        <v>44398</v>
      </c>
      <c r="S140" s="34">
        <f t="shared" si="24"/>
        <v>10</v>
      </c>
      <c r="T140" s="37"/>
      <c r="U140" s="57"/>
      <c r="V140" s="38"/>
      <c r="W140" s="66"/>
      <c r="X140" s="74">
        <v>-59.974907405287084</v>
      </c>
      <c r="Y140" s="74">
        <v>-20.538659853670914</v>
      </c>
      <c r="Z140" s="74">
        <v>-89.589526860694292</v>
      </c>
      <c r="AA140" s="74">
        <v>-189.05481696425196</v>
      </c>
      <c r="AB140" s="74">
        <v>-252.36056533236911</v>
      </c>
      <c r="AC140" s="75">
        <f t="shared" si="25"/>
        <v>-124.62940589631593</v>
      </c>
      <c r="AD140">
        <v>2.2879598090000002</v>
      </c>
    </row>
    <row r="141" spans="1:52" ht="16" customHeight="1" x14ac:dyDescent="0.2">
      <c r="A141" s="5" t="s">
        <v>21</v>
      </c>
      <c r="B141" s="6">
        <v>44398</v>
      </c>
      <c r="C141" s="5" t="s">
        <v>25</v>
      </c>
      <c r="D141" s="5" t="s">
        <v>35</v>
      </c>
      <c r="E141" s="5" t="s">
        <v>15</v>
      </c>
      <c r="F141" s="90">
        <v>3</v>
      </c>
      <c r="G141" s="11" t="s">
        <v>27</v>
      </c>
      <c r="H141" s="11">
        <v>0.18124999999999999</v>
      </c>
      <c r="I141" s="5">
        <v>7</v>
      </c>
      <c r="J141" s="13" t="s">
        <v>27</v>
      </c>
      <c r="K141" s="5" t="s">
        <v>28</v>
      </c>
      <c r="L141" s="11">
        <v>0.18402777777777779</v>
      </c>
      <c r="M141" s="5">
        <v>3</v>
      </c>
      <c r="N141" s="5">
        <v>4</v>
      </c>
      <c r="O141" s="5">
        <v>4</v>
      </c>
      <c r="P141" s="7" t="s">
        <v>23</v>
      </c>
      <c r="Q141" s="7" t="s">
        <v>48</v>
      </c>
      <c r="R141" s="1">
        <f t="shared" si="23"/>
        <v>44398</v>
      </c>
      <c r="S141" s="34">
        <f t="shared" si="24"/>
        <v>3.6666666666666665</v>
      </c>
      <c r="T141" s="39">
        <f>2410-2147</f>
        <v>263</v>
      </c>
      <c r="U141" s="57"/>
      <c r="V141" s="40"/>
      <c r="W141" s="67"/>
      <c r="X141" s="75">
        <v>-48.782650509898801</v>
      </c>
      <c r="Y141" s="75">
        <v>-18.637732190731121</v>
      </c>
      <c r="Z141" s="75">
        <v>-87.070086424156756</v>
      </c>
      <c r="AA141" s="75">
        <v>-182.36614147303294</v>
      </c>
      <c r="AB141" s="75">
        <v>-227.45719634208393</v>
      </c>
      <c r="AC141" s="75">
        <f t="shared" ref="AC141:AC145" si="26">X141*5/160+Y141*45/160+Z141*40/160+AA141*40/160+AB141*30/160</f>
        <v>-116.77360129551563</v>
      </c>
      <c r="AD141">
        <v>0.82276844500000001</v>
      </c>
    </row>
    <row r="142" spans="1:52" ht="16" customHeight="1" x14ac:dyDescent="0.2">
      <c r="A142" s="5" t="s">
        <v>21</v>
      </c>
      <c r="B142" s="6">
        <v>44398</v>
      </c>
      <c r="C142" s="5" t="s">
        <v>25</v>
      </c>
      <c r="D142" s="5" t="s">
        <v>35</v>
      </c>
      <c r="E142" s="5" t="s">
        <v>15</v>
      </c>
      <c r="F142" s="90">
        <v>3</v>
      </c>
      <c r="G142" s="11" t="s">
        <v>27</v>
      </c>
      <c r="H142" s="11">
        <v>0.37638888888888888</v>
      </c>
      <c r="I142" s="5">
        <v>7</v>
      </c>
      <c r="J142" s="13" t="s">
        <v>30</v>
      </c>
      <c r="K142" s="5" t="s">
        <v>28</v>
      </c>
      <c r="L142" s="11">
        <v>0.37916666666666665</v>
      </c>
      <c r="M142" s="5">
        <v>16</v>
      </c>
      <c r="N142" s="5">
        <v>17</v>
      </c>
      <c r="O142" s="5">
        <v>20</v>
      </c>
      <c r="P142" s="7" t="s">
        <v>23</v>
      </c>
      <c r="Q142" s="7"/>
      <c r="R142" s="1">
        <f t="shared" si="23"/>
        <v>44398</v>
      </c>
      <c r="S142" s="34">
        <f t="shared" si="24"/>
        <v>17.666666666666668</v>
      </c>
      <c r="T142" s="37"/>
      <c r="U142" s="57"/>
      <c r="V142" s="38"/>
      <c r="W142" s="66"/>
      <c r="X142" s="74">
        <v>-49.832894018329</v>
      </c>
      <c r="Y142" s="74">
        <v>-18.814329039997794</v>
      </c>
      <c r="Z142" s="74">
        <v>-86.153367659209025</v>
      </c>
      <c r="AA142" s="74">
        <v>-181.63232655648278</v>
      </c>
      <c r="AB142" s="74">
        <v>-221.61686831441025</v>
      </c>
      <c r="AC142" s="75">
        <f t="shared" si="26"/>
        <v>-115.34839434344704</v>
      </c>
      <c r="AD142">
        <v>0.84073598199999999</v>
      </c>
      <c r="AW142" s="26" t="s">
        <v>56</v>
      </c>
    </row>
    <row r="143" spans="1:52" ht="16" customHeight="1" x14ac:dyDescent="0.2">
      <c r="A143" s="5" t="s">
        <v>21</v>
      </c>
      <c r="B143" s="6">
        <v>44398</v>
      </c>
      <c r="C143" s="5" t="s">
        <v>25</v>
      </c>
      <c r="D143" s="5" t="s">
        <v>35</v>
      </c>
      <c r="E143" s="5" t="s">
        <v>15</v>
      </c>
      <c r="F143" s="90">
        <v>3</v>
      </c>
      <c r="G143" s="11" t="s">
        <v>27</v>
      </c>
      <c r="H143" s="11">
        <v>0.51736111111111116</v>
      </c>
      <c r="I143" s="5">
        <v>7</v>
      </c>
      <c r="J143" s="13" t="s">
        <v>30</v>
      </c>
      <c r="K143" s="5" t="s">
        <v>28</v>
      </c>
      <c r="L143" s="11">
        <v>0.51875000000000004</v>
      </c>
      <c r="M143" s="5">
        <v>17</v>
      </c>
      <c r="N143" s="5">
        <v>19</v>
      </c>
      <c r="O143" s="5">
        <v>20</v>
      </c>
      <c r="P143" s="7" t="s">
        <v>23</v>
      </c>
      <c r="Q143" s="7"/>
      <c r="R143" s="1">
        <f t="shared" si="23"/>
        <v>44398</v>
      </c>
      <c r="S143" s="34">
        <f t="shared" si="24"/>
        <v>18.666666666666668</v>
      </c>
      <c r="T143" s="39">
        <f>2410-2128</f>
        <v>282</v>
      </c>
      <c r="U143" s="57">
        <v>465.43333333333334</v>
      </c>
      <c r="V143" s="38">
        <v>10.811999999999999</v>
      </c>
      <c r="W143" s="66"/>
      <c r="X143" s="74">
        <v>-53.724999108573492</v>
      </c>
      <c r="Y143" s="74">
        <v>-19.574588477736899</v>
      </c>
      <c r="Z143" s="74">
        <v>-87.741738072915069</v>
      </c>
      <c r="AA143" s="74">
        <v>-184.13268450049617</v>
      </c>
      <c r="AB143" s="74">
        <v>-232.79749405185993</v>
      </c>
      <c r="AC143" s="75">
        <f t="shared" si="26"/>
        <v>-118.80239500958297</v>
      </c>
      <c r="AD143">
        <v>1.771851724</v>
      </c>
      <c r="AW143" s="27">
        <f>AVERAGE(S45,S104,S167,S232,S308,S384)-AVERAGE(S47,S106,S169,S234,S310,S386)</f>
        <v>-0.6666666666666643</v>
      </c>
      <c r="AX143" s="27" t="s">
        <v>57</v>
      </c>
      <c r="AY143" s="27">
        <f>(AW143/AVERAGE(S47,S106,S169,S234,S310,S386))*-100</f>
        <v>2.1466905187835348</v>
      </c>
      <c r="AZ143" s="27" t="s">
        <v>58</v>
      </c>
    </row>
    <row r="144" spans="1:52" ht="16" customHeight="1" x14ac:dyDescent="0.2">
      <c r="A144" s="5" t="s">
        <v>21</v>
      </c>
      <c r="B144" s="6">
        <v>44398</v>
      </c>
      <c r="C144" s="5" t="s">
        <v>25</v>
      </c>
      <c r="D144" s="5" t="s">
        <v>35</v>
      </c>
      <c r="E144" s="5" t="s">
        <v>15</v>
      </c>
      <c r="F144" s="90">
        <v>3</v>
      </c>
      <c r="G144" s="11" t="s">
        <v>27</v>
      </c>
      <c r="H144" s="11">
        <v>0.62708333333333344</v>
      </c>
      <c r="I144" s="5">
        <v>7</v>
      </c>
      <c r="J144" s="13" t="s">
        <v>30</v>
      </c>
      <c r="K144" s="5" t="s">
        <v>28</v>
      </c>
      <c r="L144" s="11">
        <v>0.62916666666666676</v>
      </c>
      <c r="M144" s="5">
        <v>21</v>
      </c>
      <c r="N144" s="5">
        <v>22</v>
      </c>
      <c r="O144" s="23" t="s">
        <v>49</v>
      </c>
      <c r="P144" s="7" t="s">
        <v>23</v>
      </c>
      <c r="Q144" s="7"/>
      <c r="R144" s="1">
        <f t="shared" si="23"/>
        <v>44398</v>
      </c>
      <c r="S144" s="34">
        <f t="shared" si="24"/>
        <v>21.5</v>
      </c>
      <c r="T144" s="37"/>
      <c r="U144" s="57"/>
      <c r="V144" s="38"/>
      <c r="W144" s="66"/>
      <c r="X144" s="74">
        <v>-56.827705723912217</v>
      </c>
      <c r="Y144" s="74">
        <v>-20.094762757482528</v>
      </c>
      <c r="Z144" s="74">
        <v>-88.996113307720805</v>
      </c>
      <c r="AA144" s="74">
        <v>-186.29332733608189</v>
      </c>
      <c r="AB144" s="74">
        <v>-243.05056952719383</v>
      </c>
      <c r="AC144" s="75">
        <f t="shared" si="26"/>
        <v>-121.82185977671374</v>
      </c>
      <c r="AD144" s="86">
        <v>1.771851724</v>
      </c>
    </row>
    <row r="145" spans="1:49" ht="16" customHeight="1" x14ac:dyDescent="0.2">
      <c r="A145" s="5" t="s">
        <v>21</v>
      </c>
      <c r="B145" s="6">
        <v>44398</v>
      </c>
      <c r="C145" s="5" t="s">
        <v>25</v>
      </c>
      <c r="D145" s="5" t="s">
        <v>35</v>
      </c>
      <c r="E145" s="5" t="s">
        <v>15</v>
      </c>
      <c r="F145" s="90">
        <v>3</v>
      </c>
      <c r="G145" s="11" t="s">
        <v>27</v>
      </c>
      <c r="H145" s="11">
        <v>0.71180555555555558</v>
      </c>
      <c r="I145" s="5">
        <v>7</v>
      </c>
      <c r="J145" s="13" t="s">
        <v>30</v>
      </c>
      <c r="K145" s="5" t="s">
        <v>28</v>
      </c>
      <c r="L145" s="11">
        <v>0.71458333333333335</v>
      </c>
      <c r="M145" s="5">
        <v>21</v>
      </c>
      <c r="N145" s="5">
        <v>21</v>
      </c>
      <c r="O145" s="5">
        <v>24</v>
      </c>
      <c r="P145" s="7" t="s">
        <v>23</v>
      </c>
      <c r="Q145" s="7"/>
      <c r="R145" s="1">
        <f t="shared" si="23"/>
        <v>44398</v>
      </c>
      <c r="S145" s="34">
        <f t="shared" si="24"/>
        <v>22</v>
      </c>
      <c r="T145" s="37"/>
      <c r="U145" s="57"/>
      <c r="V145" s="38"/>
      <c r="W145" s="66"/>
      <c r="X145" s="74">
        <v>-59.974907405287084</v>
      </c>
      <c r="Y145" s="74">
        <v>-20.538659853670914</v>
      </c>
      <c r="Z145" s="74">
        <v>-89.589526860694292</v>
      </c>
      <c r="AA145" s="74">
        <v>-189.05481696425196</v>
      </c>
      <c r="AB145" s="74">
        <v>-252.36056533236911</v>
      </c>
      <c r="AC145" s="75">
        <f t="shared" si="26"/>
        <v>-124.62940589631593</v>
      </c>
      <c r="AD145">
        <v>2.2879598090000002</v>
      </c>
      <c r="AW145" s="54" t="s">
        <v>73</v>
      </c>
    </row>
    <row r="146" spans="1:49" ht="16" customHeight="1" x14ac:dyDescent="0.2">
      <c r="A146" s="8"/>
      <c r="B146" s="17"/>
      <c r="C146" s="8"/>
      <c r="D146" s="8"/>
      <c r="E146" s="8"/>
      <c r="F146" s="91"/>
      <c r="G146" s="15"/>
      <c r="H146" s="15"/>
      <c r="I146" s="8"/>
      <c r="J146" s="16"/>
      <c r="K146" s="8"/>
      <c r="L146" s="15"/>
      <c r="M146" s="8"/>
      <c r="N146" s="8"/>
      <c r="O146" s="8"/>
      <c r="P146" s="9"/>
      <c r="Q146" s="9"/>
      <c r="S146" s="34"/>
      <c r="T146" s="37"/>
      <c r="U146" s="57"/>
      <c r="V146" s="38"/>
      <c r="W146" s="66"/>
      <c r="X146" s="74"/>
      <c r="Y146" s="74"/>
      <c r="Z146" s="74"/>
      <c r="AA146" s="74"/>
      <c r="AB146" s="74"/>
      <c r="AC146" s="74"/>
      <c r="AD146" s="81"/>
    </row>
    <row r="147" spans="1:49" ht="16" customHeight="1" x14ac:dyDescent="0.2">
      <c r="A147" s="3" t="s">
        <v>21</v>
      </c>
      <c r="B147" s="1">
        <v>44434</v>
      </c>
      <c r="C147" s="3" t="s">
        <v>25</v>
      </c>
      <c r="D147" s="3" t="s">
        <v>51</v>
      </c>
      <c r="E147" s="3" t="s">
        <v>15</v>
      </c>
      <c r="F147" s="89">
        <v>3</v>
      </c>
      <c r="G147" s="10">
        <v>0.32083333333333336</v>
      </c>
      <c r="H147" s="10">
        <v>0.50555555555555554</v>
      </c>
      <c r="I147" s="3">
        <v>7</v>
      </c>
      <c r="J147" s="12" t="s">
        <v>30</v>
      </c>
      <c r="K147" s="3" t="s">
        <v>28</v>
      </c>
      <c r="L147" s="10">
        <v>0.50694444444444442</v>
      </c>
      <c r="M147" s="3">
        <v>15</v>
      </c>
      <c r="N147" s="3">
        <v>16</v>
      </c>
      <c r="O147" s="3">
        <v>22</v>
      </c>
      <c r="P147" t="s">
        <v>22</v>
      </c>
      <c r="Q147" t="s">
        <v>52</v>
      </c>
      <c r="R147" s="1">
        <f t="shared" ref="R147:R151" si="27">B147</f>
        <v>44434</v>
      </c>
      <c r="S147" s="34">
        <f t="shared" ref="S147:S165" si="28">AVERAGE(M147:O147)</f>
        <v>17.666666666666668</v>
      </c>
      <c r="T147" s="37">
        <f>2410-2098</f>
        <v>312</v>
      </c>
      <c r="U147" s="58">
        <v>378.3</v>
      </c>
      <c r="V147" s="38">
        <v>10.065</v>
      </c>
      <c r="W147" s="66"/>
      <c r="X147" s="74">
        <v>-3675.0985582773101</v>
      </c>
      <c r="Y147" s="74">
        <v>-650.17664645467198</v>
      </c>
      <c r="Z147" s="74">
        <v>-620.49262229435658</v>
      </c>
      <c r="AA147" s="74">
        <v>-646.23576273994286</v>
      </c>
      <c r="AB147" s="74">
        <v>-681.70975644848613</v>
      </c>
      <c r="AC147" s="75">
        <f t="shared" ref="AC147:AC148" si="29">X147*5/160+Y147*45/160+Z147*40/160+AA147*40/160+AB147*30/160</f>
        <v>-742.21168735420849</v>
      </c>
      <c r="AD147">
        <v>1.4185709550000001</v>
      </c>
    </row>
    <row r="148" spans="1:49" ht="16" customHeight="1" x14ac:dyDescent="0.2">
      <c r="A148" s="3" t="s">
        <v>21</v>
      </c>
      <c r="B148" s="1">
        <v>44434</v>
      </c>
      <c r="C148" s="3" t="s">
        <v>25</v>
      </c>
      <c r="D148" s="3" t="s">
        <v>51</v>
      </c>
      <c r="E148" s="3" t="s">
        <v>15</v>
      </c>
      <c r="F148" s="89">
        <v>3</v>
      </c>
      <c r="G148" s="10">
        <v>0.57916666666666672</v>
      </c>
      <c r="H148" s="10">
        <v>0.62430555555555556</v>
      </c>
      <c r="I148" s="3">
        <v>7</v>
      </c>
      <c r="J148" s="12" t="s">
        <v>29</v>
      </c>
      <c r="K148" s="3" t="s">
        <v>28</v>
      </c>
      <c r="L148" s="10">
        <v>0.62708333333333333</v>
      </c>
      <c r="M148" s="3">
        <v>19</v>
      </c>
      <c r="N148" s="3">
        <v>21</v>
      </c>
      <c r="O148" s="24" t="s">
        <v>49</v>
      </c>
      <c r="P148" t="s">
        <v>22</v>
      </c>
      <c r="R148" s="1">
        <f t="shared" si="27"/>
        <v>44434</v>
      </c>
      <c r="S148" s="34">
        <f>AVERAGE(M148:O148)</f>
        <v>20</v>
      </c>
      <c r="T148" s="37"/>
      <c r="U148" s="57"/>
      <c r="V148" s="38"/>
      <c r="W148" s="66"/>
      <c r="X148" s="74">
        <v>-3862.9874206179275</v>
      </c>
      <c r="Y148" s="74">
        <v>-668.77987481699597</v>
      </c>
      <c r="Z148" s="74">
        <v>-635.11718193716911</v>
      </c>
      <c r="AA148" s="74">
        <v>-665.63391945400951</v>
      </c>
      <c r="AB148" s="74">
        <v>-690.28224568511723</v>
      </c>
      <c r="AC148" s="75">
        <f t="shared" si="29"/>
        <v>-763.42839310034446</v>
      </c>
      <c r="AD148">
        <v>2.030826501</v>
      </c>
    </row>
    <row r="149" spans="1:49" ht="16" customHeight="1" x14ac:dyDescent="0.2">
      <c r="A149" s="5" t="s">
        <v>21</v>
      </c>
      <c r="B149" s="6">
        <v>44434</v>
      </c>
      <c r="C149" s="5" t="s">
        <v>25</v>
      </c>
      <c r="D149" s="5" t="s">
        <v>51</v>
      </c>
      <c r="E149" s="5" t="s">
        <v>15</v>
      </c>
      <c r="F149" s="90">
        <v>3</v>
      </c>
      <c r="G149" s="11" t="s">
        <v>27</v>
      </c>
      <c r="H149" s="11">
        <v>0.15347222222222223</v>
      </c>
      <c r="I149" s="5">
        <v>7</v>
      </c>
      <c r="J149" s="13" t="s">
        <v>27</v>
      </c>
      <c r="K149" s="5" t="s">
        <v>28</v>
      </c>
      <c r="L149" s="11">
        <v>0.15763888888888888</v>
      </c>
      <c r="M149" s="5">
        <v>9</v>
      </c>
      <c r="N149" s="5">
        <v>9</v>
      </c>
      <c r="O149" s="5">
        <v>10</v>
      </c>
      <c r="P149" s="7" t="s">
        <v>23</v>
      </c>
      <c r="Q149" s="7"/>
      <c r="R149" s="1">
        <f t="shared" si="27"/>
        <v>44434</v>
      </c>
      <c r="S149" s="34">
        <f t="shared" si="28"/>
        <v>9.3333333333333339</v>
      </c>
      <c r="T149" s="39">
        <f>2410-2125</f>
        <v>285</v>
      </c>
      <c r="U149" s="58"/>
      <c r="V149" s="40"/>
      <c r="W149" s="67"/>
      <c r="X149" s="75">
        <v>-3322.3949856960926</v>
      </c>
      <c r="Y149" s="75">
        <v>-644.368458674821</v>
      </c>
      <c r="Z149" s="75">
        <v>-610.77652309082998</v>
      </c>
      <c r="AA149" s="75">
        <v>-644.78414528678366</v>
      </c>
      <c r="AB149" s="75">
        <v>-681.5331071889342</v>
      </c>
      <c r="AC149" s="75">
        <f t="shared" ref="AC149:AC151" si="30">X149*5/160+Y149*45/160+Z149*40/160+AA149*40/160+AB149*30/160</f>
        <v>-726.73109699762483</v>
      </c>
      <c r="AD149">
        <v>0.29313344699999999</v>
      </c>
    </row>
    <row r="150" spans="1:49" ht="16" customHeight="1" x14ac:dyDescent="0.2">
      <c r="A150" s="5" t="s">
        <v>21</v>
      </c>
      <c r="B150" s="6">
        <v>44434</v>
      </c>
      <c r="C150" s="5" t="s">
        <v>25</v>
      </c>
      <c r="D150" s="5" t="s">
        <v>51</v>
      </c>
      <c r="E150" s="5" t="s">
        <v>15</v>
      </c>
      <c r="F150" s="90">
        <v>3</v>
      </c>
      <c r="G150" s="11" t="s">
        <v>27</v>
      </c>
      <c r="H150" s="11">
        <v>0.51041666666666663</v>
      </c>
      <c r="I150" s="5">
        <v>7</v>
      </c>
      <c r="J150" s="13" t="s">
        <v>30</v>
      </c>
      <c r="K150" s="5" t="s">
        <v>28</v>
      </c>
      <c r="L150" s="11">
        <v>0.51527777777777783</v>
      </c>
      <c r="M150" s="5">
        <v>27</v>
      </c>
      <c r="N150" s="5">
        <v>27</v>
      </c>
      <c r="O150" s="5">
        <v>29</v>
      </c>
      <c r="P150" s="7" t="s">
        <v>23</v>
      </c>
      <c r="Q150" s="7" t="s">
        <v>52</v>
      </c>
      <c r="R150" s="1">
        <f t="shared" si="27"/>
        <v>44434</v>
      </c>
      <c r="S150" s="34">
        <f t="shared" si="28"/>
        <v>27.666666666666668</v>
      </c>
      <c r="T150" s="37">
        <f>2410-2098</f>
        <v>312</v>
      </c>
      <c r="U150" s="58">
        <v>378.3</v>
      </c>
      <c r="V150" s="38">
        <v>10.065</v>
      </c>
      <c r="W150" s="66"/>
      <c r="X150" s="74">
        <v>-3675.0985582773101</v>
      </c>
      <c r="Y150" s="74">
        <v>-650.17664645467198</v>
      </c>
      <c r="Z150" s="74">
        <v>-620.49262229435658</v>
      </c>
      <c r="AA150" s="74">
        <v>-646.23576273994286</v>
      </c>
      <c r="AB150" s="74">
        <v>-681.70975644848613</v>
      </c>
      <c r="AC150" s="75">
        <f t="shared" si="30"/>
        <v>-742.21168735420849</v>
      </c>
      <c r="AD150">
        <v>1.4185709550000001</v>
      </c>
    </row>
    <row r="151" spans="1:49" ht="16" customHeight="1" x14ac:dyDescent="0.2">
      <c r="A151" s="5" t="s">
        <v>21</v>
      </c>
      <c r="B151" s="6">
        <v>44434</v>
      </c>
      <c r="C151" s="5" t="s">
        <v>25</v>
      </c>
      <c r="D151" s="5" t="s">
        <v>51</v>
      </c>
      <c r="E151" s="5" t="s">
        <v>15</v>
      </c>
      <c r="F151" s="90">
        <v>3</v>
      </c>
      <c r="G151" s="11" t="s">
        <v>27</v>
      </c>
      <c r="H151" s="11">
        <v>0.63055555555555554</v>
      </c>
      <c r="I151" s="5">
        <v>7</v>
      </c>
      <c r="J151" s="13" t="s">
        <v>30</v>
      </c>
      <c r="K151" s="5" t="s">
        <v>28</v>
      </c>
      <c r="L151" s="11">
        <v>0.63402777777777775</v>
      </c>
      <c r="M151" s="5">
        <v>25</v>
      </c>
      <c r="N151" s="5">
        <v>27</v>
      </c>
      <c r="O151" s="5">
        <v>29</v>
      </c>
      <c r="P151" s="7" t="s">
        <v>23</v>
      </c>
      <c r="Q151" s="7"/>
      <c r="R151" s="1">
        <f t="shared" si="27"/>
        <v>44434</v>
      </c>
      <c r="S151" s="34">
        <f t="shared" si="28"/>
        <v>27</v>
      </c>
      <c r="T151" s="37"/>
      <c r="U151" s="57"/>
      <c r="V151" s="38"/>
      <c r="W151" s="66"/>
      <c r="X151" s="74">
        <v>-3862.9874206179275</v>
      </c>
      <c r="Y151" s="74">
        <v>-668.77987481699597</v>
      </c>
      <c r="Z151" s="74">
        <v>-635.11718193716911</v>
      </c>
      <c r="AA151" s="74">
        <v>-665.63391945400951</v>
      </c>
      <c r="AB151" s="74">
        <v>-690.28224568511723</v>
      </c>
      <c r="AC151" s="75">
        <f t="shared" si="30"/>
        <v>-763.42839310034446</v>
      </c>
      <c r="AD151">
        <v>2.030826501</v>
      </c>
    </row>
    <row r="152" spans="1:49" ht="16" customHeight="1" x14ac:dyDescent="0.2">
      <c r="A152" s="8"/>
      <c r="B152" s="17"/>
      <c r="C152" s="8"/>
      <c r="D152" s="8"/>
      <c r="E152" s="8"/>
      <c r="F152" s="91"/>
      <c r="G152" s="8"/>
      <c r="H152" s="8"/>
      <c r="I152" s="8"/>
      <c r="J152" s="8"/>
      <c r="K152" s="8"/>
      <c r="L152" s="8"/>
      <c r="M152" s="8"/>
      <c r="N152" s="8"/>
      <c r="O152" s="8"/>
      <c r="P152" s="9"/>
      <c r="Q152" s="9"/>
      <c r="S152" s="34"/>
      <c r="T152" s="37"/>
      <c r="U152" s="57"/>
      <c r="V152" s="38"/>
      <c r="W152" s="66"/>
      <c r="X152" s="74"/>
      <c r="Y152" s="74"/>
      <c r="Z152" s="74"/>
      <c r="AA152" s="74"/>
      <c r="AB152" s="74"/>
      <c r="AC152" s="74"/>
      <c r="AD152" s="81"/>
    </row>
    <row r="153" spans="1:49" ht="16" customHeight="1" x14ac:dyDescent="0.2">
      <c r="A153" s="3" t="s">
        <v>21</v>
      </c>
      <c r="B153" s="1">
        <v>44446</v>
      </c>
      <c r="C153" s="3" t="s">
        <v>25</v>
      </c>
      <c r="D153" s="3" t="s">
        <v>25</v>
      </c>
      <c r="E153" s="3" t="s">
        <v>15</v>
      </c>
      <c r="F153" s="89">
        <v>3</v>
      </c>
      <c r="G153" s="10">
        <v>0.4548611111111111</v>
      </c>
      <c r="H153" s="10">
        <v>0.52430555555555558</v>
      </c>
      <c r="I153" s="3">
        <v>7</v>
      </c>
      <c r="J153" s="12" t="s">
        <v>30</v>
      </c>
      <c r="K153" s="3" t="s">
        <v>53</v>
      </c>
      <c r="L153" s="10">
        <v>0.52569444444444446</v>
      </c>
      <c r="M153" s="3">
        <v>26</v>
      </c>
      <c r="N153" s="3">
        <v>27</v>
      </c>
      <c r="O153" s="3">
        <v>27</v>
      </c>
      <c r="P153" t="s">
        <v>22</v>
      </c>
      <c r="Q153" t="s">
        <v>54</v>
      </c>
      <c r="R153" s="1">
        <f t="shared" ref="R153:R157" si="31">B153</f>
        <v>44446</v>
      </c>
      <c r="S153" s="34">
        <f t="shared" si="28"/>
        <v>26.666666666666668</v>
      </c>
      <c r="T153" s="37">
        <f>2410-1930</f>
        <v>480</v>
      </c>
      <c r="U153" s="57">
        <v>244.12500000000003</v>
      </c>
      <c r="V153" s="38">
        <v>9.1850000000000005</v>
      </c>
      <c r="W153" s="66"/>
      <c r="X153" s="74">
        <v>-7206.7914822496459</v>
      </c>
      <c r="Y153" s="74">
        <v>-1090.8805233601524</v>
      </c>
      <c r="Z153" s="74">
        <v>-1062.8247590622689</v>
      </c>
      <c r="AA153" s="74">
        <v>-1115.5957143079797</v>
      </c>
      <c r="AB153" s="74">
        <v>-1078.8178764463396</v>
      </c>
      <c r="AC153" s="75">
        <f t="shared" ref="AC153:AC154" si="32">X153*5/160+Y153*45/160+Z153*40/160+AA153*40/160+AB153*30/160</f>
        <v>-1278.905851191595</v>
      </c>
      <c r="AD153">
        <v>2.0530380149999998</v>
      </c>
    </row>
    <row r="154" spans="1:49" ht="16" customHeight="1" x14ac:dyDescent="0.2">
      <c r="A154" s="3" t="s">
        <v>21</v>
      </c>
      <c r="B154" s="1">
        <v>44446</v>
      </c>
      <c r="C154" s="3" t="s">
        <v>25</v>
      </c>
      <c r="D154" s="3" t="s">
        <v>25</v>
      </c>
      <c r="E154" s="3" t="s">
        <v>15</v>
      </c>
      <c r="F154" s="89">
        <v>3</v>
      </c>
      <c r="G154" s="10">
        <v>0.57638888888888895</v>
      </c>
      <c r="H154" s="10">
        <v>0.63611111111111118</v>
      </c>
      <c r="I154" s="3">
        <v>7</v>
      </c>
      <c r="J154" s="12" t="s">
        <v>30</v>
      </c>
      <c r="K154" s="3" t="s">
        <v>28</v>
      </c>
      <c r="L154" s="10">
        <v>0.63750000000000007</v>
      </c>
      <c r="M154" s="3">
        <v>27</v>
      </c>
      <c r="N154" s="3">
        <v>27</v>
      </c>
      <c r="O154" s="3">
        <v>29</v>
      </c>
      <c r="P154" t="s">
        <v>22</v>
      </c>
      <c r="R154" s="1">
        <f t="shared" si="31"/>
        <v>44446</v>
      </c>
      <c r="S154" s="34">
        <f t="shared" si="28"/>
        <v>27.666666666666668</v>
      </c>
      <c r="T154" s="37"/>
      <c r="U154" s="57"/>
      <c r="V154" s="38"/>
      <c r="W154" s="66"/>
      <c r="X154" s="74">
        <v>-7772.3905887841829</v>
      </c>
      <c r="Y154" s="74">
        <v>-1107.9794915167781</v>
      </c>
      <c r="Z154" s="74">
        <v>-1071.7966102795567</v>
      </c>
      <c r="AA154" s="74">
        <v>-1125.5040549522528</v>
      </c>
      <c r="AB154" s="74">
        <v>-1092.6734330985914</v>
      </c>
      <c r="AC154" s="75">
        <f t="shared" si="32"/>
        <v>-1308.7078729025377</v>
      </c>
      <c r="AD154">
        <v>2.2348800600000001</v>
      </c>
    </row>
    <row r="155" spans="1:49" ht="16" customHeight="1" x14ac:dyDescent="0.2">
      <c r="A155" s="5" t="s">
        <v>21</v>
      </c>
      <c r="B155" s="6">
        <v>44446</v>
      </c>
      <c r="C155" s="5" t="s">
        <v>25</v>
      </c>
      <c r="D155" s="5" t="s">
        <v>25</v>
      </c>
      <c r="E155" s="5" t="s">
        <v>15</v>
      </c>
      <c r="F155" s="90">
        <v>3</v>
      </c>
      <c r="G155" s="11" t="s">
        <v>27</v>
      </c>
      <c r="H155" s="11">
        <v>0.20555555555555557</v>
      </c>
      <c r="I155" s="5">
        <v>7</v>
      </c>
      <c r="J155" s="13" t="s">
        <v>27</v>
      </c>
      <c r="K155" s="5" t="s">
        <v>28</v>
      </c>
      <c r="L155" s="11">
        <v>0.20694444444444446</v>
      </c>
      <c r="M155" s="5">
        <v>18</v>
      </c>
      <c r="N155" s="5">
        <v>19</v>
      </c>
      <c r="O155" s="5">
        <v>20</v>
      </c>
      <c r="P155" s="7" t="s">
        <v>23</v>
      </c>
      <c r="Q155" s="7" t="s">
        <v>55</v>
      </c>
      <c r="R155" s="1">
        <f t="shared" si="31"/>
        <v>44446</v>
      </c>
      <c r="S155" s="34">
        <f t="shared" si="28"/>
        <v>19</v>
      </c>
      <c r="T155" s="37">
        <f>2410-1973</f>
        <v>437</v>
      </c>
      <c r="U155" s="57"/>
      <c r="V155" s="38"/>
      <c r="W155" s="66"/>
      <c r="X155" s="74">
        <v>-6899.5746347123813</v>
      </c>
      <c r="Y155" s="74">
        <v>-1076.5907535782039</v>
      </c>
      <c r="Z155" s="74">
        <v>-1050.697230628281</v>
      </c>
      <c r="AA155" s="74">
        <v>-1110.6677978682849</v>
      </c>
      <c r="AB155" s="74">
        <v>-1076.4576088777128</v>
      </c>
      <c r="AC155" s="75">
        <f t="shared" ref="AC155:AC157" si="33">X155*5/160+Y155*45/160+Z155*40/160+AA155*40/160+AB155*30/160</f>
        <v>-1260.5799155673444</v>
      </c>
      <c r="AD155">
        <v>0.72385646000000003</v>
      </c>
    </row>
    <row r="156" spans="1:49" ht="16" customHeight="1" x14ac:dyDescent="0.2">
      <c r="A156" s="5" t="s">
        <v>21</v>
      </c>
      <c r="B156" s="6">
        <v>44446</v>
      </c>
      <c r="C156" s="5" t="s">
        <v>25</v>
      </c>
      <c r="D156" s="5" t="s">
        <v>25</v>
      </c>
      <c r="E156" s="5" t="s">
        <v>15</v>
      </c>
      <c r="F156" s="90">
        <v>3</v>
      </c>
      <c r="G156" s="11" t="s">
        <v>27</v>
      </c>
      <c r="H156" s="11">
        <v>0.52083333333333337</v>
      </c>
      <c r="I156" s="5">
        <v>7</v>
      </c>
      <c r="J156" s="13" t="s">
        <v>30</v>
      </c>
      <c r="K156" s="5" t="s">
        <v>53</v>
      </c>
      <c r="L156" s="11">
        <v>0.5229166666666667</v>
      </c>
      <c r="M156" s="5">
        <v>29</v>
      </c>
      <c r="N156" s="5">
        <v>30</v>
      </c>
      <c r="O156" s="5">
        <v>31</v>
      </c>
      <c r="P156" s="7" t="s">
        <v>23</v>
      </c>
      <c r="Q156" s="7" t="s">
        <v>54</v>
      </c>
      <c r="R156" s="1">
        <f t="shared" si="31"/>
        <v>44446</v>
      </c>
      <c r="S156" s="34">
        <f t="shared" si="28"/>
        <v>30</v>
      </c>
      <c r="T156" s="37">
        <f>2410-1930</f>
        <v>480</v>
      </c>
      <c r="U156" s="57">
        <v>244.12500000000003</v>
      </c>
      <c r="V156" s="38">
        <v>9.1850000000000005</v>
      </c>
      <c r="W156" s="66"/>
      <c r="X156" s="74">
        <v>-7206.7914822496459</v>
      </c>
      <c r="Y156" s="74">
        <v>-1090.8805233601524</v>
      </c>
      <c r="Z156" s="74">
        <v>-1062.8247590622689</v>
      </c>
      <c r="AA156" s="74">
        <v>-1115.5957143079797</v>
      </c>
      <c r="AB156" s="74">
        <v>-1078.8178764463396</v>
      </c>
      <c r="AC156" s="75">
        <f t="shared" si="33"/>
        <v>-1278.905851191595</v>
      </c>
      <c r="AD156">
        <v>2.0530380149999998</v>
      </c>
    </row>
    <row r="157" spans="1:49" ht="16" customHeight="1" x14ac:dyDescent="0.2">
      <c r="A157" s="5" t="s">
        <v>21</v>
      </c>
      <c r="B157" s="6">
        <v>44446</v>
      </c>
      <c r="C157" s="5" t="s">
        <v>25</v>
      </c>
      <c r="D157" s="5" t="s">
        <v>25</v>
      </c>
      <c r="E157" s="5" t="s">
        <v>15</v>
      </c>
      <c r="F157" s="90">
        <v>3</v>
      </c>
      <c r="G157" s="11" t="s">
        <v>27</v>
      </c>
      <c r="H157" s="11">
        <v>0.63402777777777775</v>
      </c>
      <c r="I157" s="5">
        <v>7</v>
      </c>
      <c r="J157" s="13" t="s">
        <v>30</v>
      </c>
      <c r="K157" s="5" t="s">
        <v>28</v>
      </c>
      <c r="L157" s="11">
        <v>0.63541666666666663</v>
      </c>
      <c r="M157" s="5">
        <v>30</v>
      </c>
      <c r="N157" s="5">
        <v>31</v>
      </c>
      <c r="O157" s="5">
        <v>32</v>
      </c>
      <c r="P157" s="7" t="s">
        <v>23</v>
      </c>
      <c r="Q157" s="7"/>
      <c r="R157" s="1">
        <f t="shared" si="31"/>
        <v>44446</v>
      </c>
      <c r="S157" s="34">
        <f t="shared" si="28"/>
        <v>31</v>
      </c>
      <c r="T157" s="37"/>
      <c r="U157" s="57"/>
      <c r="V157" s="38"/>
      <c r="W157" s="66"/>
      <c r="X157" s="74">
        <v>-7772.3905887841829</v>
      </c>
      <c r="Y157" s="74">
        <v>-1107.9794915167781</v>
      </c>
      <c r="Z157" s="74">
        <v>-1071.7966102795567</v>
      </c>
      <c r="AA157" s="74">
        <v>-1125.5040549522528</v>
      </c>
      <c r="AB157" s="74">
        <v>-1092.6734330985914</v>
      </c>
      <c r="AC157" s="75">
        <f t="shared" si="33"/>
        <v>-1308.7078729025377</v>
      </c>
      <c r="AD157">
        <v>2.2348800600000001</v>
      </c>
    </row>
    <row r="158" spans="1:49" ht="16" customHeight="1" x14ac:dyDescent="0.2">
      <c r="A158" s="8"/>
      <c r="B158" s="17"/>
      <c r="C158" s="8"/>
      <c r="D158" s="8"/>
      <c r="E158" s="8"/>
      <c r="F158" s="91"/>
      <c r="G158" s="15"/>
      <c r="H158" s="15"/>
      <c r="I158" s="8"/>
      <c r="J158" s="16"/>
      <c r="K158" s="8"/>
      <c r="L158" s="15"/>
      <c r="M158" s="8"/>
      <c r="N158" s="8"/>
      <c r="O158" s="8"/>
      <c r="P158" s="9"/>
      <c r="Q158" s="9"/>
      <c r="S158" s="34"/>
      <c r="T158" s="37"/>
      <c r="U158" s="57"/>
      <c r="V158" s="38"/>
      <c r="W158" s="66"/>
      <c r="X158" s="74"/>
      <c r="Y158" s="74"/>
      <c r="Z158" s="74"/>
      <c r="AA158" s="74"/>
      <c r="AB158" s="74"/>
      <c r="AC158" s="74"/>
      <c r="AD158" s="81"/>
    </row>
    <row r="159" spans="1:49" ht="16" customHeight="1" x14ac:dyDescent="0.2">
      <c r="A159" s="3" t="s">
        <v>21</v>
      </c>
      <c r="B159" s="1">
        <v>44726</v>
      </c>
      <c r="C159" s="3" t="s">
        <v>25</v>
      </c>
      <c r="D159" s="3" t="s">
        <v>26</v>
      </c>
      <c r="E159" s="3" t="s">
        <v>15</v>
      </c>
      <c r="F159" s="89">
        <v>3</v>
      </c>
      <c r="G159" s="10">
        <v>0.32291666666666669</v>
      </c>
      <c r="H159" s="10">
        <v>0.36041666666666666</v>
      </c>
      <c r="I159" s="3">
        <v>7</v>
      </c>
      <c r="J159" s="3" t="s">
        <v>30</v>
      </c>
      <c r="K159" s="3" t="s">
        <v>28</v>
      </c>
      <c r="L159" s="10">
        <v>0.3611111111111111</v>
      </c>
      <c r="M159" s="3">
        <v>18</v>
      </c>
      <c r="N159" s="3">
        <v>18</v>
      </c>
      <c r="O159" s="3">
        <v>18</v>
      </c>
      <c r="P159" t="s">
        <v>22</v>
      </c>
      <c r="R159" s="1">
        <f t="shared" ref="R159:R165" si="34">B159</f>
        <v>44726</v>
      </c>
      <c r="S159" s="34">
        <f t="shared" si="28"/>
        <v>18</v>
      </c>
      <c r="T159" s="37"/>
      <c r="U159" s="57"/>
      <c r="V159" s="38"/>
      <c r="W159" s="66"/>
      <c r="X159" s="74">
        <v>-3424.5977007519132</v>
      </c>
      <c r="Y159" s="74">
        <v>-906.93563329015922</v>
      </c>
      <c r="Z159" s="74">
        <v>-892.11788322450479</v>
      </c>
      <c r="AA159" s="74">
        <v>-928.16722321924135</v>
      </c>
      <c r="AB159" s="74">
        <v>-962.57250342475402</v>
      </c>
      <c r="AC159" s="75">
        <f t="shared" ref="AC159:AC161" si="35">X159*5/160+Y159*45/160+Z159*40/160+AA159*40/160+AB159*30/160</f>
        <v>-997.64794601443248</v>
      </c>
      <c r="AD159">
        <v>1.2359881509999999</v>
      </c>
    </row>
    <row r="160" spans="1:49" ht="16" customHeight="1" x14ac:dyDescent="0.2">
      <c r="A160" s="3" t="s">
        <v>21</v>
      </c>
      <c r="B160" s="1">
        <v>44726</v>
      </c>
      <c r="C160" s="3" t="s">
        <v>25</v>
      </c>
      <c r="D160" s="3" t="s">
        <v>26</v>
      </c>
      <c r="E160" s="3" t="s">
        <v>15</v>
      </c>
      <c r="F160" s="89">
        <v>3</v>
      </c>
      <c r="G160" s="10">
        <v>0.45763888888888887</v>
      </c>
      <c r="H160" s="10">
        <v>0.5083333333333333</v>
      </c>
      <c r="I160" s="3">
        <v>7</v>
      </c>
      <c r="J160" s="3" t="s">
        <v>29</v>
      </c>
      <c r="K160" s="3" t="s">
        <v>28</v>
      </c>
      <c r="L160" s="10">
        <v>0.50902777777777775</v>
      </c>
      <c r="M160" s="3">
        <v>23</v>
      </c>
      <c r="N160" s="3">
        <v>24</v>
      </c>
      <c r="O160" s="3">
        <v>24</v>
      </c>
      <c r="P160" t="s">
        <v>22</v>
      </c>
      <c r="R160" s="1">
        <f t="shared" si="34"/>
        <v>44726</v>
      </c>
      <c r="S160" s="34">
        <f t="shared" si="28"/>
        <v>23.666666666666668</v>
      </c>
      <c r="T160" s="37">
        <f>2540-2230</f>
        <v>310</v>
      </c>
      <c r="U160" s="57">
        <v>115.9</v>
      </c>
      <c r="V160" s="41">
        <v>6.5060000000000002</v>
      </c>
      <c r="W160" s="68"/>
      <c r="X160" s="76">
        <v>-3603.6439309167195</v>
      </c>
      <c r="Y160" s="76">
        <v>-918.44261659327492</v>
      </c>
      <c r="Z160" s="76">
        <v>-904.199962396724</v>
      </c>
      <c r="AA160" s="76">
        <v>-935.66056642822878</v>
      </c>
      <c r="AB160" s="76">
        <v>-963.44505661747337</v>
      </c>
      <c r="AC160" s="75">
        <f t="shared" si="35"/>
        <v>-1011.5369390800206</v>
      </c>
      <c r="AD160">
        <v>2.2539286129999998</v>
      </c>
    </row>
    <row r="161" spans="1:52" ht="16" customHeight="1" x14ac:dyDescent="0.2">
      <c r="A161" s="3" t="s">
        <v>21</v>
      </c>
      <c r="B161" s="1">
        <v>44726</v>
      </c>
      <c r="C161" s="3" t="s">
        <v>25</v>
      </c>
      <c r="D161" s="3" t="s">
        <v>26</v>
      </c>
      <c r="E161" s="3" t="s">
        <v>15</v>
      </c>
      <c r="F161" s="89">
        <v>3</v>
      </c>
      <c r="G161" s="10">
        <v>0.58750000000000002</v>
      </c>
      <c r="H161" s="10">
        <v>0.62916666666666665</v>
      </c>
      <c r="I161" s="3">
        <v>7</v>
      </c>
      <c r="J161" s="3" t="s">
        <v>30</v>
      </c>
      <c r="K161" s="3" t="s">
        <v>28</v>
      </c>
      <c r="L161" s="10">
        <v>0.63055555555555554</v>
      </c>
      <c r="M161" s="3">
        <v>21</v>
      </c>
      <c r="N161" s="3">
        <v>22</v>
      </c>
      <c r="O161" s="3">
        <v>23</v>
      </c>
      <c r="P161" t="s">
        <v>22</v>
      </c>
      <c r="R161" s="1">
        <f t="shared" si="34"/>
        <v>44726</v>
      </c>
      <c r="S161" s="34">
        <f t="shared" si="28"/>
        <v>22</v>
      </c>
      <c r="T161" s="37"/>
      <c r="U161" s="57"/>
      <c r="V161" s="38"/>
      <c r="W161" s="66"/>
      <c r="X161" s="74">
        <v>-3643.4085533848061</v>
      </c>
      <c r="Y161" s="74">
        <v>-935.22905187652373</v>
      </c>
      <c r="Z161" s="74">
        <v>-911.15880282926685</v>
      </c>
      <c r="AA161" s="74">
        <v>-949.76191534482518</v>
      </c>
      <c r="AB161" s="74">
        <v>-971.96963675089921</v>
      </c>
      <c r="AC161" s="75">
        <f t="shared" si="35"/>
        <v>-1024.3641745678642</v>
      </c>
      <c r="AD161">
        <v>2.7627234519999999</v>
      </c>
    </row>
    <row r="162" spans="1:52" ht="16" customHeight="1" x14ac:dyDescent="0.2">
      <c r="A162" s="5" t="s">
        <v>21</v>
      </c>
      <c r="B162" s="6">
        <v>44726</v>
      </c>
      <c r="C162" s="5" t="s">
        <v>25</v>
      </c>
      <c r="D162" s="5" t="s">
        <v>26</v>
      </c>
      <c r="E162" s="5" t="s">
        <v>15</v>
      </c>
      <c r="F162" s="90">
        <v>3</v>
      </c>
      <c r="G162" s="11" t="s">
        <v>27</v>
      </c>
      <c r="H162" s="11">
        <v>0.13263888888888889</v>
      </c>
      <c r="I162" s="5">
        <v>7</v>
      </c>
      <c r="J162" s="5" t="s">
        <v>27</v>
      </c>
      <c r="K162" s="5" t="s">
        <v>28</v>
      </c>
      <c r="L162" s="11">
        <v>0.13333333333333333</v>
      </c>
      <c r="M162" s="5">
        <v>14</v>
      </c>
      <c r="N162" s="5">
        <v>13</v>
      </c>
      <c r="O162" s="5">
        <v>15</v>
      </c>
      <c r="P162" s="7" t="s">
        <v>23</v>
      </c>
      <c r="Q162" s="7"/>
      <c r="R162" s="1">
        <f t="shared" si="34"/>
        <v>44726</v>
      </c>
      <c r="S162" s="34">
        <f t="shared" si="28"/>
        <v>14</v>
      </c>
      <c r="T162" s="37">
        <f>2540-2280</f>
        <v>260</v>
      </c>
      <c r="U162" s="57"/>
      <c r="V162" s="38"/>
      <c r="W162" s="66"/>
      <c r="X162" s="74">
        <v>-3035.0963508999512</v>
      </c>
      <c r="Y162" s="74">
        <v>-919.0636169212537</v>
      </c>
      <c r="Z162" s="74">
        <v>-887.72685901970817</v>
      </c>
      <c r="AA162" s="74">
        <v>-924.82422431167345</v>
      </c>
      <c r="AB162" s="74">
        <v>-964.61915146751107</v>
      </c>
      <c r="AC162" s="75">
        <f>X162*5/160+Y162*45/160+Z162*40/160+AA162*40/160+AB162*30/160</f>
        <v>-987.33726495772976</v>
      </c>
      <c r="AD162">
        <v>0.85863724699999999</v>
      </c>
    </row>
    <row r="163" spans="1:52" ht="16" customHeight="1" x14ac:dyDescent="0.2">
      <c r="A163" s="5" t="s">
        <v>21</v>
      </c>
      <c r="B163" s="6">
        <v>44726</v>
      </c>
      <c r="C163" s="5" t="s">
        <v>25</v>
      </c>
      <c r="D163" s="5" t="s">
        <v>26</v>
      </c>
      <c r="E163" s="5" t="s">
        <v>15</v>
      </c>
      <c r="F163" s="90">
        <v>3</v>
      </c>
      <c r="G163" s="11" t="s">
        <v>27</v>
      </c>
      <c r="H163" s="11">
        <v>0.36249999999999999</v>
      </c>
      <c r="I163" s="5">
        <v>7</v>
      </c>
      <c r="J163" s="5" t="s">
        <v>30</v>
      </c>
      <c r="K163" s="5" t="s">
        <v>28</v>
      </c>
      <c r="L163" s="11">
        <v>0.36319444444444443</v>
      </c>
      <c r="M163" s="5">
        <v>21</v>
      </c>
      <c r="N163" s="5">
        <v>21</v>
      </c>
      <c r="O163" s="5">
        <v>22</v>
      </c>
      <c r="P163" s="7" t="s">
        <v>23</v>
      </c>
      <c r="Q163" s="7"/>
      <c r="R163" s="1">
        <f t="shared" si="34"/>
        <v>44726</v>
      </c>
      <c r="S163" s="34">
        <f t="shared" si="28"/>
        <v>21.333333333333332</v>
      </c>
      <c r="T163" s="37"/>
      <c r="U163" s="57"/>
      <c r="V163" s="38"/>
      <c r="W163" s="66"/>
      <c r="X163" s="74">
        <v>-3424.5977007519132</v>
      </c>
      <c r="Y163" s="74">
        <v>-906.93563329015922</v>
      </c>
      <c r="Z163" s="74">
        <v>-892.11788322450479</v>
      </c>
      <c r="AA163" s="74">
        <v>-928.16722321924135</v>
      </c>
      <c r="AB163" s="74">
        <v>-962.57250342475402</v>
      </c>
      <c r="AC163" s="75">
        <f t="shared" ref="AC163:AC165" si="36">X163*5/160+Y163*45/160+Z163*40/160+AA163*40/160+AB163*30/160</f>
        <v>-997.64794601443248</v>
      </c>
      <c r="AD163">
        <v>1.2359881509999999</v>
      </c>
    </row>
    <row r="164" spans="1:52" ht="16" customHeight="1" x14ac:dyDescent="0.2">
      <c r="A164" s="5" t="s">
        <v>21</v>
      </c>
      <c r="B164" s="6">
        <v>44726</v>
      </c>
      <c r="C164" s="5" t="s">
        <v>25</v>
      </c>
      <c r="D164" s="5" t="s">
        <v>26</v>
      </c>
      <c r="E164" s="5" t="s">
        <v>15</v>
      </c>
      <c r="F164" s="90">
        <v>3</v>
      </c>
      <c r="G164" s="11" t="s">
        <v>27</v>
      </c>
      <c r="H164" s="11">
        <v>0.51458333333333328</v>
      </c>
      <c r="I164" s="5">
        <v>7</v>
      </c>
      <c r="J164" s="5" t="s">
        <v>29</v>
      </c>
      <c r="K164" s="5" t="s">
        <v>28</v>
      </c>
      <c r="L164" s="11">
        <v>0.51527777777777783</v>
      </c>
      <c r="M164" s="5">
        <v>23</v>
      </c>
      <c r="N164" s="5">
        <v>24</v>
      </c>
      <c r="O164" s="5">
        <v>23</v>
      </c>
      <c r="P164" s="7" t="s">
        <v>23</v>
      </c>
      <c r="Q164" s="7"/>
      <c r="R164" s="1">
        <f t="shared" si="34"/>
        <v>44726</v>
      </c>
      <c r="S164" s="34">
        <f t="shared" si="28"/>
        <v>23.333333333333332</v>
      </c>
      <c r="T164" s="37">
        <f>2540-2230</f>
        <v>310</v>
      </c>
      <c r="U164" s="57">
        <v>115.9</v>
      </c>
      <c r="V164" s="41">
        <v>6.5060000000000002</v>
      </c>
      <c r="W164" s="68"/>
      <c r="X164" s="76">
        <v>-3603.6439309167195</v>
      </c>
      <c r="Y164" s="76">
        <v>-918.44261659327492</v>
      </c>
      <c r="Z164" s="76">
        <v>-904.199962396724</v>
      </c>
      <c r="AA164" s="76">
        <v>-935.66056642822878</v>
      </c>
      <c r="AB164" s="76">
        <v>-963.44505661747337</v>
      </c>
      <c r="AC164" s="75">
        <f t="shared" si="36"/>
        <v>-1011.5369390800206</v>
      </c>
      <c r="AD164">
        <v>2.2539286129999998</v>
      </c>
    </row>
    <row r="165" spans="1:52" ht="16" customHeight="1" x14ac:dyDescent="0.2">
      <c r="A165" s="5" t="s">
        <v>21</v>
      </c>
      <c r="B165" s="6">
        <v>44726</v>
      </c>
      <c r="C165" s="5" t="s">
        <v>25</v>
      </c>
      <c r="D165" s="5" t="s">
        <v>26</v>
      </c>
      <c r="E165" s="5" t="s">
        <v>15</v>
      </c>
      <c r="F165" s="90">
        <v>3</v>
      </c>
      <c r="G165" s="11" t="s">
        <v>27</v>
      </c>
      <c r="H165" s="11">
        <v>0.63611111111111118</v>
      </c>
      <c r="I165" s="5">
        <v>7</v>
      </c>
      <c r="J165" s="5" t="s">
        <v>30</v>
      </c>
      <c r="K165" s="5" t="s">
        <v>28</v>
      </c>
      <c r="L165" s="11">
        <v>0.63680555555555551</v>
      </c>
      <c r="M165" s="5">
        <v>26</v>
      </c>
      <c r="N165" s="5">
        <v>26</v>
      </c>
      <c r="O165" s="5">
        <v>26</v>
      </c>
      <c r="P165" s="7" t="s">
        <v>23</v>
      </c>
      <c r="Q165" s="7"/>
      <c r="R165" s="1">
        <f t="shared" si="34"/>
        <v>44726</v>
      </c>
      <c r="S165" s="34">
        <f t="shared" si="28"/>
        <v>26</v>
      </c>
      <c r="T165" s="37"/>
      <c r="U165" s="57"/>
      <c r="V165" s="38"/>
      <c r="W165" s="66"/>
      <c r="X165" s="74">
        <v>-3643.4085533848061</v>
      </c>
      <c r="Y165" s="74">
        <v>-935.22905187652373</v>
      </c>
      <c r="Z165" s="74">
        <v>-911.15880282926685</v>
      </c>
      <c r="AA165" s="74">
        <v>-949.76191534482518</v>
      </c>
      <c r="AB165" s="74">
        <v>-971.96963675089921</v>
      </c>
      <c r="AC165" s="75">
        <f t="shared" si="36"/>
        <v>-1024.3641745678642</v>
      </c>
      <c r="AD165">
        <v>2.7627234519999999</v>
      </c>
    </row>
    <row r="166" spans="1:52" ht="16" customHeight="1" x14ac:dyDescent="0.2">
      <c r="A166" s="8"/>
      <c r="B166" s="17"/>
      <c r="C166" s="8"/>
      <c r="D166" s="8"/>
      <c r="E166" s="8"/>
      <c r="F166" s="91"/>
      <c r="G166" s="15"/>
      <c r="H166" s="15"/>
      <c r="I166" s="8"/>
      <c r="J166" s="16"/>
      <c r="K166" s="8"/>
      <c r="L166" s="15"/>
      <c r="M166" s="8"/>
      <c r="N166" s="8"/>
      <c r="O166" s="8"/>
      <c r="P166" s="9"/>
      <c r="Q166" s="9"/>
      <c r="R166" s="1"/>
      <c r="S166" s="34"/>
      <c r="T166" s="37"/>
      <c r="U166" s="57"/>
      <c r="V166" s="38"/>
      <c r="W166" s="66"/>
      <c r="X166" s="74"/>
      <c r="Y166" s="74"/>
      <c r="Z166" s="74"/>
      <c r="AA166" s="74"/>
      <c r="AB166" s="74"/>
      <c r="AC166" s="74"/>
      <c r="AD166" s="81"/>
    </row>
    <row r="167" spans="1:52" ht="16" customHeight="1" x14ac:dyDescent="0.2">
      <c r="A167" s="3" t="s">
        <v>21</v>
      </c>
      <c r="B167" s="1">
        <v>44753</v>
      </c>
      <c r="C167" s="3" t="s">
        <v>25</v>
      </c>
      <c r="D167" s="3" t="s">
        <v>25</v>
      </c>
      <c r="E167" s="3" t="s">
        <v>15</v>
      </c>
      <c r="F167" s="89">
        <v>3</v>
      </c>
      <c r="G167" s="10">
        <v>0.49305555555555552</v>
      </c>
      <c r="H167" s="10">
        <v>0.56111111111111112</v>
      </c>
      <c r="I167" s="3">
        <v>7</v>
      </c>
      <c r="J167" s="12" t="s">
        <v>29</v>
      </c>
      <c r="K167" s="3" t="s">
        <v>28</v>
      </c>
      <c r="L167" s="10">
        <v>0.56319444444444455</v>
      </c>
      <c r="M167" s="3">
        <v>31</v>
      </c>
      <c r="N167" s="3">
        <v>32</v>
      </c>
      <c r="O167" s="3">
        <v>32</v>
      </c>
      <c r="P167" t="s">
        <v>22</v>
      </c>
      <c r="R167" s="1">
        <f t="shared" ref="R167:R169" si="37">B167</f>
        <v>44753</v>
      </c>
      <c r="S167" s="34">
        <f>AVERAGE(M167:O167)</f>
        <v>31.666666666666668</v>
      </c>
      <c r="T167" s="37">
        <f>2540-2175</f>
        <v>365</v>
      </c>
      <c r="U167" s="57">
        <v>79.474999999999994</v>
      </c>
      <c r="V167" s="38">
        <v>4.2</v>
      </c>
      <c r="W167" s="66"/>
      <c r="X167" s="74">
        <v>-3298.9660839809499</v>
      </c>
      <c r="Y167" s="74">
        <v>-1212.8844955431146</v>
      </c>
      <c r="Z167" s="74">
        <v>-1304.7803010629091</v>
      </c>
      <c r="AA167" s="74">
        <v>-1421.5436415165025</v>
      </c>
      <c r="AB167" s="74">
        <v>-1293.6016519215668</v>
      </c>
      <c r="AC167" s="75">
        <f t="shared" ref="AC167" si="38">X167*5/160+Y167*45/160+Z167*40/160+AA167*40/160+AB167*30/160</f>
        <v>-1368.3477498760521</v>
      </c>
      <c r="AD167">
        <v>2.2204227400000001</v>
      </c>
    </row>
    <row r="168" spans="1:52" ht="16" customHeight="1" x14ac:dyDescent="0.2">
      <c r="A168" s="5" t="s">
        <v>21</v>
      </c>
      <c r="B168" s="6">
        <v>44753</v>
      </c>
      <c r="C168" s="5" t="s">
        <v>25</v>
      </c>
      <c r="D168" s="5" t="s">
        <v>25</v>
      </c>
      <c r="E168" s="5" t="s">
        <v>15</v>
      </c>
      <c r="F168" s="90">
        <v>3</v>
      </c>
      <c r="G168" s="11" t="s">
        <v>27</v>
      </c>
      <c r="H168" s="11">
        <v>0.18888888888888888</v>
      </c>
      <c r="I168" s="5">
        <v>7</v>
      </c>
      <c r="J168" s="13" t="s">
        <v>27</v>
      </c>
      <c r="K168" s="5" t="s">
        <v>28</v>
      </c>
      <c r="L168" s="11">
        <v>0.19027777777777777</v>
      </c>
      <c r="M168" s="5">
        <v>26</v>
      </c>
      <c r="N168" s="5">
        <v>27</v>
      </c>
      <c r="O168" s="5">
        <v>27</v>
      </c>
      <c r="P168" s="7" t="s">
        <v>23</v>
      </c>
      <c r="Q168" s="7"/>
      <c r="R168" s="1">
        <f t="shared" si="37"/>
        <v>44753</v>
      </c>
      <c r="S168" s="87">
        <f>AVERAGE(M168:O168)</f>
        <v>26.666666666666668</v>
      </c>
      <c r="T168" s="37">
        <f>2540-2190</f>
        <v>350</v>
      </c>
      <c r="U168" s="57"/>
      <c r="V168" s="38"/>
      <c r="W168" s="66"/>
      <c r="X168" s="74">
        <v>-2806.89481434969</v>
      </c>
      <c r="Y168" s="74">
        <v>-1222.2148433244802</v>
      </c>
      <c r="Z168" s="74">
        <v>-1301.010333127964</v>
      </c>
      <c r="AA168" s="74">
        <v>-1413.8469803636913</v>
      </c>
      <c r="AB168" s="74">
        <v>-1294.7783287430391</v>
      </c>
      <c r="AC168" s="75">
        <f t="shared" ref="AC168:AC169" si="39">X168*5/160+Y168*45/160+Z168*40/160+AA168*40/160+AB168*30/160</f>
        <v>-1352.9486526456715</v>
      </c>
      <c r="AD168">
        <v>0.747298931</v>
      </c>
    </row>
    <row r="169" spans="1:52" ht="16" customHeight="1" x14ac:dyDescent="0.2">
      <c r="A169" s="5" t="s">
        <v>21</v>
      </c>
      <c r="B169" s="6">
        <v>44753</v>
      </c>
      <c r="C169" s="5" t="s">
        <v>25</v>
      </c>
      <c r="D169" s="5" t="s">
        <v>25</v>
      </c>
      <c r="E169" s="5" t="s">
        <v>15</v>
      </c>
      <c r="F169" s="90">
        <v>3</v>
      </c>
      <c r="G169" s="11" t="s">
        <v>27</v>
      </c>
      <c r="H169" s="11">
        <v>0.55902777777777779</v>
      </c>
      <c r="I169" s="5">
        <v>7</v>
      </c>
      <c r="J169" s="13" t="s">
        <v>29</v>
      </c>
      <c r="K169" s="5" t="s">
        <v>28</v>
      </c>
      <c r="L169" s="11">
        <v>0.56041666666666667</v>
      </c>
      <c r="M169" s="5">
        <v>32</v>
      </c>
      <c r="N169" s="5">
        <v>33</v>
      </c>
      <c r="O169" s="5">
        <v>33</v>
      </c>
      <c r="P169" s="7" t="s">
        <v>23</v>
      </c>
      <c r="Q169" s="7"/>
      <c r="R169" s="1">
        <f t="shared" si="37"/>
        <v>44753</v>
      </c>
      <c r="S169" s="34">
        <f>AVERAGE(M169:O169)</f>
        <v>32.666666666666664</v>
      </c>
      <c r="T169" s="37">
        <f>2540-2175</f>
        <v>365</v>
      </c>
      <c r="U169" s="57">
        <v>79.474999999999994</v>
      </c>
      <c r="V169" s="38">
        <v>4.2</v>
      </c>
      <c r="W169" s="66"/>
      <c r="X169" s="74">
        <v>-3298.9660839809499</v>
      </c>
      <c r="Y169" s="74">
        <v>-1212.8844955431146</v>
      </c>
      <c r="Z169" s="74">
        <v>-1304.7803010629091</v>
      </c>
      <c r="AA169" s="74">
        <v>-1421.5436415165025</v>
      </c>
      <c r="AB169" s="74">
        <v>-1293.6016519215668</v>
      </c>
      <c r="AC169" s="75">
        <f t="shared" si="39"/>
        <v>-1368.3477498760521</v>
      </c>
      <c r="AD169">
        <v>2.2204227400000001</v>
      </c>
    </row>
    <row r="170" spans="1:52" ht="16" customHeight="1" x14ac:dyDescent="0.2">
      <c r="A170" s="8"/>
      <c r="B170" s="17"/>
      <c r="C170" s="8"/>
      <c r="D170" s="8"/>
      <c r="E170" s="8"/>
      <c r="F170" s="91"/>
      <c r="G170" s="15"/>
      <c r="H170" s="15"/>
      <c r="I170" s="8"/>
      <c r="J170" s="16"/>
      <c r="K170" s="8"/>
      <c r="L170" s="15"/>
      <c r="M170" s="8"/>
      <c r="N170" s="8"/>
      <c r="O170" s="8"/>
      <c r="P170" s="9"/>
      <c r="Q170" s="9"/>
      <c r="R170" s="1"/>
      <c r="S170" s="34"/>
      <c r="T170" s="37"/>
      <c r="U170" s="57"/>
      <c r="V170" s="38"/>
      <c r="W170" s="66"/>
      <c r="X170" s="74"/>
      <c r="Y170" s="74"/>
      <c r="Z170" s="74"/>
      <c r="AA170" s="74"/>
      <c r="AB170" s="74"/>
      <c r="AC170" s="74"/>
      <c r="AD170" s="81"/>
      <c r="AW170" s="26" t="s">
        <v>56</v>
      </c>
    </row>
    <row r="171" spans="1:52" ht="16" customHeight="1" x14ac:dyDescent="0.2">
      <c r="A171" s="3" t="s">
        <v>21</v>
      </c>
      <c r="B171" s="1">
        <v>44786</v>
      </c>
      <c r="C171" s="3" t="s">
        <v>25</v>
      </c>
      <c r="D171" s="3" t="s">
        <v>25</v>
      </c>
      <c r="E171" s="3" t="s">
        <v>15</v>
      </c>
      <c r="F171" s="89">
        <v>3</v>
      </c>
      <c r="G171" s="10">
        <v>0.49513888888888885</v>
      </c>
      <c r="H171" s="10">
        <v>0.55902777777777779</v>
      </c>
      <c r="I171" s="3">
        <v>7</v>
      </c>
      <c r="J171" s="12" t="s">
        <v>29</v>
      </c>
      <c r="K171" s="3" t="s">
        <v>28</v>
      </c>
      <c r="L171" s="10">
        <v>0.5625</v>
      </c>
      <c r="M171" s="3">
        <v>41</v>
      </c>
      <c r="N171" s="3">
        <v>46</v>
      </c>
      <c r="O171" s="3">
        <v>46</v>
      </c>
      <c r="P171" t="s">
        <v>22</v>
      </c>
      <c r="Q171" t="s">
        <v>78</v>
      </c>
      <c r="R171" s="1">
        <f t="shared" ref="R171:R173" si="40">B171</f>
        <v>44786</v>
      </c>
      <c r="S171" s="34">
        <f>AVERAGE(M171:O171)</f>
        <v>44.333333333333336</v>
      </c>
      <c r="T171" s="37">
        <f>2540-2160</f>
        <v>380</v>
      </c>
      <c r="U171" s="57">
        <v>25.14</v>
      </c>
      <c r="V171" s="38">
        <v>4</v>
      </c>
      <c r="W171" s="66"/>
      <c r="X171" s="74">
        <v>-6143.0843893190995</v>
      </c>
      <c r="Y171" s="74">
        <v>-1437.0528711515399</v>
      </c>
      <c r="Z171" s="74">
        <v>-1532.4025794835909</v>
      </c>
      <c r="AA171" s="74">
        <v>-1759.95701452752</v>
      </c>
      <c r="AB171" s="74">
        <v>-1554.2077993107009</v>
      </c>
      <c r="AC171" s="75">
        <f t="shared" ref="AC171" si="41">X171*5/160+Y171*45/160+Z171*40/160+AA171*40/160+AB171*30/160</f>
        <v>-1710.6463680511265</v>
      </c>
      <c r="AD171">
        <v>3.2221680300000002</v>
      </c>
      <c r="AW171" s="27">
        <f>AVERAGE(S49,S108,S171,S236,S312,S388)-AVERAGE(S51,S110,S173,S238,S314,S390)</f>
        <v>-0.55555555555555713</v>
      </c>
      <c r="AX171" s="27"/>
      <c r="AY171" s="27">
        <f>(AW171/AVERAGE(S51,S110,S173,S238,S314,S390))*-100</f>
        <v>1.3089005235602131</v>
      </c>
      <c r="AZ171" s="27" t="s">
        <v>58</v>
      </c>
    </row>
    <row r="172" spans="1:52" ht="16" customHeight="1" x14ac:dyDescent="0.2">
      <c r="A172" s="5" t="s">
        <v>21</v>
      </c>
      <c r="B172" s="6">
        <v>44786</v>
      </c>
      <c r="C172" s="5" t="s">
        <v>25</v>
      </c>
      <c r="D172" s="5" t="s">
        <v>25</v>
      </c>
      <c r="E172" s="5" t="s">
        <v>15</v>
      </c>
      <c r="F172" s="90">
        <v>3</v>
      </c>
      <c r="G172" s="11" t="s">
        <v>27</v>
      </c>
      <c r="H172" s="11">
        <v>0.17916666666666667</v>
      </c>
      <c r="I172" s="5">
        <v>7</v>
      </c>
      <c r="J172" s="13" t="s">
        <v>27</v>
      </c>
      <c r="K172" s="5" t="s">
        <v>28</v>
      </c>
      <c r="L172" s="11">
        <v>0.18055555555555555</v>
      </c>
      <c r="M172" s="5">
        <v>39</v>
      </c>
      <c r="N172" s="5">
        <v>40</v>
      </c>
      <c r="O172" s="5">
        <v>41</v>
      </c>
      <c r="P172" s="7" t="s">
        <v>23</v>
      </c>
      <c r="Q172" t="s">
        <v>78</v>
      </c>
      <c r="R172" s="1">
        <f t="shared" si="40"/>
        <v>44786</v>
      </c>
      <c r="S172" s="34">
        <f>AVERAGE(M172:O172)</f>
        <v>40</v>
      </c>
      <c r="T172" s="37">
        <f>2540-2152</f>
        <v>388</v>
      </c>
      <c r="U172" s="57"/>
      <c r="V172" s="38"/>
      <c r="W172" s="66"/>
      <c r="X172" s="74">
        <v>-5075.1861832512323</v>
      </c>
      <c r="Y172" s="74">
        <v>-1456.6328885912278</v>
      </c>
      <c r="Z172" s="74">
        <v>-1534.7186238544136</v>
      </c>
      <c r="AA172" s="74">
        <v>-1768.1968840259888</v>
      </c>
      <c r="AB172" s="74">
        <v>-1550.885860681904</v>
      </c>
      <c r="AC172" s="75">
        <f t="shared" ref="AC172:AC175" si="42">X172*5/160+Y172*45/160+Z172*40/160+AA172*40/160+AB172*30/160</f>
        <v>-1684.7975439908414</v>
      </c>
      <c r="AD172">
        <v>1.104742965</v>
      </c>
      <c r="AE172" s="18"/>
      <c r="AW172" s="96">
        <v>44786</v>
      </c>
    </row>
    <row r="173" spans="1:52" ht="16" customHeight="1" x14ac:dyDescent="0.2">
      <c r="A173" s="5" t="s">
        <v>21</v>
      </c>
      <c r="B173" s="6">
        <v>44786</v>
      </c>
      <c r="C173" s="5" t="s">
        <v>25</v>
      </c>
      <c r="D173" s="5" t="s">
        <v>25</v>
      </c>
      <c r="E173" s="5" t="s">
        <v>15</v>
      </c>
      <c r="F173" s="90">
        <v>3</v>
      </c>
      <c r="G173" s="11" t="s">
        <v>27</v>
      </c>
      <c r="H173" s="11">
        <v>0.55625000000000002</v>
      </c>
      <c r="I173" s="5">
        <v>7</v>
      </c>
      <c r="J173" s="13" t="s">
        <v>29</v>
      </c>
      <c r="K173" s="5" t="s">
        <v>28</v>
      </c>
      <c r="L173" s="11">
        <v>0.55833333333333335</v>
      </c>
      <c r="M173" s="5">
        <v>43</v>
      </c>
      <c r="N173" s="5">
        <v>44</v>
      </c>
      <c r="O173" s="5">
        <v>46</v>
      </c>
      <c r="P173" s="7" t="s">
        <v>23</v>
      </c>
      <c r="Q173" t="s">
        <v>78</v>
      </c>
      <c r="R173" s="1">
        <f t="shared" si="40"/>
        <v>44786</v>
      </c>
      <c r="S173" s="34">
        <f>AVERAGE(M173:O173)</f>
        <v>44.333333333333336</v>
      </c>
      <c r="T173" s="37">
        <f>2540-2160</f>
        <v>380</v>
      </c>
      <c r="U173" s="57">
        <v>25.14</v>
      </c>
      <c r="V173" s="38">
        <v>4</v>
      </c>
      <c r="W173" s="66"/>
      <c r="X173" s="74">
        <v>-6143.0843893190995</v>
      </c>
      <c r="Y173" s="74">
        <v>-1437.0528711515399</v>
      </c>
      <c r="Z173" s="74">
        <v>-1532.4025794835909</v>
      </c>
      <c r="AA173" s="74">
        <v>-1759.95701452752</v>
      </c>
      <c r="AB173" s="74">
        <v>-1554.2077993107009</v>
      </c>
      <c r="AC173" s="75">
        <f t="shared" si="42"/>
        <v>-1710.6463680511265</v>
      </c>
      <c r="AD173">
        <v>3.2221680300000002</v>
      </c>
      <c r="AE173" s="18"/>
    </row>
    <row r="174" spans="1:52" ht="16" customHeight="1" x14ac:dyDescent="0.2">
      <c r="A174" s="49"/>
      <c r="B174" s="50"/>
      <c r="C174" s="49"/>
      <c r="D174" s="49"/>
      <c r="E174" s="49"/>
      <c r="F174" s="92"/>
      <c r="G174" s="51"/>
      <c r="H174" s="51"/>
      <c r="I174" s="49"/>
      <c r="J174" s="52"/>
      <c r="K174" s="49"/>
      <c r="L174" s="51"/>
      <c r="M174" s="49"/>
      <c r="N174" s="49"/>
      <c r="O174" s="49"/>
      <c r="P174" s="53"/>
      <c r="Q174" s="53"/>
      <c r="R174" s="1"/>
      <c r="S174" s="34"/>
      <c r="T174" s="37"/>
      <c r="U174" s="57"/>
      <c r="V174" s="38"/>
      <c r="W174" s="66"/>
      <c r="X174" s="74"/>
      <c r="Y174" s="74"/>
      <c r="Z174" s="74"/>
      <c r="AA174" s="74"/>
      <c r="AB174" s="74"/>
      <c r="AC174" s="74"/>
      <c r="AD174" s="81"/>
      <c r="AE174" s="18"/>
    </row>
    <row r="175" spans="1:52" ht="16" customHeight="1" x14ac:dyDescent="0.2">
      <c r="A175" s="61" t="s">
        <v>21</v>
      </c>
      <c r="B175" s="62">
        <v>44867</v>
      </c>
      <c r="C175" s="61" t="s">
        <v>25</v>
      </c>
      <c r="D175" s="61" t="s">
        <v>26</v>
      </c>
      <c r="E175" s="61" t="s">
        <v>15</v>
      </c>
      <c r="F175" s="93">
        <v>3</v>
      </c>
      <c r="G175" s="63" t="s">
        <v>27</v>
      </c>
      <c r="H175" s="64">
        <v>0.4770833333333333</v>
      </c>
      <c r="I175" s="63">
        <v>7</v>
      </c>
      <c r="J175" s="63" t="s">
        <v>30</v>
      </c>
      <c r="K175" s="63" t="s">
        <v>90</v>
      </c>
      <c r="L175" s="64">
        <v>0.47916666666666669</v>
      </c>
      <c r="M175" s="63">
        <v>20</v>
      </c>
      <c r="N175" s="63">
        <v>21</v>
      </c>
      <c r="O175" s="63">
        <v>26</v>
      </c>
      <c r="P175" s="63" t="s">
        <v>23</v>
      </c>
      <c r="Q175" s="63" t="s">
        <v>93</v>
      </c>
      <c r="R175" s="1"/>
      <c r="S175" s="34"/>
      <c r="T175" s="37"/>
      <c r="U175" s="57"/>
      <c r="V175" s="38"/>
      <c r="W175" s="66"/>
      <c r="X175" s="74">
        <v>-20.471870162365391</v>
      </c>
      <c r="Y175" s="74">
        <v>-21.108252364192158</v>
      </c>
      <c r="Z175" s="74">
        <v>-1221.7929051081221</v>
      </c>
      <c r="AA175" s="74">
        <v>-920.41539747731315</v>
      </c>
      <c r="AB175" s="74">
        <v>-628.13875426275195</v>
      </c>
      <c r="AC175" s="75">
        <f t="shared" si="42"/>
        <v>-659.90453399062778</v>
      </c>
      <c r="AD175" s="81"/>
    </row>
    <row r="176" spans="1:52" ht="16" customHeight="1" x14ac:dyDescent="0.2">
      <c r="B176" s="1"/>
      <c r="G176" s="10"/>
      <c r="H176" s="10"/>
      <c r="I176" s="3"/>
      <c r="J176" s="3"/>
      <c r="K176" s="3"/>
      <c r="L176" s="10"/>
      <c r="M176" s="3"/>
      <c r="N176" s="3"/>
      <c r="O176" s="3"/>
      <c r="R176" s="1"/>
      <c r="S176" s="34"/>
      <c r="T176" s="37"/>
      <c r="U176" s="57"/>
      <c r="V176" s="38"/>
      <c r="W176" s="66"/>
      <c r="X176" s="74"/>
      <c r="Y176" s="74"/>
      <c r="Z176" s="74"/>
      <c r="AA176" s="74"/>
      <c r="AB176" s="74"/>
      <c r="AC176" s="74"/>
      <c r="AD176" s="81"/>
    </row>
    <row r="177" spans="1:31" ht="16" customHeight="1" x14ac:dyDescent="0.2">
      <c r="B177" s="1"/>
      <c r="G177" s="10"/>
      <c r="H177" s="10"/>
      <c r="I177" s="3"/>
      <c r="J177" s="3"/>
      <c r="K177" s="3"/>
      <c r="L177" s="10"/>
      <c r="M177" s="3"/>
      <c r="N177" s="3"/>
      <c r="O177" s="3"/>
      <c r="R177" s="1"/>
      <c r="S177" s="34"/>
      <c r="T177" s="37"/>
      <c r="U177" s="57"/>
      <c r="V177" s="38"/>
      <c r="W177" s="66"/>
      <c r="X177" s="74"/>
      <c r="Y177" s="74"/>
      <c r="Z177" s="74"/>
      <c r="AA177" s="74"/>
      <c r="AB177" s="74"/>
      <c r="AC177" s="74"/>
      <c r="AD177" s="81"/>
    </row>
    <row r="178" spans="1:31" ht="16" customHeight="1" x14ac:dyDescent="0.2">
      <c r="B178" s="1"/>
      <c r="G178" s="10"/>
      <c r="H178" s="10"/>
      <c r="I178" s="3"/>
      <c r="J178" s="3"/>
      <c r="K178" s="3"/>
      <c r="L178" s="10"/>
      <c r="M178" s="3"/>
      <c r="N178" s="3"/>
      <c r="O178" s="3"/>
      <c r="R178" s="1"/>
      <c r="S178" s="34"/>
      <c r="T178" s="37"/>
      <c r="U178" s="57"/>
      <c r="V178" s="38"/>
      <c r="W178" s="66"/>
      <c r="X178" s="74"/>
      <c r="Y178" s="74"/>
      <c r="Z178" s="74"/>
      <c r="AA178" s="74"/>
      <c r="AB178" s="74"/>
      <c r="AC178" s="74"/>
      <c r="AD178" s="81"/>
      <c r="AE178" s="2"/>
    </row>
    <row r="179" spans="1:31" ht="16" customHeight="1" x14ac:dyDescent="0.2">
      <c r="B179" s="1"/>
      <c r="G179" s="10"/>
      <c r="H179" s="10"/>
      <c r="I179" s="3"/>
      <c r="J179" s="3"/>
      <c r="K179" s="3"/>
      <c r="L179" s="10"/>
      <c r="M179" s="3"/>
      <c r="N179" s="3"/>
      <c r="O179" s="3"/>
      <c r="R179" s="1"/>
      <c r="S179" s="34"/>
      <c r="T179" s="37"/>
      <c r="U179" s="57"/>
      <c r="V179" s="38"/>
      <c r="W179" s="66"/>
      <c r="X179" s="74"/>
      <c r="Y179" s="74"/>
      <c r="Z179" s="74"/>
      <c r="AA179" s="74"/>
      <c r="AB179" s="74"/>
      <c r="AC179" s="74"/>
      <c r="AD179" s="81"/>
    </row>
    <row r="180" spans="1:31" ht="16" customHeight="1" x14ac:dyDescent="0.2">
      <c r="B180" s="1"/>
      <c r="G180" s="10"/>
      <c r="H180" s="10"/>
      <c r="I180" s="3"/>
      <c r="J180" s="3"/>
      <c r="K180" s="3"/>
      <c r="L180" s="10"/>
      <c r="M180" s="3"/>
      <c r="N180" s="3"/>
      <c r="O180" s="3"/>
      <c r="R180" s="1"/>
      <c r="S180" s="34"/>
      <c r="T180" s="37"/>
      <c r="U180" s="57"/>
      <c r="V180" s="38"/>
      <c r="W180" s="66"/>
      <c r="X180" s="74"/>
      <c r="Y180" s="74"/>
      <c r="Z180" s="74"/>
      <c r="AA180" s="74"/>
      <c r="AB180" s="74"/>
      <c r="AC180" s="74"/>
      <c r="AD180" s="81"/>
    </row>
    <row r="181" spans="1:31" ht="16" customHeight="1" x14ac:dyDescent="0.2">
      <c r="B181" s="1"/>
      <c r="G181" s="10"/>
      <c r="H181" s="10"/>
      <c r="I181" s="3"/>
      <c r="J181" s="3"/>
      <c r="K181" s="3"/>
      <c r="L181" s="10"/>
      <c r="M181" s="3"/>
      <c r="N181" s="3"/>
      <c r="O181" s="3"/>
      <c r="R181" s="1"/>
      <c r="S181" s="34"/>
      <c r="T181" s="37"/>
      <c r="U181" s="57"/>
      <c r="V181" s="38"/>
      <c r="W181" s="66"/>
      <c r="X181" s="74"/>
      <c r="Y181" s="74"/>
      <c r="Z181" s="74"/>
      <c r="AA181" s="74"/>
      <c r="AB181" s="74"/>
      <c r="AC181" s="74"/>
      <c r="AD181" s="81"/>
    </row>
    <row r="182" spans="1:31" ht="16" customHeight="1" x14ac:dyDescent="0.2">
      <c r="B182" s="1"/>
      <c r="G182" s="10"/>
      <c r="H182" s="10"/>
      <c r="I182" s="3"/>
      <c r="J182" s="3"/>
      <c r="K182" s="3"/>
      <c r="L182" s="10"/>
      <c r="M182" s="3"/>
      <c r="N182" s="3"/>
      <c r="O182" s="3"/>
      <c r="R182" s="1"/>
      <c r="S182" s="34"/>
      <c r="T182" s="37"/>
      <c r="U182" s="57"/>
      <c r="V182" s="38"/>
      <c r="W182" s="66"/>
      <c r="X182" s="74"/>
      <c r="Y182" s="74"/>
      <c r="Z182" s="74"/>
      <c r="AA182" s="74"/>
      <c r="AB182" s="74"/>
      <c r="AC182" s="74"/>
      <c r="AD182" s="81"/>
    </row>
    <row r="183" spans="1:31" ht="16" customHeight="1" x14ac:dyDescent="0.2">
      <c r="B183" s="1"/>
      <c r="G183" s="10"/>
      <c r="H183" s="10"/>
      <c r="I183" s="3"/>
      <c r="J183" s="3"/>
      <c r="K183" s="3"/>
      <c r="L183" s="10"/>
      <c r="M183" s="3"/>
      <c r="N183" s="3"/>
      <c r="O183" s="3"/>
      <c r="R183" s="1"/>
      <c r="S183" s="34"/>
      <c r="T183" s="37"/>
      <c r="U183" s="57"/>
      <c r="V183" s="38"/>
      <c r="W183" s="66"/>
      <c r="X183" s="74"/>
      <c r="Y183" s="74"/>
      <c r="Z183" s="74"/>
      <c r="AA183" s="74"/>
      <c r="AB183" s="74"/>
      <c r="AC183" s="74"/>
      <c r="AD183" s="81"/>
    </row>
    <row r="184" spans="1:31" ht="16" customHeight="1" x14ac:dyDescent="0.2">
      <c r="B184" s="1"/>
      <c r="G184" s="10"/>
      <c r="H184" s="10"/>
      <c r="I184" s="3"/>
      <c r="J184" s="3"/>
      <c r="K184" s="3"/>
      <c r="L184" s="10"/>
      <c r="M184" s="3"/>
      <c r="N184" s="3"/>
      <c r="O184" s="3"/>
      <c r="R184" s="1"/>
      <c r="S184" s="34"/>
      <c r="T184" s="37"/>
      <c r="U184" s="57"/>
      <c r="V184" s="38"/>
      <c r="W184" s="66"/>
      <c r="X184" s="74"/>
      <c r="Y184" s="74"/>
      <c r="Z184" s="74"/>
      <c r="AA184" s="74"/>
      <c r="AB184" s="74"/>
      <c r="AC184" s="74"/>
      <c r="AD184" s="81"/>
    </row>
    <row r="185" spans="1:31" ht="16" customHeight="1" x14ac:dyDescent="0.2">
      <c r="B185" s="1"/>
      <c r="G185" s="10"/>
      <c r="H185" s="10"/>
      <c r="I185" s="3"/>
      <c r="J185" s="3"/>
      <c r="K185" s="3"/>
      <c r="L185" s="10"/>
      <c r="M185" s="3"/>
      <c r="N185" s="3"/>
      <c r="O185" s="3"/>
      <c r="R185" s="1"/>
      <c r="S185" s="34"/>
      <c r="T185" s="37"/>
      <c r="U185" s="57"/>
      <c r="V185" s="38"/>
      <c r="W185" s="66"/>
      <c r="X185" s="74"/>
      <c r="Y185" s="74"/>
      <c r="Z185" s="74"/>
      <c r="AA185" s="74"/>
      <c r="AB185" s="74"/>
      <c r="AC185" s="74"/>
      <c r="AD185" s="81"/>
    </row>
    <row r="186" spans="1:31" ht="16" customHeight="1" x14ac:dyDescent="0.2">
      <c r="B186" s="1"/>
      <c r="G186" s="10"/>
      <c r="H186" s="10"/>
      <c r="I186" s="3"/>
      <c r="J186" s="3"/>
      <c r="K186" s="3"/>
      <c r="L186" s="10"/>
      <c r="M186" s="3"/>
      <c r="N186" s="3"/>
      <c r="O186" s="3"/>
      <c r="S186" s="34"/>
      <c r="T186" s="37"/>
      <c r="U186" s="57"/>
      <c r="V186" s="38"/>
      <c r="W186" s="66"/>
      <c r="X186" s="74"/>
      <c r="Y186" s="74"/>
      <c r="Z186" s="74"/>
      <c r="AA186" s="74"/>
      <c r="AB186" s="74"/>
      <c r="AC186" s="74"/>
      <c r="AD186" s="81"/>
    </row>
    <row r="187" spans="1:31" ht="16" customHeight="1" x14ac:dyDescent="0.2">
      <c r="B187" s="1"/>
      <c r="G187" s="10"/>
      <c r="H187" s="10"/>
      <c r="I187" s="3"/>
      <c r="J187" s="3"/>
      <c r="K187" s="3"/>
      <c r="L187" s="10"/>
      <c r="M187" s="3"/>
      <c r="N187" s="3"/>
      <c r="O187" s="3"/>
    </row>
    <row r="188" spans="1:31" ht="16" customHeight="1" x14ac:dyDescent="0.2">
      <c r="B188" s="1"/>
      <c r="G188" s="10"/>
      <c r="H188" s="10"/>
      <c r="I188" s="3"/>
      <c r="J188" s="3"/>
      <c r="K188" s="3"/>
      <c r="L188" s="10"/>
      <c r="M188" s="3"/>
      <c r="N188" s="3"/>
      <c r="O188" s="3"/>
    </row>
    <row r="189" spans="1:31" ht="16" customHeight="1" x14ac:dyDescent="0.2">
      <c r="B189" s="1"/>
      <c r="G189" s="10"/>
      <c r="H189" s="10"/>
      <c r="I189" s="3"/>
      <c r="J189" s="3"/>
      <c r="K189" s="3"/>
      <c r="L189" s="10"/>
      <c r="M189" s="3"/>
      <c r="N189" s="3"/>
      <c r="O189" s="3"/>
    </row>
    <row r="190" spans="1:31" ht="16" customHeight="1" x14ac:dyDescent="0.2">
      <c r="A190" s="3" t="s">
        <v>21</v>
      </c>
      <c r="B190" s="1">
        <v>44348</v>
      </c>
      <c r="C190" s="3" t="s">
        <v>25</v>
      </c>
      <c r="D190" s="3" t="s">
        <v>26</v>
      </c>
      <c r="E190" s="3" t="s">
        <v>15</v>
      </c>
      <c r="F190" s="89">
        <v>8</v>
      </c>
      <c r="G190" s="10">
        <v>0.28819444444444442</v>
      </c>
      <c r="H190" s="10">
        <v>0.3118055555555555</v>
      </c>
      <c r="I190" s="3">
        <v>7</v>
      </c>
      <c r="J190" s="3" t="s">
        <v>30</v>
      </c>
      <c r="K190" s="3" t="s">
        <v>28</v>
      </c>
      <c r="L190" s="10">
        <v>0.31388888888888888</v>
      </c>
      <c r="M190" s="3">
        <v>6</v>
      </c>
      <c r="N190" s="3">
        <v>6</v>
      </c>
      <c r="O190" s="3">
        <v>8</v>
      </c>
      <c r="P190" t="s">
        <v>22</v>
      </c>
      <c r="R190" s="1">
        <f t="shared" ref="R190:R200" si="43">B190</f>
        <v>44348</v>
      </c>
      <c r="S190" s="34">
        <f>AVERAGE(M190:O190)</f>
        <v>6.666666666666667</v>
      </c>
      <c r="T190" s="37"/>
      <c r="U190" s="57"/>
      <c r="V190" s="38"/>
      <c r="W190" s="71"/>
      <c r="X190" s="77"/>
      <c r="Y190" s="77"/>
      <c r="Z190" s="77"/>
      <c r="AA190" s="77"/>
      <c r="AB190" s="77"/>
      <c r="AC190" s="77"/>
      <c r="AD190">
        <v>0.63092386099999997</v>
      </c>
    </row>
    <row r="191" spans="1:31" ht="16" customHeight="1" x14ac:dyDescent="0.2">
      <c r="A191" s="3" t="s">
        <v>21</v>
      </c>
      <c r="B191" s="1">
        <v>44348</v>
      </c>
      <c r="C191" s="3" t="s">
        <v>25</v>
      </c>
      <c r="D191" s="3" t="s">
        <v>26</v>
      </c>
      <c r="E191" s="3" t="s">
        <v>15</v>
      </c>
      <c r="F191" s="89">
        <v>8</v>
      </c>
      <c r="G191" s="10">
        <v>0.37152777777777773</v>
      </c>
      <c r="H191" s="10">
        <v>0.39930555555555558</v>
      </c>
      <c r="I191" s="3">
        <v>7</v>
      </c>
      <c r="J191" s="3" t="s">
        <v>30</v>
      </c>
      <c r="K191" s="3" t="s">
        <v>28</v>
      </c>
      <c r="L191" s="10">
        <v>0.39999999999999997</v>
      </c>
      <c r="M191" s="3">
        <v>8</v>
      </c>
      <c r="N191" s="3">
        <v>8</v>
      </c>
      <c r="O191" s="3">
        <v>7</v>
      </c>
      <c r="P191" t="s">
        <v>22</v>
      </c>
      <c r="R191" s="1">
        <f t="shared" si="43"/>
        <v>44348</v>
      </c>
      <c r="S191" s="34">
        <f t="shared" ref="S191:S198" si="44">AVERAGE(M191:O191)</f>
        <v>7.666666666666667</v>
      </c>
      <c r="T191" s="37"/>
      <c r="U191" s="57"/>
      <c r="V191" s="38"/>
      <c r="W191" s="71"/>
      <c r="X191" s="74"/>
      <c r="Y191" s="74"/>
      <c r="Z191" s="74"/>
      <c r="AA191" s="74"/>
      <c r="AB191" s="74"/>
      <c r="AC191" s="75"/>
      <c r="AD191">
        <v>0.86482237799999995</v>
      </c>
    </row>
    <row r="192" spans="1:31" ht="16" customHeight="1" x14ac:dyDescent="0.2">
      <c r="A192" s="3" t="s">
        <v>21</v>
      </c>
      <c r="B192" s="1">
        <v>44348</v>
      </c>
      <c r="C192" s="3" t="s">
        <v>25</v>
      </c>
      <c r="D192" s="3" t="s">
        <v>26</v>
      </c>
      <c r="E192" s="3" t="s">
        <v>15</v>
      </c>
      <c r="F192" s="89">
        <v>8</v>
      </c>
      <c r="G192" s="10">
        <v>0.46874999999999994</v>
      </c>
      <c r="H192" s="10">
        <v>0.49722222222222218</v>
      </c>
      <c r="I192" s="3">
        <v>7</v>
      </c>
      <c r="J192" s="3" t="s">
        <v>30</v>
      </c>
      <c r="K192" s="3" t="s">
        <v>28</v>
      </c>
      <c r="L192" s="10">
        <v>0.49861111111111106</v>
      </c>
      <c r="M192" s="3">
        <v>8</v>
      </c>
      <c r="N192" s="3">
        <v>8</v>
      </c>
      <c r="O192" s="3">
        <v>8</v>
      </c>
      <c r="P192" t="s">
        <v>22</v>
      </c>
      <c r="R192" s="1">
        <f t="shared" si="43"/>
        <v>44348</v>
      </c>
      <c r="S192" s="34">
        <f t="shared" si="44"/>
        <v>8</v>
      </c>
      <c r="T192" s="39">
        <f>2745-2612</f>
        <v>133</v>
      </c>
      <c r="U192" s="57">
        <v>252</v>
      </c>
      <c r="V192" s="38">
        <v>7.6189999999999998</v>
      </c>
      <c r="W192" s="69">
        <v>-37</v>
      </c>
      <c r="X192" s="74">
        <v>-49.69959032204612</v>
      </c>
      <c r="Y192" s="74">
        <v>-16.561576408115847</v>
      </c>
      <c r="Z192" s="74">
        <v>-14.927773626002278</v>
      </c>
      <c r="AA192" s="74">
        <v>-16.452745582376018</v>
      </c>
      <c r="AB192" s="74">
        <v>-17.130292804181259</v>
      </c>
      <c r="AC192" s="75">
        <f t="shared" ref="AC192:AC195" si="45">X192*5/160+Y192*45/160+Z192*40/160+AA192*40/160+AB192*30/160</f>
        <v>-17.268115265225084</v>
      </c>
      <c r="AD192">
        <v>2.1374396359999999</v>
      </c>
    </row>
    <row r="193" spans="1:30" ht="16" customHeight="1" x14ac:dyDescent="0.2">
      <c r="A193" s="3" t="s">
        <v>21</v>
      </c>
      <c r="B193" s="1">
        <v>44348</v>
      </c>
      <c r="C193" s="3" t="s">
        <v>25</v>
      </c>
      <c r="D193" s="3" t="s">
        <v>26</v>
      </c>
      <c r="E193" s="3" t="s">
        <v>15</v>
      </c>
      <c r="F193" s="89">
        <v>8</v>
      </c>
      <c r="G193" s="10">
        <v>0.57986111111111116</v>
      </c>
      <c r="H193" s="10">
        <v>0.61250000000000004</v>
      </c>
      <c r="I193" s="3">
        <v>7</v>
      </c>
      <c r="J193" s="3" t="s">
        <v>31</v>
      </c>
      <c r="K193" s="3" t="s">
        <v>28</v>
      </c>
      <c r="L193" s="10">
        <v>0.61388888888888893</v>
      </c>
      <c r="M193" s="3">
        <v>8</v>
      </c>
      <c r="N193" s="3">
        <v>11</v>
      </c>
      <c r="O193" s="3">
        <v>9</v>
      </c>
      <c r="P193" t="s">
        <v>22</v>
      </c>
      <c r="R193" s="1">
        <f t="shared" si="43"/>
        <v>44348</v>
      </c>
      <c r="S193" s="34">
        <f t="shared" si="44"/>
        <v>9.3333333333333339</v>
      </c>
      <c r="T193" s="37"/>
      <c r="U193" s="57"/>
      <c r="V193" s="38"/>
      <c r="W193" s="69"/>
      <c r="X193" s="74">
        <v>-51.004925273673223</v>
      </c>
      <c r="Y193" s="74">
        <v>-16.676447411663997</v>
      </c>
      <c r="Z193" s="74">
        <v>-14.974903189026563</v>
      </c>
      <c r="AA193" s="74">
        <v>-16.614019056382368</v>
      </c>
      <c r="AB193" s="74">
        <v>-18.205315036500568</v>
      </c>
      <c r="AC193" s="75">
        <f t="shared" si="45"/>
        <v>-17.594881880028876</v>
      </c>
      <c r="AD193">
        <v>2.648045904</v>
      </c>
    </row>
    <row r="194" spans="1:30" ht="16" customHeight="1" x14ac:dyDescent="0.2">
      <c r="A194" s="3" t="s">
        <v>21</v>
      </c>
      <c r="B194" s="1">
        <v>44348</v>
      </c>
      <c r="C194" s="3" t="s">
        <v>25</v>
      </c>
      <c r="D194" s="3" t="s">
        <v>26</v>
      </c>
      <c r="E194" s="3" t="s">
        <v>15</v>
      </c>
      <c r="F194" s="89">
        <v>8</v>
      </c>
      <c r="G194" s="10">
        <v>0.69791666666666674</v>
      </c>
      <c r="H194" s="10">
        <v>0.7236111111111112</v>
      </c>
      <c r="I194" s="3">
        <v>7</v>
      </c>
      <c r="J194" s="3" t="s">
        <v>30</v>
      </c>
      <c r="K194" s="3" t="s">
        <v>28</v>
      </c>
      <c r="L194" s="10">
        <v>0.72499999999999998</v>
      </c>
      <c r="M194" s="3">
        <v>7</v>
      </c>
      <c r="N194" s="3">
        <v>8</v>
      </c>
      <c r="O194" s="3">
        <v>8</v>
      </c>
      <c r="P194" t="s">
        <v>22</v>
      </c>
      <c r="R194" s="1">
        <f t="shared" si="43"/>
        <v>44348</v>
      </c>
      <c r="S194" s="34">
        <f t="shared" si="44"/>
        <v>7.666666666666667</v>
      </c>
      <c r="T194" s="37"/>
      <c r="U194" s="57"/>
      <c r="V194" s="38"/>
      <c r="W194" s="69"/>
      <c r="X194" s="74">
        <v>-53.226975935439327</v>
      </c>
      <c r="Y194" s="74">
        <v>-16.89223124207053</v>
      </c>
      <c r="Z194" s="74">
        <v>-15.075738396348791</v>
      </c>
      <c r="AA194" s="74">
        <v>-16.864217177652872</v>
      </c>
      <c r="AB194" s="74">
        <v>-20.449097160099562</v>
      </c>
      <c r="AC194" s="75">
        <f t="shared" si="45"/>
        <v>-18.233477645833897</v>
      </c>
      <c r="AD194">
        <v>2.2834264960000001</v>
      </c>
    </row>
    <row r="195" spans="1:30" ht="16" customHeight="1" x14ac:dyDescent="0.2">
      <c r="A195" s="5" t="s">
        <v>21</v>
      </c>
      <c r="B195" s="6">
        <v>44348</v>
      </c>
      <c r="C195" s="5" t="s">
        <v>25</v>
      </c>
      <c r="D195" s="5" t="s">
        <v>26</v>
      </c>
      <c r="E195" s="5" t="s">
        <v>15</v>
      </c>
      <c r="F195" s="90">
        <v>8</v>
      </c>
      <c r="G195" s="5" t="s">
        <v>27</v>
      </c>
      <c r="H195" s="11">
        <v>0.13125000000000003</v>
      </c>
      <c r="I195" s="5">
        <v>7</v>
      </c>
      <c r="J195" s="5" t="s">
        <v>27</v>
      </c>
      <c r="K195" s="5" t="s">
        <v>28</v>
      </c>
      <c r="L195" s="11">
        <v>0.13194444444444448</v>
      </c>
      <c r="M195" s="5">
        <v>3</v>
      </c>
      <c r="N195" s="5">
        <v>4</v>
      </c>
      <c r="O195" s="5">
        <v>4</v>
      </c>
      <c r="P195" s="7" t="s">
        <v>23</v>
      </c>
      <c r="Q195" s="7"/>
      <c r="R195" s="1">
        <f t="shared" si="43"/>
        <v>44348</v>
      </c>
      <c r="S195" s="34">
        <f t="shared" si="44"/>
        <v>3.6666666666666665</v>
      </c>
      <c r="T195" s="39">
        <f>2745-2637</f>
        <v>108</v>
      </c>
      <c r="U195" s="58"/>
      <c r="V195" s="40"/>
      <c r="W195" s="70"/>
      <c r="X195" s="74">
        <v>-54.716725352256546</v>
      </c>
      <c r="Y195" s="74">
        <v>-17.022899244620572</v>
      </c>
      <c r="Z195" s="74">
        <v>-15.164038526659372</v>
      </c>
      <c r="AA195" s="74">
        <v>-17.007041373601417</v>
      </c>
      <c r="AB195" s="74">
        <v>-21.281931583266861</v>
      </c>
      <c r="AC195" s="75">
        <f t="shared" si="45"/>
        <v>-18.530720226735287</v>
      </c>
      <c r="AD195">
        <v>0.80875387499999996</v>
      </c>
    </row>
    <row r="196" spans="1:30" ht="16" customHeight="1" x14ac:dyDescent="0.2">
      <c r="A196" s="5" t="s">
        <v>21</v>
      </c>
      <c r="B196" s="6">
        <v>44348</v>
      </c>
      <c r="C196" s="5" t="s">
        <v>25</v>
      </c>
      <c r="D196" s="5" t="s">
        <v>26</v>
      </c>
      <c r="E196" s="5" t="s">
        <v>15</v>
      </c>
      <c r="F196" s="90">
        <v>8</v>
      </c>
      <c r="G196" s="5" t="s">
        <v>27</v>
      </c>
      <c r="H196" s="11">
        <v>0.3118055555555555</v>
      </c>
      <c r="I196" s="5">
        <v>7</v>
      </c>
      <c r="J196" s="5" t="s">
        <v>30</v>
      </c>
      <c r="K196" s="5" t="s">
        <v>28</v>
      </c>
      <c r="L196" s="11">
        <v>0.31319444444444444</v>
      </c>
      <c r="M196" s="5">
        <v>9</v>
      </c>
      <c r="N196" s="5">
        <v>10</v>
      </c>
      <c r="O196" s="5">
        <v>10</v>
      </c>
      <c r="P196" s="7" t="s">
        <v>23</v>
      </c>
      <c r="Q196" s="7"/>
      <c r="R196" s="1">
        <f t="shared" si="43"/>
        <v>44348</v>
      </c>
      <c r="S196" s="34">
        <f t="shared" si="44"/>
        <v>9.6666666666666661</v>
      </c>
      <c r="T196" s="37"/>
      <c r="U196" s="57"/>
      <c r="V196" s="38"/>
      <c r="W196" s="69"/>
      <c r="X196" s="74">
        <v>-49.051333504538015</v>
      </c>
      <c r="Y196" s="74">
        <v>-16.466813078368624</v>
      </c>
      <c r="Z196" s="74">
        <v>-14.880437290618442</v>
      </c>
      <c r="AA196" s="74">
        <v>-16.364673851496708</v>
      </c>
      <c r="AB196" s="74">
        <v>-16.759535056875226</v>
      </c>
      <c r="AC196" s="75">
        <f t="shared" ref="AC196:AC200" si="46">X196*5/160+Y196*45/160+Z196*40/160+AA196*40/160+AB196*30/160</f>
        <v>-17.117835959000878</v>
      </c>
      <c r="AD196">
        <v>0.63092386099999997</v>
      </c>
    </row>
    <row r="197" spans="1:30" ht="16" customHeight="1" x14ac:dyDescent="0.2">
      <c r="A197" s="5" t="s">
        <v>21</v>
      </c>
      <c r="B197" s="6">
        <v>44348</v>
      </c>
      <c r="C197" s="5" t="s">
        <v>25</v>
      </c>
      <c r="D197" s="5" t="s">
        <v>26</v>
      </c>
      <c r="E197" s="5" t="s">
        <v>15</v>
      </c>
      <c r="F197" s="90">
        <v>8</v>
      </c>
      <c r="G197" s="11" t="s">
        <v>27</v>
      </c>
      <c r="H197" s="11">
        <v>0.39583333333333331</v>
      </c>
      <c r="I197" s="5">
        <v>7</v>
      </c>
      <c r="J197" s="5" t="s">
        <v>30</v>
      </c>
      <c r="K197" s="5" t="s">
        <v>28</v>
      </c>
      <c r="L197" s="11">
        <v>0.3972222222222222</v>
      </c>
      <c r="M197" s="5">
        <v>13</v>
      </c>
      <c r="N197" s="5">
        <v>12</v>
      </c>
      <c r="O197" s="5">
        <v>15</v>
      </c>
      <c r="P197" s="7" t="s">
        <v>23</v>
      </c>
      <c r="Q197" s="7"/>
      <c r="R197" s="1">
        <f t="shared" si="43"/>
        <v>44348</v>
      </c>
      <c r="S197" s="34">
        <f>AVERAGE(M197:O197)</f>
        <v>13.333333333333334</v>
      </c>
      <c r="T197" s="37"/>
      <c r="U197" s="57"/>
      <c r="V197" s="38"/>
      <c r="W197" s="69"/>
      <c r="X197" s="74">
        <v>-49.69959032204612</v>
      </c>
      <c r="Y197" s="74">
        <v>-16.561576408115847</v>
      </c>
      <c r="Z197" s="74">
        <v>-14.927773626002278</v>
      </c>
      <c r="AA197" s="74">
        <v>-16.452745582376018</v>
      </c>
      <c r="AB197" s="74">
        <v>-17.130292804181259</v>
      </c>
      <c r="AC197" s="75">
        <f t="shared" si="46"/>
        <v>-17.268115265225084</v>
      </c>
      <c r="AD197">
        <v>0.86482237799999995</v>
      </c>
    </row>
    <row r="198" spans="1:30" ht="16" customHeight="1" x14ac:dyDescent="0.2">
      <c r="A198" s="5" t="s">
        <v>21</v>
      </c>
      <c r="B198" s="6">
        <v>44348</v>
      </c>
      <c r="C198" s="5" t="s">
        <v>25</v>
      </c>
      <c r="D198" s="5" t="s">
        <v>26</v>
      </c>
      <c r="E198" s="5" t="s">
        <v>15</v>
      </c>
      <c r="F198" s="90">
        <v>8</v>
      </c>
      <c r="G198" s="5" t="s">
        <v>27</v>
      </c>
      <c r="H198" s="11">
        <v>0.49166666666666664</v>
      </c>
      <c r="I198" s="5">
        <v>7</v>
      </c>
      <c r="J198" s="5" t="s">
        <v>30</v>
      </c>
      <c r="K198" s="5" t="s">
        <v>28</v>
      </c>
      <c r="L198" s="11">
        <v>0.49305555555555552</v>
      </c>
      <c r="M198" s="5">
        <v>12</v>
      </c>
      <c r="N198" s="5">
        <v>12</v>
      </c>
      <c r="O198" s="5">
        <v>15</v>
      </c>
      <c r="P198" s="7" t="s">
        <v>23</v>
      </c>
      <c r="Q198" s="7"/>
      <c r="R198" s="1">
        <f t="shared" si="43"/>
        <v>44348</v>
      </c>
      <c r="S198" s="34">
        <f t="shared" si="44"/>
        <v>13</v>
      </c>
      <c r="T198" s="39">
        <f>2745-2612</f>
        <v>133</v>
      </c>
      <c r="U198" s="57">
        <v>252</v>
      </c>
      <c r="V198" s="38">
        <v>7.6189999999999998</v>
      </c>
      <c r="W198" s="69">
        <v>-37</v>
      </c>
      <c r="X198" s="74">
        <v>-51.004925273673223</v>
      </c>
      <c r="Y198" s="74">
        <v>-16.676447411663997</v>
      </c>
      <c r="Z198" s="74">
        <v>-14.974903189026563</v>
      </c>
      <c r="AA198" s="74">
        <v>-16.614019056382368</v>
      </c>
      <c r="AB198" s="74">
        <v>-18.205315036500568</v>
      </c>
      <c r="AC198" s="75">
        <f t="shared" si="46"/>
        <v>-17.594881880028876</v>
      </c>
      <c r="AD198">
        <v>2.1374396359999999</v>
      </c>
    </row>
    <row r="199" spans="1:30" ht="16" customHeight="1" x14ac:dyDescent="0.2">
      <c r="A199" s="5" t="s">
        <v>21</v>
      </c>
      <c r="B199" s="6">
        <v>44348</v>
      </c>
      <c r="C199" s="5" t="s">
        <v>25</v>
      </c>
      <c r="D199" s="5" t="s">
        <v>26</v>
      </c>
      <c r="E199" s="5" t="s">
        <v>15</v>
      </c>
      <c r="F199" s="90">
        <v>8</v>
      </c>
      <c r="G199" s="11" t="s">
        <v>27</v>
      </c>
      <c r="H199" s="11">
        <v>0.60833333333333339</v>
      </c>
      <c r="I199" s="5">
        <v>7</v>
      </c>
      <c r="J199" s="5" t="s">
        <v>31</v>
      </c>
      <c r="K199" s="5" t="s">
        <v>28</v>
      </c>
      <c r="L199" s="11">
        <v>0.60972222222222228</v>
      </c>
      <c r="M199" s="5">
        <v>12</v>
      </c>
      <c r="N199" s="5">
        <v>15</v>
      </c>
      <c r="O199" s="5">
        <v>16</v>
      </c>
      <c r="P199" s="7" t="s">
        <v>23</v>
      </c>
      <c r="Q199" s="7"/>
      <c r="R199" s="1">
        <f t="shared" si="43"/>
        <v>44348</v>
      </c>
      <c r="S199" s="34">
        <f>AVERAGE(M199:O199)</f>
        <v>14.333333333333334</v>
      </c>
      <c r="T199" s="37"/>
      <c r="U199" s="57"/>
      <c r="V199" s="38"/>
      <c r="W199" s="69"/>
      <c r="X199" s="74">
        <v>-53.226975935439327</v>
      </c>
      <c r="Y199" s="74">
        <v>-16.89223124207053</v>
      </c>
      <c r="Z199" s="74">
        <v>-15.075738396348791</v>
      </c>
      <c r="AA199" s="74">
        <v>-16.864217177652872</v>
      </c>
      <c r="AB199" s="74">
        <v>-20.449097160099562</v>
      </c>
      <c r="AC199" s="75">
        <f t="shared" si="46"/>
        <v>-18.233477645833897</v>
      </c>
      <c r="AD199">
        <v>2.648045904</v>
      </c>
    </row>
    <row r="200" spans="1:30" ht="16" customHeight="1" x14ac:dyDescent="0.2">
      <c r="A200" s="5" t="s">
        <v>21</v>
      </c>
      <c r="B200" s="6">
        <v>44348</v>
      </c>
      <c r="C200" s="5" t="s">
        <v>25</v>
      </c>
      <c r="D200" s="5" t="s">
        <v>26</v>
      </c>
      <c r="E200" s="5" t="s">
        <v>15</v>
      </c>
      <c r="F200" s="90">
        <v>8</v>
      </c>
      <c r="G200" s="11" t="s">
        <v>27</v>
      </c>
      <c r="H200" s="11">
        <v>0.72083333333333344</v>
      </c>
      <c r="I200" s="5">
        <v>7</v>
      </c>
      <c r="J200" s="5" t="s">
        <v>30</v>
      </c>
      <c r="K200" s="5" t="s">
        <v>28</v>
      </c>
      <c r="L200" s="11">
        <v>0.72222222222222221</v>
      </c>
      <c r="M200" s="5">
        <v>13</v>
      </c>
      <c r="N200" s="5">
        <v>13</v>
      </c>
      <c r="O200" s="5">
        <v>15</v>
      </c>
      <c r="P200" s="7" t="s">
        <v>23</v>
      </c>
      <c r="Q200" s="7"/>
      <c r="R200" s="1">
        <f t="shared" si="43"/>
        <v>44348</v>
      </c>
      <c r="S200" s="34">
        <f>AVERAGE(M200:O200)</f>
        <v>13.666666666666666</v>
      </c>
      <c r="T200" s="37"/>
      <c r="U200" s="57"/>
      <c r="V200" s="38"/>
      <c r="W200" s="69"/>
      <c r="X200" s="74">
        <v>-54.716725352256546</v>
      </c>
      <c r="Y200" s="74">
        <v>-17.022899244620572</v>
      </c>
      <c r="Z200" s="74">
        <v>-15.164038526659372</v>
      </c>
      <c r="AA200" s="74">
        <v>-17.007041373601417</v>
      </c>
      <c r="AB200" s="74">
        <v>-21.281931583266861</v>
      </c>
      <c r="AC200" s="75">
        <f t="shared" si="46"/>
        <v>-18.530720226735287</v>
      </c>
      <c r="AD200">
        <v>2.2834264960000001</v>
      </c>
    </row>
    <row r="201" spans="1:30" ht="16" customHeight="1" x14ac:dyDescent="0.2">
      <c r="A201" s="8"/>
      <c r="B201" s="17"/>
      <c r="C201" s="8"/>
      <c r="D201" s="8"/>
      <c r="E201" s="8"/>
      <c r="F201" s="91"/>
      <c r="G201" s="15"/>
      <c r="H201" s="15"/>
      <c r="I201" s="8"/>
      <c r="J201" s="16"/>
      <c r="K201" s="8"/>
      <c r="L201" s="15"/>
      <c r="M201" s="8"/>
      <c r="N201" s="8"/>
      <c r="O201" s="8"/>
      <c r="P201" s="9"/>
      <c r="Q201" s="9"/>
      <c r="S201" s="34"/>
      <c r="T201" s="37"/>
      <c r="U201" s="57"/>
      <c r="V201" s="38"/>
      <c r="W201" s="69"/>
      <c r="X201" s="74"/>
      <c r="Y201" s="74"/>
      <c r="Z201" s="74"/>
      <c r="AA201" s="74"/>
      <c r="AB201" s="74"/>
      <c r="AC201" s="74"/>
      <c r="AD201" s="83"/>
    </row>
    <row r="202" spans="1:30" ht="16" customHeight="1" x14ac:dyDescent="0.2">
      <c r="A202" s="3" t="s">
        <v>21</v>
      </c>
      <c r="B202" s="1">
        <v>44398</v>
      </c>
      <c r="C202" s="3" t="s">
        <v>25</v>
      </c>
      <c r="D202" s="3" t="s">
        <v>35</v>
      </c>
      <c r="E202" s="3" t="s">
        <v>15</v>
      </c>
      <c r="F202" s="89">
        <v>8</v>
      </c>
      <c r="G202" s="10">
        <v>0.31597222222222221</v>
      </c>
      <c r="H202" s="10">
        <v>0.35902777777777778</v>
      </c>
      <c r="I202" s="3">
        <v>6</v>
      </c>
      <c r="J202" s="12" t="s">
        <v>30</v>
      </c>
      <c r="K202" s="3" t="s">
        <v>28</v>
      </c>
      <c r="L202" s="10">
        <v>0.36111111111111105</v>
      </c>
      <c r="M202" s="3">
        <v>6</v>
      </c>
      <c r="N202" s="3">
        <v>7</v>
      </c>
      <c r="O202" s="3">
        <v>7</v>
      </c>
      <c r="P202" t="s">
        <v>22</v>
      </c>
      <c r="R202" s="1">
        <f t="shared" ref="R202:R210" si="47">B202</f>
        <v>44398</v>
      </c>
      <c r="S202" s="34">
        <f t="shared" ref="S202:S210" si="48">AVERAGE(M202:O202)</f>
        <v>6.666666666666667</v>
      </c>
      <c r="T202" s="37"/>
      <c r="U202" s="57"/>
      <c r="V202" s="38"/>
      <c r="W202" s="69"/>
      <c r="X202" s="74">
        <v>-49.832894018329</v>
      </c>
      <c r="Y202" s="74">
        <v>-18.814329039997794</v>
      </c>
      <c r="Z202" s="74">
        <v>-86.153367659209025</v>
      </c>
      <c r="AA202" s="74">
        <v>-181.63232655648278</v>
      </c>
      <c r="AB202" s="74">
        <v>-221.61686831441025</v>
      </c>
      <c r="AC202" s="75">
        <f t="shared" ref="AC202:AC205" si="49">X202*5/160+Y202*45/160+Z202*40/160+AA202*40/160+AB202*30/160</f>
        <v>-115.34839434344704</v>
      </c>
      <c r="AD202">
        <v>0.84073598199999999</v>
      </c>
    </row>
    <row r="203" spans="1:30" x14ac:dyDescent="0.2">
      <c r="A203" s="3" t="s">
        <v>21</v>
      </c>
      <c r="B203" s="1">
        <v>44398</v>
      </c>
      <c r="C203" s="3" t="s">
        <v>25</v>
      </c>
      <c r="D203" s="3" t="s">
        <v>35</v>
      </c>
      <c r="E203" s="3" t="s">
        <v>15</v>
      </c>
      <c r="F203" s="89">
        <v>8</v>
      </c>
      <c r="G203" s="10">
        <v>0.46180555555555552</v>
      </c>
      <c r="H203" s="10">
        <v>0.49999999999999994</v>
      </c>
      <c r="I203" s="3">
        <v>6</v>
      </c>
      <c r="J203" s="12" t="s">
        <v>29</v>
      </c>
      <c r="K203" s="3" t="s">
        <v>28</v>
      </c>
      <c r="L203" s="10">
        <v>0.50208333333333344</v>
      </c>
      <c r="M203" s="3">
        <v>8</v>
      </c>
      <c r="N203" s="3">
        <v>9</v>
      </c>
      <c r="O203" s="3">
        <v>10</v>
      </c>
      <c r="P203" t="s">
        <v>22</v>
      </c>
      <c r="R203" s="1">
        <f t="shared" si="47"/>
        <v>44398</v>
      </c>
      <c r="S203" s="34">
        <f t="shared" si="48"/>
        <v>9</v>
      </c>
      <c r="T203" s="39">
        <f>3280-3078</f>
        <v>202</v>
      </c>
      <c r="U203" s="57">
        <v>318.8</v>
      </c>
      <c r="V203" s="38">
        <v>8.1010000000000009</v>
      </c>
      <c r="W203" s="69">
        <v>16</v>
      </c>
      <c r="X203" s="74">
        <v>-53.724999108573492</v>
      </c>
      <c r="Y203" s="74">
        <v>-19.574588477736899</v>
      </c>
      <c r="Z203" s="74">
        <v>-87.741738072915069</v>
      </c>
      <c r="AA203" s="74">
        <v>-184.13268450049617</v>
      </c>
      <c r="AB203" s="74">
        <v>-232.79749405185993</v>
      </c>
      <c r="AC203" s="75">
        <f t="shared" si="49"/>
        <v>-118.80239500958297</v>
      </c>
      <c r="AD203">
        <v>1.771851724</v>
      </c>
    </row>
    <row r="204" spans="1:30" x14ac:dyDescent="0.2">
      <c r="A204" s="3" t="s">
        <v>21</v>
      </c>
      <c r="B204" s="1">
        <v>44398</v>
      </c>
      <c r="C204" s="3" t="s">
        <v>25</v>
      </c>
      <c r="D204" s="3" t="s">
        <v>35</v>
      </c>
      <c r="E204" s="3" t="s">
        <v>15</v>
      </c>
      <c r="F204" s="89">
        <v>8</v>
      </c>
      <c r="G204" s="10">
        <v>0.57986111111111116</v>
      </c>
      <c r="H204" s="10">
        <v>0.61319444444444449</v>
      </c>
      <c r="I204" s="3">
        <v>6</v>
      </c>
      <c r="J204" s="12" t="s">
        <v>29</v>
      </c>
      <c r="K204" s="3" t="s">
        <v>28</v>
      </c>
      <c r="L204" s="10">
        <v>0.61527777777777781</v>
      </c>
      <c r="M204" s="3">
        <v>8</v>
      </c>
      <c r="N204" s="3">
        <v>8</v>
      </c>
      <c r="O204" s="3">
        <v>9</v>
      </c>
      <c r="P204" t="s">
        <v>22</v>
      </c>
      <c r="R204" s="1">
        <f t="shared" si="47"/>
        <v>44398</v>
      </c>
      <c r="S204" s="34">
        <f t="shared" si="48"/>
        <v>8.3333333333333339</v>
      </c>
      <c r="T204" s="37"/>
      <c r="U204" s="57"/>
      <c r="V204" s="38"/>
      <c r="W204" s="69"/>
      <c r="X204" s="74">
        <v>-56.827705723912217</v>
      </c>
      <c r="Y204" s="74">
        <v>-20.094762757482528</v>
      </c>
      <c r="Z204" s="74">
        <v>-88.996113307720805</v>
      </c>
      <c r="AA204" s="74">
        <v>-186.29332733608189</v>
      </c>
      <c r="AB204" s="74">
        <v>-243.05056952719383</v>
      </c>
      <c r="AC204" s="75">
        <f t="shared" si="49"/>
        <v>-121.82185977671374</v>
      </c>
      <c r="AD204">
        <v>2.2984934809999999</v>
      </c>
    </row>
    <row r="205" spans="1:30" x14ac:dyDescent="0.2">
      <c r="A205" s="3" t="s">
        <v>21</v>
      </c>
      <c r="B205" s="1">
        <v>44398</v>
      </c>
      <c r="C205" s="3" t="s">
        <v>25</v>
      </c>
      <c r="D205" s="3" t="s">
        <v>35</v>
      </c>
      <c r="E205" s="3" t="s">
        <v>15</v>
      </c>
      <c r="F205" s="89">
        <v>8</v>
      </c>
      <c r="G205" s="10">
        <v>0.6527777777777779</v>
      </c>
      <c r="H205" s="10">
        <v>0.69652777777777775</v>
      </c>
      <c r="I205" s="3">
        <v>6</v>
      </c>
      <c r="J205" s="12" t="s">
        <v>29</v>
      </c>
      <c r="K205" s="3" t="s">
        <v>28</v>
      </c>
      <c r="L205" s="10">
        <v>0.69861111111111107</v>
      </c>
      <c r="M205" s="3">
        <v>9</v>
      </c>
      <c r="N205" s="3">
        <v>9</v>
      </c>
      <c r="O205" s="3">
        <v>12</v>
      </c>
      <c r="P205" t="s">
        <v>22</v>
      </c>
      <c r="R205" s="1">
        <f t="shared" si="47"/>
        <v>44398</v>
      </c>
      <c r="S205" s="34">
        <f t="shared" si="48"/>
        <v>10</v>
      </c>
      <c r="T205" s="37"/>
      <c r="U205" s="57"/>
      <c r="V205" s="38"/>
      <c r="W205" s="69"/>
      <c r="X205" s="74">
        <v>-59.974907405287084</v>
      </c>
      <c r="Y205" s="74">
        <v>-20.538659853670914</v>
      </c>
      <c r="Z205" s="74">
        <v>-89.589526860694292</v>
      </c>
      <c r="AA205" s="74">
        <v>-189.05481696425196</v>
      </c>
      <c r="AB205" s="74">
        <v>-252.36056533236911</v>
      </c>
      <c r="AC205" s="75">
        <f t="shared" si="49"/>
        <v>-124.62940589631593</v>
      </c>
      <c r="AD205">
        <v>2.2879598090000002</v>
      </c>
    </row>
    <row r="206" spans="1:30" x14ac:dyDescent="0.2">
      <c r="A206" s="5" t="s">
        <v>21</v>
      </c>
      <c r="B206" s="6">
        <v>44398</v>
      </c>
      <c r="C206" s="5" t="s">
        <v>25</v>
      </c>
      <c r="D206" s="5" t="s">
        <v>35</v>
      </c>
      <c r="E206" s="5" t="s">
        <v>15</v>
      </c>
      <c r="F206" s="90">
        <v>8</v>
      </c>
      <c r="G206" s="11" t="s">
        <v>27</v>
      </c>
      <c r="H206" s="11">
        <v>0.14375000000000002</v>
      </c>
      <c r="I206" s="5">
        <v>6</v>
      </c>
      <c r="J206" s="13" t="s">
        <v>27</v>
      </c>
      <c r="K206" s="5" t="s">
        <v>28</v>
      </c>
      <c r="L206" s="11">
        <v>0.14583333333333334</v>
      </c>
      <c r="M206" s="5">
        <v>3</v>
      </c>
      <c r="N206" s="5">
        <v>3</v>
      </c>
      <c r="O206" s="5">
        <v>4</v>
      </c>
      <c r="P206" s="7" t="s">
        <v>23</v>
      </c>
      <c r="Q206" s="7"/>
      <c r="R206" s="1">
        <f t="shared" si="47"/>
        <v>44398</v>
      </c>
      <c r="S206" s="34">
        <f t="shared" si="48"/>
        <v>3.3333333333333335</v>
      </c>
      <c r="T206" s="39">
        <f>3280-3097</f>
        <v>183</v>
      </c>
      <c r="U206" s="57"/>
      <c r="V206" s="40"/>
      <c r="W206" s="70"/>
      <c r="X206" s="75">
        <v>-48.782650509898801</v>
      </c>
      <c r="Y206" s="75">
        <v>-18.637732190731121</v>
      </c>
      <c r="Z206" s="75">
        <v>-87.070086424156756</v>
      </c>
      <c r="AA206" s="75">
        <v>-182.36614147303294</v>
      </c>
      <c r="AB206" s="75">
        <v>-227.45719634208393</v>
      </c>
      <c r="AC206" s="75">
        <f t="shared" ref="AC206:AC210" si="50">X206*5/160+Y206*45/160+Z206*40/160+AA206*40/160+AB206*30/160</f>
        <v>-116.77360129551563</v>
      </c>
      <c r="AD206">
        <v>0.82276844500000001</v>
      </c>
    </row>
    <row r="207" spans="1:30" x14ac:dyDescent="0.2">
      <c r="A207" s="5" t="s">
        <v>21</v>
      </c>
      <c r="B207" s="6">
        <v>44398</v>
      </c>
      <c r="C207" s="5" t="s">
        <v>25</v>
      </c>
      <c r="D207" s="5" t="s">
        <v>35</v>
      </c>
      <c r="E207" s="5" t="s">
        <v>15</v>
      </c>
      <c r="F207" s="90">
        <v>8</v>
      </c>
      <c r="G207" s="11" t="s">
        <v>27</v>
      </c>
      <c r="H207" s="11">
        <v>0.36388888888888882</v>
      </c>
      <c r="I207" s="5">
        <v>6</v>
      </c>
      <c r="J207" s="13" t="s">
        <v>30</v>
      </c>
      <c r="K207" s="5" t="s">
        <v>28</v>
      </c>
      <c r="L207" s="11">
        <v>0.3659722222222222</v>
      </c>
      <c r="M207" s="5">
        <v>13</v>
      </c>
      <c r="N207" s="5">
        <v>14</v>
      </c>
      <c r="O207" s="5">
        <v>17</v>
      </c>
      <c r="P207" s="7" t="s">
        <v>23</v>
      </c>
      <c r="Q207" s="7"/>
      <c r="R207" s="1">
        <f t="shared" si="47"/>
        <v>44398</v>
      </c>
      <c r="S207" s="34">
        <f t="shared" si="48"/>
        <v>14.666666666666666</v>
      </c>
      <c r="T207" s="37"/>
      <c r="U207" s="57"/>
      <c r="V207" s="38"/>
      <c r="W207" s="69"/>
      <c r="X207" s="74">
        <v>-49.832894018329</v>
      </c>
      <c r="Y207" s="74">
        <v>-18.814329039997794</v>
      </c>
      <c r="Z207" s="74">
        <v>-86.153367659209025</v>
      </c>
      <c r="AA207" s="74">
        <v>-181.63232655648278</v>
      </c>
      <c r="AB207" s="74">
        <v>-221.61686831441025</v>
      </c>
      <c r="AC207" s="75">
        <f t="shared" si="50"/>
        <v>-115.34839434344704</v>
      </c>
      <c r="AD207">
        <v>0.84073598199999999</v>
      </c>
    </row>
    <row r="208" spans="1:30" x14ac:dyDescent="0.2">
      <c r="A208" s="5" t="s">
        <v>21</v>
      </c>
      <c r="B208" s="6">
        <v>44398</v>
      </c>
      <c r="C208" s="5" t="s">
        <v>25</v>
      </c>
      <c r="D208" s="5" t="s">
        <v>35</v>
      </c>
      <c r="E208" s="5" t="s">
        <v>15</v>
      </c>
      <c r="F208" s="90">
        <v>8</v>
      </c>
      <c r="G208" s="11" t="s">
        <v>27</v>
      </c>
      <c r="H208" s="11">
        <v>0.50694444444444442</v>
      </c>
      <c r="I208" s="5">
        <v>6</v>
      </c>
      <c r="J208" s="13" t="s">
        <v>29</v>
      </c>
      <c r="K208" s="5" t="s">
        <v>28</v>
      </c>
      <c r="L208" s="11">
        <v>0.50972222222222219</v>
      </c>
      <c r="M208" s="5">
        <v>17</v>
      </c>
      <c r="N208" s="5">
        <v>22</v>
      </c>
      <c r="O208" s="5">
        <v>23</v>
      </c>
      <c r="P208" s="7" t="s">
        <v>23</v>
      </c>
      <c r="Q208" s="7"/>
      <c r="R208" s="1">
        <f t="shared" si="47"/>
        <v>44398</v>
      </c>
      <c r="S208" s="34">
        <f t="shared" si="48"/>
        <v>20.666666666666668</v>
      </c>
      <c r="T208" s="39">
        <f>3280-3078</f>
        <v>202</v>
      </c>
      <c r="U208" s="57">
        <v>318.8</v>
      </c>
      <c r="V208" s="38">
        <v>8.1010000000000009</v>
      </c>
      <c r="W208" s="69">
        <v>16</v>
      </c>
      <c r="X208" s="74">
        <v>-53.724999108573492</v>
      </c>
      <c r="Y208" s="74">
        <v>-19.574588477736899</v>
      </c>
      <c r="Z208" s="74">
        <v>-87.741738072915069</v>
      </c>
      <c r="AA208" s="74">
        <v>-184.13268450049617</v>
      </c>
      <c r="AB208" s="74">
        <v>-232.79749405185993</v>
      </c>
      <c r="AC208" s="75">
        <f t="shared" si="50"/>
        <v>-118.80239500958297</v>
      </c>
      <c r="AD208">
        <v>1.771851724</v>
      </c>
    </row>
    <row r="209" spans="1:30" x14ac:dyDescent="0.2">
      <c r="A209" s="5" t="s">
        <v>21</v>
      </c>
      <c r="B209" s="6">
        <v>44398</v>
      </c>
      <c r="C209" s="5" t="s">
        <v>25</v>
      </c>
      <c r="D209" s="5" t="s">
        <v>35</v>
      </c>
      <c r="E209" s="5" t="s">
        <v>15</v>
      </c>
      <c r="F209" s="90">
        <v>8</v>
      </c>
      <c r="G209" s="11" t="s">
        <v>27</v>
      </c>
      <c r="H209" s="11">
        <v>0.61805555555555558</v>
      </c>
      <c r="I209" s="5">
        <v>6</v>
      </c>
      <c r="J209" s="13" t="s">
        <v>29</v>
      </c>
      <c r="K209" s="5" t="s">
        <v>28</v>
      </c>
      <c r="L209" s="11">
        <v>0.62013888888888891</v>
      </c>
      <c r="M209" s="5">
        <v>16</v>
      </c>
      <c r="N209" s="5">
        <v>17</v>
      </c>
      <c r="O209" s="5">
        <v>17</v>
      </c>
      <c r="P209" s="7" t="s">
        <v>23</v>
      </c>
      <c r="Q209" s="7"/>
      <c r="R209" s="1">
        <f t="shared" si="47"/>
        <v>44398</v>
      </c>
      <c r="S209" s="34">
        <f t="shared" si="48"/>
        <v>16.666666666666668</v>
      </c>
      <c r="T209" s="37"/>
      <c r="U209" s="57"/>
      <c r="V209" s="38"/>
      <c r="W209" s="69"/>
      <c r="X209" s="74">
        <v>-56.827705723912217</v>
      </c>
      <c r="Y209" s="74">
        <v>-20.094762757482528</v>
      </c>
      <c r="Z209" s="74">
        <v>-88.996113307720805</v>
      </c>
      <c r="AA209" s="74">
        <v>-186.29332733608189</v>
      </c>
      <c r="AB209" s="74">
        <v>-243.05056952719383</v>
      </c>
      <c r="AC209" s="75">
        <f t="shared" si="50"/>
        <v>-121.82185977671374</v>
      </c>
      <c r="AD209">
        <v>2.2984934809999999</v>
      </c>
    </row>
    <row r="210" spans="1:30" x14ac:dyDescent="0.2">
      <c r="A210" s="5" t="s">
        <v>21</v>
      </c>
      <c r="B210" s="6">
        <v>44398</v>
      </c>
      <c r="C210" s="5" t="s">
        <v>25</v>
      </c>
      <c r="D210" s="5" t="s">
        <v>35</v>
      </c>
      <c r="E210" s="5" t="s">
        <v>15</v>
      </c>
      <c r="F210" s="90">
        <v>8</v>
      </c>
      <c r="G210" s="11" t="s">
        <v>27</v>
      </c>
      <c r="H210" s="11">
        <v>0.70208333333333339</v>
      </c>
      <c r="I210" s="5">
        <v>6</v>
      </c>
      <c r="J210" s="13" t="s">
        <v>29</v>
      </c>
      <c r="K210" s="5" t="s">
        <v>28</v>
      </c>
      <c r="L210" s="11">
        <v>0.70347222222222228</v>
      </c>
      <c r="M210" s="5">
        <v>15</v>
      </c>
      <c r="N210" s="5">
        <v>15</v>
      </c>
      <c r="O210" s="5">
        <v>16</v>
      </c>
      <c r="P210" s="7" t="s">
        <v>23</v>
      </c>
      <c r="Q210" s="7"/>
      <c r="R210" s="1">
        <f t="shared" si="47"/>
        <v>44398</v>
      </c>
      <c r="S210" s="34">
        <f t="shared" si="48"/>
        <v>15.333333333333334</v>
      </c>
      <c r="T210" s="37"/>
      <c r="U210" s="57"/>
      <c r="V210" s="38"/>
      <c r="W210" s="69"/>
      <c r="X210" s="74">
        <v>-59.974907405287084</v>
      </c>
      <c r="Y210" s="74">
        <v>-20.538659853670914</v>
      </c>
      <c r="Z210" s="74">
        <v>-89.589526860694292</v>
      </c>
      <c r="AA210" s="74">
        <v>-189.05481696425196</v>
      </c>
      <c r="AB210" s="74">
        <v>-252.36056533236911</v>
      </c>
      <c r="AC210" s="75">
        <f t="shared" si="50"/>
        <v>-124.62940589631593</v>
      </c>
      <c r="AD210">
        <v>2.2879598090000002</v>
      </c>
    </row>
    <row r="211" spans="1:30" x14ac:dyDescent="0.2">
      <c r="A211" s="8"/>
      <c r="B211" s="17"/>
      <c r="C211" s="8"/>
      <c r="D211" s="8"/>
      <c r="E211" s="8"/>
      <c r="F211" s="91"/>
      <c r="G211" s="15"/>
      <c r="H211" s="15"/>
      <c r="I211" s="8"/>
      <c r="J211" s="16"/>
      <c r="K211" s="8"/>
      <c r="L211" s="15"/>
      <c r="M211" s="8"/>
      <c r="N211" s="8"/>
      <c r="O211" s="8"/>
      <c r="P211" s="9"/>
      <c r="Q211" s="9"/>
      <c r="S211" s="34"/>
      <c r="T211" s="37"/>
      <c r="U211" s="57"/>
      <c r="V211" s="38"/>
      <c r="W211" s="69"/>
      <c r="X211" s="74"/>
      <c r="Y211" s="74"/>
      <c r="Z211" s="74"/>
      <c r="AA211" s="74"/>
      <c r="AB211" s="74"/>
      <c r="AC211" s="74"/>
      <c r="AD211" s="83"/>
    </row>
    <row r="212" spans="1:30" x14ac:dyDescent="0.2">
      <c r="A212" s="3" t="s">
        <v>21</v>
      </c>
      <c r="B212" s="1">
        <v>44434</v>
      </c>
      <c r="C212" s="3" t="s">
        <v>25</v>
      </c>
      <c r="D212" s="3" t="s">
        <v>51</v>
      </c>
      <c r="E212" s="3" t="s">
        <v>15</v>
      </c>
      <c r="F212" s="89">
        <v>8</v>
      </c>
      <c r="G212" s="10">
        <v>0.31805555555555554</v>
      </c>
      <c r="H212" s="10">
        <v>0.49513888888888885</v>
      </c>
      <c r="I212" s="3">
        <v>7</v>
      </c>
      <c r="J212" s="12" t="s">
        <v>30</v>
      </c>
      <c r="K212" s="3" t="s">
        <v>28</v>
      </c>
      <c r="L212" s="10">
        <v>0.49791666666666662</v>
      </c>
      <c r="M212" s="3">
        <v>13</v>
      </c>
      <c r="N212" s="3">
        <v>14</v>
      </c>
      <c r="O212" s="3">
        <v>15</v>
      </c>
      <c r="P212" t="s">
        <v>22</v>
      </c>
      <c r="Q212" t="s">
        <v>52</v>
      </c>
      <c r="R212" s="1">
        <f t="shared" ref="R212:R216" si="51">B212</f>
        <v>44434</v>
      </c>
      <c r="S212" s="34">
        <f t="shared" ref="S212:S230" si="52">AVERAGE(M212:O212)</f>
        <v>14</v>
      </c>
      <c r="T212" s="39">
        <f>3295-3080</f>
        <v>215</v>
      </c>
      <c r="U212" s="57">
        <v>331.6</v>
      </c>
      <c r="V212" s="38">
        <v>6.7</v>
      </c>
      <c r="W212" s="69">
        <v>10</v>
      </c>
      <c r="X212" s="74">
        <v>-3675.0985582773101</v>
      </c>
      <c r="Y212" s="74">
        <v>-650.17664645467198</v>
      </c>
      <c r="Z212" s="74">
        <v>-620.49262229435658</v>
      </c>
      <c r="AA212" s="74">
        <v>-646.23576273994286</v>
      </c>
      <c r="AB212" s="74">
        <v>-681.70975644848613</v>
      </c>
      <c r="AC212" s="75">
        <f t="shared" ref="AC212:AC213" si="53">X212*5/160+Y212*45/160+Z212*40/160+AA212*40/160+AB212*30/160</f>
        <v>-742.21168735420849</v>
      </c>
      <c r="AD212">
        <v>1.4185709550000001</v>
      </c>
    </row>
    <row r="213" spans="1:30" x14ac:dyDescent="0.2">
      <c r="A213" s="3" t="s">
        <v>21</v>
      </c>
      <c r="B213" s="1">
        <v>44434</v>
      </c>
      <c r="C213" s="3" t="s">
        <v>25</v>
      </c>
      <c r="D213" s="3" t="s">
        <v>51</v>
      </c>
      <c r="E213" s="3" t="s">
        <v>15</v>
      </c>
      <c r="F213" s="89">
        <v>8</v>
      </c>
      <c r="G213" s="10">
        <v>0.57777777777777783</v>
      </c>
      <c r="H213" s="10">
        <v>0.61458333333333337</v>
      </c>
      <c r="I213" s="3">
        <v>7</v>
      </c>
      <c r="J213" s="12" t="s">
        <v>29</v>
      </c>
      <c r="K213" s="3" t="s">
        <v>28</v>
      </c>
      <c r="L213" s="10">
        <v>0.6166666666666667</v>
      </c>
      <c r="M213" s="3">
        <v>17</v>
      </c>
      <c r="N213" s="3">
        <v>16</v>
      </c>
      <c r="O213" s="3">
        <v>17</v>
      </c>
      <c r="P213" t="s">
        <v>22</v>
      </c>
      <c r="R213" s="1">
        <f t="shared" si="51"/>
        <v>44434</v>
      </c>
      <c r="S213" s="34">
        <f>AVERAGE(M213:O213)</f>
        <v>16.666666666666668</v>
      </c>
      <c r="T213" s="37"/>
      <c r="U213" s="57"/>
      <c r="V213" s="38"/>
      <c r="W213" s="69"/>
      <c r="X213" s="74">
        <v>-3862.9874206179302</v>
      </c>
      <c r="Y213" s="74">
        <v>-668.77987481699597</v>
      </c>
      <c r="Z213" s="74">
        <v>-635.11718193716911</v>
      </c>
      <c r="AA213" s="74">
        <v>-665.63391945400951</v>
      </c>
      <c r="AB213" s="74">
        <v>-690.28224568511723</v>
      </c>
      <c r="AC213" s="75">
        <f t="shared" si="53"/>
        <v>-763.42839310034458</v>
      </c>
      <c r="AD213">
        <v>2.030826501</v>
      </c>
    </row>
    <row r="214" spans="1:30" x14ac:dyDescent="0.2">
      <c r="A214" s="5" t="s">
        <v>21</v>
      </c>
      <c r="B214" s="6">
        <v>44434</v>
      </c>
      <c r="C214" s="5" t="s">
        <v>25</v>
      </c>
      <c r="D214" s="5" t="s">
        <v>51</v>
      </c>
      <c r="E214" s="5" t="s">
        <v>15</v>
      </c>
      <c r="F214" s="90">
        <v>8</v>
      </c>
      <c r="G214" s="11" t="s">
        <v>27</v>
      </c>
      <c r="H214" s="11">
        <v>0.14444444444444446</v>
      </c>
      <c r="I214" s="5">
        <v>7</v>
      </c>
      <c r="J214" s="13" t="s">
        <v>27</v>
      </c>
      <c r="K214" s="5" t="s">
        <v>28</v>
      </c>
      <c r="L214" s="11">
        <v>0.14861111111111111</v>
      </c>
      <c r="M214" s="5">
        <v>7</v>
      </c>
      <c r="N214" s="5">
        <v>8</v>
      </c>
      <c r="O214" s="5">
        <v>8</v>
      </c>
      <c r="P214" s="7" t="s">
        <v>23</v>
      </c>
      <c r="Q214" s="7"/>
      <c r="R214" s="1">
        <f t="shared" si="51"/>
        <v>44434</v>
      </c>
      <c r="S214" s="34">
        <f t="shared" si="52"/>
        <v>7.666666666666667</v>
      </c>
      <c r="T214" s="39">
        <f>3295-3110</f>
        <v>185</v>
      </c>
      <c r="U214" s="58"/>
      <c r="V214" s="40"/>
      <c r="W214" s="70"/>
      <c r="X214" s="75">
        <v>-3322.3949856960926</v>
      </c>
      <c r="Y214" s="75">
        <v>-644.368458674821</v>
      </c>
      <c r="Z214" s="75">
        <v>-610.77652309082998</v>
      </c>
      <c r="AA214" s="75">
        <v>-644.78414528678366</v>
      </c>
      <c r="AB214" s="75">
        <v>-681.5331071889342</v>
      </c>
      <c r="AC214" s="75">
        <f t="shared" ref="AC214:AC216" si="54">X214*5/160+Y214*45/160+Z214*40/160+AA214*40/160+AB214*30/160</f>
        <v>-726.73109699762483</v>
      </c>
      <c r="AD214">
        <v>0.29313344699999999</v>
      </c>
    </row>
    <row r="215" spans="1:30" x14ac:dyDescent="0.2">
      <c r="A215" s="5" t="s">
        <v>21</v>
      </c>
      <c r="B215" s="6">
        <v>44434</v>
      </c>
      <c r="C215" s="5" t="s">
        <v>25</v>
      </c>
      <c r="D215" s="5" t="s">
        <v>51</v>
      </c>
      <c r="E215" s="5" t="s">
        <v>15</v>
      </c>
      <c r="F215" s="90">
        <v>8</v>
      </c>
      <c r="G215" s="11" t="s">
        <v>27</v>
      </c>
      <c r="H215" s="11">
        <v>0.5</v>
      </c>
      <c r="I215" s="5">
        <v>7</v>
      </c>
      <c r="J215" s="13" t="s">
        <v>29</v>
      </c>
      <c r="K215" s="5" t="s">
        <v>28</v>
      </c>
      <c r="L215" s="11">
        <v>0.50208333333333333</v>
      </c>
      <c r="M215" s="5">
        <v>21</v>
      </c>
      <c r="N215" s="5">
        <v>23</v>
      </c>
      <c r="O215" s="5">
        <v>23</v>
      </c>
      <c r="P215" s="7" t="s">
        <v>23</v>
      </c>
      <c r="Q215" s="7" t="s">
        <v>52</v>
      </c>
      <c r="R215" s="1">
        <f t="shared" si="51"/>
        <v>44434</v>
      </c>
      <c r="S215" s="34">
        <f t="shared" si="52"/>
        <v>22.333333333333332</v>
      </c>
      <c r="T215" s="39">
        <f>3295-3080</f>
        <v>215</v>
      </c>
      <c r="U215" s="57">
        <v>331.6</v>
      </c>
      <c r="V215" s="38">
        <v>6.7</v>
      </c>
      <c r="W215" s="69">
        <v>10</v>
      </c>
      <c r="X215" s="74">
        <v>-3675.0985582773101</v>
      </c>
      <c r="Y215" s="74">
        <v>-650.17664645467198</v>
      </c>
      <c r="Z215" s="74">
        <v>-620.49262229435658</v>
      </c>
      <c r="AA215" s="74">
        <v>-646.23576273994286</v>
      </c>
      <c r="AB215" s="74">
        <v>-681.70975644848613</v>
      </c>
      <c r="AC215" s="75">
        <f t="shared" si="54"/>
        <v>-742.21168735420849</v>
      </c>
      <c r="AD215">
        <v>1.4185709550000001</v>
      </c>
    </row>
    <row r="216" spans="1:30" x14ac:dyDescent="0.2">
      <c r="A216" s="5" t="s">
        <v>21</v>
      </c>
      <c r="B216" s="6">
        <v>44434</v>
      </c>
      <c r="C216" s="5" t="s">
        <v>25</v>
      </c>
      <c r="D216" s="5" t="s">
        <v>51</v>
      </c>
      <c r="E216" s="5" t="s">
        <v>15</v>
      </c>
      <c r="F216" s="90">
        <v>8</v>
      </c>
      <c r="G216" s="11" t="s">
        <v>27</v>
      </c>
      <c r="H216" s="11">
        <v>0.61875000000000002</v>
      </c>
      <c r="I216" s="5">
        <v>7</v>
      </c>
      <c r="J216" s="13" t="s">
        <v>29</v>
      </c>
      <c r="K216" s="5" t="s">
        <v>28</v>
      </c>
      <c r="L216" s="11">
        <v>0.62152777777777779</v>
      </c>
      <c r="M216" s="5">
        <v>25</v>
      </c>
      <c r="N216" s="5">
        <v>27</v>
      </c>
      <c r="O216" s="5">
        <v>31</v>
      </c>
      <c r="P216" s="7" t="s">
        <v>23</v>
      </c>
      <c r="Q216" s="7"/>
      <c r="R216" s="1">
        <f t="shared" si="51"/>
        <v>44434</v>
      </c>
      <c r="S216" s="34">
        <f t="shared" si="52"/>
        <v>27.666666666666668</v>
      </c>
      <c r="T216" s="37"/>
      <c r="U216" s="57"/>
      <c r="V216" s="38"/>
      <c r="W216" s="69"/>
      <c r="X216" s="74">
        <v>-3862.9874206179302</v>
      </c>
      <c r="Y216" s="74">
        <v>-668.77987481699597</v>
      </c>
      <c r="Z216" s="74">
        <v>-635.11718193716911</v>
      </c>
      <c r="AA216" s="74">
        <v>-665.63391945400951</v>
      </c>
      <c r="AB216" s="74">
        <v>-690.28224568511723</v>
      </c>
      <c r="AC216" s="75">
        <f t="shared" si="54"/>
        <v>-763.42839310034458</v>
      </c>
      <c r="AD216">
        <v>2.030826501</v>
      </c>
    </row>
    <row r="217" spans="1:30" x14ac:dyDescent="0.2">
      <c r="A217" s="8"/>
      <c r="B217" s="17"/>
      <c r="C217" s="8"/>
      <c r="D217" s="8"/>
      <c r="E217" s="8"/>
      <c r="F217" s="91"/>
      <c r="G217" s="8"/>
      <c r="H217" s="8"/>
      <c r="I217" s="8"/>
      <c r="J217" s="8"/>
      <c r="K217" s="8"/>
      <c r="L217" s="8"/>
      <c r="M217" s="8"/>
      <c r="N217" s="8"/>
      <c r="O217" s="8"/>
      <c r="P217" s="9"/>
      <c r="Q217" s="9"/>
      <c r="S217" s="34"/>
      <c r="T217" s="37"/>
      <c r="U217" s="57"/>
      <c r="V217" s="38"/>
      <c r="W217" s="69"/>
      <c r="X217" s="74"/>
      <c r="Y217" s="74"/>
      <c r="Z217" s="74"/>
      <c r="AA217" s="74"/>
      <c r="AB217" s="74"/>
      <c r="AC217" s="74"/>
      <c r="AD217" s="83"/>
    </row>
    <row r="218" spans="1:30" x14ac:dyDescent="0.2">
      <c r="A218" s="3" t="s">
        <v>21</v>
      </c>
      <c r="B218" s="1">
        <v>44446</v>
      </c>
      <c r="C218" s="3" t="s">
        <v>25</v>
      </c>
      <c r="D218" s="3" t="s">
        <v>25</v>
      </c>
      <c r="E218" s="3" t="s">
        <v>15</v>
      </c>
      <c r="F218" s="89">
        <v>8</v>
      </c>
      <c r="G218" s="10">
        <v>0.4513888888888889</v>
      </c>
      <c r="H218" s="10">
        <v>0.50902777777777775</v>
      </c>
      <c r="I218" s="3">
        <v>7</v>
      </c>
      <c r="J218" s="12" t="s">
        <v>29</v>
      </c>
      <c r="K218" s="3" t="s">
        <v>53</v>
      </c>
      <c r="L218" s="10">
        <v>0.51041666666666663</v>
      </c>
      <c r="M218" s="3">
        <v>23</v>
      </c>
      <c r="N218" s="3">
        <v>24</v>
      </c>
      <c r="O218" s="3">
        <v>24</v>
      </c>
      <c r="P218" t="s">
        <v>22</v>
      </c>
      <c r="Q218" t="s">
        <v>54</v>
      </c>
      <c r="R218" s="1">
        <f t="shared" ref="R218:R222" si="55">B218</f>
        <v>44446</v>
      </c>
      <c r="S218" s="34">
        <f t="shared" si="52"/>
        <v>23.666666666666668</v>
      </c>
      <c r="T218" s="39">
        <f>3295-2923</f>
        <v>372</v>
      </c>
      <c r="U218" s="57">
        <v>164.65</v>
      </c>
      <c r="V218" s="38">
        <v>4.8289999999999997</v>
      </c>
      <c r="W218" s="69">
        <v>18</v>
      </c>
      <c r="X218" s="74">
        <v>-7206.7914822496459</v>
      </c>
      <c r="Y218" s="74">
        <v>-1090.8805233601524</v>
      </c>
      <c r="Z218" s="74">
        <v>-1062.8247590622689</v>
      </c>
      <c r="AA218" s="74">
        <v>-1115.5957143079797</v>
      </c>
      <c r="AB218" s="74">
        <v>-1078.8178764463396</v>
      </c>
      <c r="AC218" s="75">
        <f t="shared" ref="AC218:AC219" si="56">X218*5/160+Y218*45/160+Z218*40/160+AA218*40/160+AB218*30/160</f>
        <v>-1278.905851191595</v>
      </c>
      <c r="AD218">
        <v>2.0530380149999998</v>
      </c>
    </row>
    <row r="219" spans="1:30" x14ac:dyDescent="0.2">
      <c r="A219" s="3" t="s">
        <v>21</v>
      </c>
      <c r="B219" s="1">
        <v>44446</v>
      </c>
      <c r="C219" s="3" t="s">
        <v>25</v>
      </c>
      <c r="D219" s="3" t="s">
        <v>25</v>
      </c>
      <c r="E219" s="3" t="s">
        <v>15</v>
      </c>
      <c r="F219" s="89">
        <v>8</v>
      </c>
      <c r="G219" s="10">
        <v>0.57291666666666663</v>
      </c>
      <c r="H219" s="10">
        <v>0.62222222222222223</v>
      </c>
      <c r="I219" s="3">
        <v>7</v>
      </c>
      <c r="J219" s="12" t="s">
        <v>30</v>
      </c>
      <c r="K219" s="3" t="s">
        <v>28</v>
      </c>
      <c r="L219" s="10">
        <v>0.62361111111111112</v>
      </c>
      <c r="M219" s="3">
        <v>25</v>
      </c>
      <c r="N219" s="3">
        <v>25</v>
      </c>
      <c r="O219" s="3">
        <v>27</v>
      </c>
      <c r="P219" t="s">
        <v>22</v>
      </c>
      <c r="R219" s="1">
        <f t="shared" si="55"/>
        <v>44446</v>
      </c>
      <c r="S219" s="34">
        <f t="shared" si="52"/>
        <v>25.666666666666668</v>
      </c>
      <c r="T219" s="37"/>
      <c r="U219" s="57"/>
      <c r="V219" s="38"/>
      <c r="W219" s="69"/>
      <c r="X219" s="74">
        <v>-7772.3905887841829</v>
      </c>
      <c r="Y219" s="74">
        <v>-1107.9794915167781</v>
      </c>
      <c r="Z219" s="74">
        <v>-1071.7966102795567</v>
      </c>
      <c r="AA219" s="74">
        <v>-1125.5040549522528</v>
      </c>
      <c r="AB219" s="74">
        <v>-1092.6734330985914</v>
      </c>
      <c r="AC219" s="75">
        <f t="shared" si="56"/>
        <v>-1308.7078729025377</v>
      </c>
      <c r="AD219">
        <v>2.2348800600000001</v>
      </c>
    </row>
    <row r="220" spans="1:30" x14ac:dyDescent="0.2">
      <c r="A220" s="5" t="s">
        <v>21</v>
      </c>
      <c r="B220" s="6">
        <v>44446</v>
      </c>
      <c r="C220" s="5" t="s">
        <v>25</v>
      </c>
      <c r="D220" s="5" t="s">
        <v>25</v>
      </c>
      <c r="E220" s="5" t="s">
        <v>15</v>
      </c>
      <c r="F220" s="90">
        <v>8</v>
      </c>
      <c r="G220" s="11" t="s">
        <v>27</v>
      </c>
      <c r="H220" s="11">
        <v>0.19999999999999998</v>
      </c>
      <c r="I220" s="5">
        <v>7</v>
      </c>
      <c r="J220" s="13" t="s">
        <v>27</v>
      </c>
      <c r="K220" s="5" t="s">
        <v>28</v>
      </c>
      <c r="L220" s="11">
        <v>0.20138888888888887</v>
      </c>
      <c r="M220" s="5">
        <v>17</v>
      </c>
      <c r="N220" s="5">
        <v>18</v>
      </c>
      <c r="O220" s="5">
        <v>17</v>
      </c>
      <c r="P220" s="7" t="s">
        <v>23</v>
      </c>
      <c r="Q220" s="7"/>
      <c r="R220" s="1">
        <f t="shared" si="55"/>
        <v>44446</v>
      </c>
      <c r="S220" s="34">
        <f t="shared" si="52"/>
        <v>17.333333333333332</v>
      </c>
      <c r="T220" s="39">
        <f>3295-2964</f>
        <v>331</v>
      </c>
      <c r="U220" s="58"/>
      <c r="V220" s="40"/>
      <c r="W220" s="70"/>
      <c r="X220" s="74">
        <v>-6899.5746347123813</v>
      </c>
      <c r="Y220" s="74">
        <v>-1076.5907535782039</v>
      </c>
      <c r="Z220" s="74">
        <v>-1050.697230628281</v>
      </c>
      <c r="AA220" s="74">
        <v>-1110.6677978682849</v>
      </c>
      <c r="AB220" s="74">
        <v>-1076.4576088777128</v>
      </c>
      <c r="AC220" s="75">
        <f t="shared" ref="AC220:AC222" si="57">X220*5/160+Y220*45/160+Z220*40/160+AA220*40/160+AB220*30/160</f>
        <v>-1260.5799155673444</v>
      </c>
      <c r="AD220">
        <v>0.72385646000000003</v>
      </c>
    </row>
    <row r="221" spans="1:30" x14ac:dyDescent="0.2">
      <c r="A221" s="5" t="s">
        <v>21</v>
      </c>
      <c r="B221" s="6">
        <v>44446</v>
      </c>
      <c r="C221" s="5" t="s">
        <v>25</v>
      </c>
      <c r="D221" s="5" t="s">
        <v>25</v>
      </c>
      <c r="E221" s="5" t="s">
        <v>15</v>
      </c>
      <c r="F221" s="90">
        <v>8</v>
      </c>
      <c r="G221" s="11" t="s">
        <v>27</v>
      </c>
      <c r="H221" s="11">
        <v>0.50624999999999998</v>
      </c>
      <c r="I221" s="5">
        <v>7</v>
      </c>
      <c r="J221" s="13" t="s">
        <v>29</v>
      </c>
      <c r="K221" s="5" t="s">
        <v>53</v>
      </c>
      <c r="L221" s="11">
        <v>0.50763888888888886</v>
      </c>
      <c r="M221" s="5">
        <v>23</v>
      </c>
      <c r="N221" s="5">
        <v>24</v>
      </c>
      <c r="O221" s="5">
        <v>26</v>
      </c>
      <c r="P221" s="7" t="s">
        <v>23</v>
      </c>
      <c r="Q221" s="7" t="s">
        <v>54</v>
      </c>
      <c r="R221" s="1">
        <f t="shared" si="55"/>
        <v>44446</v>
      </c>
      <c r="S221" s="34">
        <f t="shared" si="52"/>
        <v>24.333333333333332</v>
      </c>
      <c r="T221" s="39">
        <f>3295-2923</f>
        <v>372</v>
      </c>
      <c r="U221" s="57">
        <v>164.65</v>
      </c>
      <c r="V221" s="38">
        <v>4.8289999999999997</v>
      </c>
      <c r="W221" s="69">
        <v>18</v>
      </c>
      <c r="X221" s="74">
        <v>-7206.7914822496459</v>
      </c>
      <c r="Y221" s="74">
        <v>-1090.8805233601524</v>
      </c>
      <c r="Z221" s="74">
        <v>-1062.8247590622689</v>
      </c>
      <c r="AA221" s="74">
        <v>-1115.5957143079797</v>
      </c>
      <c r="AB221" s="74">
        <v>-1078.8178764463396</v>
      </c>
      <c r="AC221" s="75">
        <f t="shared" si="57"/>
        <v>-1278.905851191595</v>
      </c>
      <c r="AD221">
        <v>2.0530380149999998</v>
      </c>
    </row>
    <row r="222" spans="1:30" x14ac:dyDescent="0.2">
      <c r="A222" s="5" t="s">
        <v>21</v>
      </c>
      <c r="B222" s="6">
        <v>44446</v>
      </c>
      <c r="C222" s="5" t="s">
        <v>25</v>
      </c>
      <c r="D222" s="5" t="s">
        <v>25</v>
      </c>
      <c r="E222" s="5" t="s">
        <v>15</v>
      </c>
      <c r="F222" s="90">
        <v>8</v>
      </c>
      <c r="G222" s="11" t="s">
        <v>27</v>
      </c>
      <c r="H222" s="11">
        <v>0.61944444444444446</v>
      </c>
      <c r="I222" s="5">
        <v>7</v>
      </c>
      <c r="J222" s="13" t="s">
        <v>30</v>
      </c>
      <c r="K222" s="5" t="s">
        <v>28</v>
      </c>
      <c r="L222" s="11">
        <v>0.62083333333333335</v>
      </c>
      <c r="M222" s="5">
        <v>27</v>
      </c>
      <c r="N222" s="5">
        <v>27</v>
      </c>
      <c r="O222" s="5">
        <v>28</v>
      </c>
      <c r="P222" s="7" t="s">
        <v>23</v>
      </c>
      <c r="Q222" s="7"/>
      <c r="R222" s="1">
        <f t="shared" si="55"/>
        <v>44446</v>
      </c>
      <c r="S222" s="34">
        <f t="shared" si="52"/>
        <v>27.333333333333332</v>
      </c>
      <c r="T222" s="37"/>
      <c r="U222" s="57"/>
      <c r="V222" s="38"/>
      <c r="W222" s="69"/>
      <c r="X222" s="74">
        <v>-7772.3905887841829</v>
      </c>
      <c r="Y222" s="74">
        <v>-1107.9794915167781</v>
      </c>
      <c r="Z222" s="74">
        <v>-1071.7966102795567</v>
      </c>
      <c r="AA222" s="74">
        <v>-1125.5040549522528</v>
      </c>
      <c r="AB222" s="74">
        <v>-1092.6734330985914</v>
      </c>
      <c r="AC222" s="75">
        <f t="shared" si="57"/>
        <v>-1308.7078729025377</v>
      </c>
      <c r="AD222">
        <v>2.2348800600000001</v>
      </c>
    </row>
    <row r="223" spans="1:30" x14ac:dyDescent="0.2">
      <c r="A223" s="8"/>
      <c r="B223" s="17"/>
      <c r="C223" s="8"/>
      <c r="D223" s="8"/>
      <c r="E223" s="8"/>
      <c r="F223" s="91"/>
      <c r="G223" s="15"/>
      <c r="H223" s="15"/>
      <c r="I223" s="8"/>
      <c r="J223" s="16"/>
      <c r="K223" s="8"/>
      <c r="L223" s="15"/>
      <c r="M223" s="8"/>
      <c r="N223" s="8"/>
      <c r="O223" s="8"/>
      <c r="P223" s="9"/>
      <c r="Q223" s="9"/>
      <c r="S223" s="34"/>
      <c r="T223" s="37"/>
      <c r="U223" s="57"/>
      <c r="V223" s="38"/>
      <c r="W223" s="69"/>
      <c r="X223" s="74"/>
      <c r="Y223" s="74"/>
      <c r="Z223" s="74"/>
      <c r="AA223" s="74"/>
      <c r="AB223" s="74"/>
      <c r="AC223" s="74"/>
      <c r="AD223" s="83"/>
    </row>
    <row r="224" spans="1:30" x14ac:dyDescent="0.2">
      <c r="A224" s="3" t="s">
        <v>21</v>
      </c>
      <c r="B224" s="1">
        <v>44726</v>
      </c>
      <c r="C224" s="3" t="s">
        <v>25</v>
      </c>
      <c r="D224" s="3" t="s">
        <v>26</v>
      </c>
      <c r="E224" s="3" t="s">
        <v>15</v>
      </c>
      <c r="F224" s="89">
        <v>8</v>
      </c>
      <c r="G224" s="10">
        <v>0.31944444444444448</v>
      </c>
      <c r="H224" s="10">
        <v>0.35069444444444442</v>
      </c>
      <c r="I224" s="3">
        <v>6</v>
      </c>
      <c r="J224" s="3" t="s">
        <v>30</v>
      </c>
      <c r="K224" s="3" t="s">
        <v>28</v>
      </c>
      <c r="L224" s="10">
        <v>0.35138888888888892</v>
      </c>
      <c r="M224" s="3">
        <v>19</v>
      </c>
      <c r="N224" s="3">
        <v>19</v>
      </c>
      <c r="O224" s="3">
        <v>20</v>
      </c>
      <c r="P224" t="s">
        <v>22</v>
      </c>
      <c r="R224" s="1">
        <f t="shared" ref="R224:R230" si="58">B224</f>
        <v>44726</v>
      </c>
      <c r="S224" s="34">
        <f t="shared" si="52"/>
        <v>19.333333333333332</v>
      </c>
      <c r="T224" s="37"/>
      <c r="U224" s="57"/>
      <c r="V224" s="38"/>
      <c r="W224" s="69"/>
      <c r="X224" s="74">
        <v>-3424.5977007519132</v>
      </c>
      <c r="Y224" s="74">
        <v>-906.93563329015922</v>
      </c>
      <c r="Z224" s="74">
        <v>-892.11788322450479</v>
      </c>
      <c r="AA224" s="74">
        <v>-928.16722321924135</v>
      </c>
      <c r="AB224" s="74">
        <v>-962.57250342475402</v>
      </c>
      <c r="AC224" s="75">
        <f t="shared" ref="AC224:AC226" si="59">X224*5/160+Y224*45/160+Z224*40/160+AA224*40/160+AB224*30/160</f>
        <v>-997.64794601443248</v>
      </c>
      <c r="AD224">
        <v>1.2359881509999999</v>
      </c>
    </row>
    <row r="225" spans="1:30" ht="16" x14ac:dyDescent="0.2">
      <c r="A225" s="3" t="s">
        <v>21</v>
      </c>
      <c r="B225" s="1">
        <v>44726</v>
      </c>
      <c r="C225" s="3" t="s">
        <v>25</v>
      </c>
      <c r="D225" s="3" t="s">
        <v>26</v>
      </c>
      <c r="E225" s="3" t="s">
        <v>15</v>
      </c>
      <c r="F225" s="89">
        <v>8</v>
      </c>
      <c r="G225" s="10">
        <v>0.45555555555555555</v>
      </c>
      <c r="H225" s="10">
        <v>0.49722222222222223</v>
      </c>
      <c r="I225" s="3">
        <v>6</v>
      </c>
      <c r="J225" s="3" t="s">
        <v>29</v>
      </c>
      <c r="K225" s="3" t="s">
        <v>28</v>
      </c>
      <c r="L225" s="10">
        <v>0.49791666666666662</v>
      </c>
      <c r="M225" s="3">
        <v>18</v>
      </c>
      <c r="N225" s="3">
        <v>20</v>
      </c>
      <c r="O225" s="3">
        <v>21</v>
      </c>
      <c r="P225" t="s">
        <v>22</v>
      </c>
      <c r="R225" s="1">
        <f t="shared" si="58"/>
        <v>44726</v>
      </c>
      <c r="S225" s="34">
        <f t="shared" si="52"/>
        <v>19.666666666666668</v>
      </c>
      <c r="T225" s="37">
        <f>3870-3550</f>
        <v>320</v>
      </c>
      <c r="U225" s="57">
        <v>115.81999999999998</v>
      </c>
      <c r="V225" s="38">
        <v>4.5</v>
      </c>
      <c r="W225" s="69">
        <v>-48</v>
      </c>
      <c r="X225" s="76">
        <v>-3603.6439309167195</v>
      </c>
      <c r="Y225" s="76">
        <v>-918.44261659327492</v>
      </c>
      <c r="Z225" s="76">
        <v>-904.199962396724</v>
      </c>
      <c r="AA225" s="76">
        <v>-935.66056642822878</v>
      </c>
      <c r="AB225" s="76">
        <v>-963.44505661747337</v>
      </c>
      <c r="AC225" s="75">
        <f t="shared" si="59"/>
        <v>-1011.5369390800206</v>
      </c>
      <c r="AD225">
        <v>2.2539286129999998</v>
      </c>
    </row>
    <row r="226" spans="1:30" x14ac:dyDescent="0.2">
      <c r="A226" s="3" t="s">
        <v>21</v>
      </c>
      <c r="B226" s="1">
        <v>44726</v>
      </c>
      <c r="C226" s="3" t="s">
        <v>25</v>
      </c>
      <c r="D226" s="3" t="s">
        <v>26</v>
      </c>
      <c r="E226" s="3" t="s">
        <v>15</v>
      </c>
      <c r="F226" s="89">
        <v>8</v>
      </c>
      <c r="G226" s="10">
        <v>0.58472222222222225</v>
      </c>
      <c r="H226" s="10">
        <v>0.62083333333333335</v>
      </c>
      <c r="I226" s="3">
        <v>6</v>
      </c>
      <c r="J226" s="3" t="s">
        <v>30</v>
      </c>
      <c r="K226" s="3" t="s">
        <v>28</v>
      </c>
      <c r="L226" s="10">
        <v>0.62152777777777779</v>
      </c>
      <c r="M226" s="3">
        <v>19</v>
      </c>
      <c r="N226" s="3">
        <v>20</v>
      </c>
      <c r="O226" s="3">
        <v>20</v>
      </c>
      <c r="P226" t="s">
        <v>22</v>
      </c>
      <c r="R226" s="1">
        <f t="shared" si="58"/>
        <v>44726</v>
      </c>
      <c r="S226" s="34">
        <f t="shared" si="52"/>
        <v>19.666666666666668</v>
      </c>
      <c r="T226" s="37"/>
      <c r="U226" s="57"/>
      <c r="V226" s="38"/>
      <c r="W226" s="69"/>
      <c r="X226" s="74">
        <v>-3643.4085533848061</v>
      </c>
      <c r="Y226" s="74">
        <v>-935.22905187652373</v>
      </c>
      <c r="Z226" s="74">
        <v>-911.15880282926685</v>
      </c>
      <c r="AA226" s="74">
        <v>-949.76191534482518</v>
      </c>
      <c r="AB226" s="74">
        <v>-971.96963675089921</v>
      </c>
      <c r="AC226" s="75">
        <f t="shared" si="59"/>
        <v>-1024.3641745678642</v>
      </c>
      <c r="AD226">
        <v>2.7627234519999999</v>
      </c>
    </row>
    <row r="227" spans="1:30" x14ac:dyDescent="0.2">
      <c r="A227" s="5" t="s">
        <v>21</v>
      </c>
      <c r="B227" s="6">
        <v>44726</v>
      </c>
      <c r="C227" s="5" t="s">
        <v>25</v>
      </c>
      <c r="D227" s="5" t="s">
        <v>26</v>
      </c>
      <c r="E227" s="5" t="s">
        <v>15</v>
      </c>
      <c r="F227" s="90">
        <v>8</v>
      </c>
      <c r="G227" s="11" t="s">
        <v>27</v>
      </c>
      <c r="H227" s="11">
        <v>0.12847222222222224</v>
      </c>
      <c r="I227" s="5">
        <v>6</v>
      </c>
      <c r="J227" s="5" t="s">
        <v>27</v>
      </c>
      <c r="K227" s="5" t="s">
        <v>28</v>
      </c>
      <c r="L227" s="11">
        <v>0.12916666666666668</v>
      </c>
      <c r="M227" s="5">
        <v>14</v>
      </c>
      <c r="N227" s="5">
        <v>13</v>
      </c>
      <c r="O227" s="5">
        <v>13</v>
      </c>
      <c r="P227" s="7" t="s">
        <v>23</v>
      </c>
      <c r="Q227" s="7"/>
      <c r="R227" s="1">
        <f t="shared" si="58"/>
        <v>44726</v>
      </c>
      <c r="S227" s="34">
        <f t="shared" si="52"/>
        <v>13.333333333333334</v>
      </c>
      <c r="T227" s="37">
        <f>3870-3610</f>
        <v>260</v>
      </c>
      <c r="U227" s="57"/>
      <c r="V227" s="38"/>
      <c r="W227" s="69"/>
      <c r="X227" s="74">
        <v>-3035.0963508999512</v>
      </c>
      <c r="Y227" s="74">
        <v>-919.0636169212537</v>
      </c>
      <c r="Z227" s="74">
        <v>-887.72685901970817</v>
      </c>
      <c r="AA227" s="74">
        <v>-924.82422431167345</v>
      </c>
      <c r="AB227" s="74">
        <v>-964.61915146751107</v>
      </c>
      <c r="AC227" s="75">
        <f>X227*5/160+Y227*45/160+Z227*40/160+AA227*40/160+AB227*30/160</f>
        <v>-987.33726495772976</v>
      </c>
      <c r="AD227">
        <v>0.85863724699999999</v>
      </c>
    </row>
    <row r="228" spans="1:30" x14ac:dyDescent="0.2">
      <c r="A228" s="5" t="s">
        <v>21</v>
      </c>
      <c r="B228" s="6">
        <v>44726</v>
      </c>
      <c r="C228" s="5" t="s">
        <v>25</v>
      </c>
      <c r="D228" s="5" t="s">
        <v>26</v>
      </c>
      <c r="E228" s="5" t="s">
        <v>15</v>
      </c>
      <c r="F228" s="90">
        <v>8</v>
      </c>
      <c r="G228" s="11" t="s">
        <v>27</v>
      </c>
      <c r="H228" s="11">
        <v>0.35416666666666669</v>
      </c>
      <c r="I228" s="5">
        <v>6</v>
      </c>
      <c r="J228" s="5" t="s">
        <v>30</v>
      </c>
      <c r="K228" s="5" t="s">
        <v>28</v>
      </c>
      <c r="L228" s="11">
        <v>0.35486111111111113</v>
      </c>
      <c r="M228" s="5">
        <v>22</v>
      </c>
      <c r="N228" s="5">
        <v>22</v>
      </c>
      <c r="O228" s="5">
        <v>23</v>
      </c>
      <c r="P228" s="7" t="s">
        <v>23</v>
      </c>
      <c r="Q228" s="7"/>
      <c r="R228" s="1">
        <f t="shared" si="58"/>
        <v>44726</v>
      </c>
      <c r="S228" s="34">
        <f t="shared" si="52"/>
        <v>22.333333333333332</v>
      </c>
      <c r="T228" s="37"/>
      <c r="U228" s="57"/>
      <c r="V228" s="38"/>
      <c r="W228" s="69"/>
      <c r="X228" s="74">
        <v>-3424.5977007519132</v>
      </c>
      <c r="Y228" s="74">
        <v>-906.93563329015922</v>
      </c>
      <c r="Z228" s="74">
        <v>-892.11788322450479</v>
      </c>
      <c r="AA228" s="74">
        <v>-928.16722321924135</v>
      </c>
      <c r="AB228" s="74">
        <v>-962.57250342475402</v>
      </c>
      <c r="AC228" s="75">
        <f t="shared" ref="AC228:AC230" si="60">X228*5/160+Y228*45/160+Z228*40/160+AA228*40/160+AB228*30/160</f>
        <v>-997.64794601443248</v>
      </c>
      <c r="AD228">
        <v>1.2359881509999999</v>
      </c>
    </row>
    <row r="229" spans="1:30" ht="16" x14ac:dyDescent="0.2">
      <c r="A229" s="5" t="s">
        <v>21</v>
      </c>
      <c r="B229" s="6">
        <v>44726</v>
      </c>
      <c r="C229" s="5" t="s">
        <v>25</v>
      </c>
      <c r="D229" s="5" t="s">
        <v>26</v>
      </c>
      <c r="E229" s="5" t="s">
        <v>15</v>
      </c>
      <c r="F229" s="90">
        <v>8</v>
      </c>
      <c r="G229" s="11" t="s">
        <v>27</v>
      </c>
      <c r="H229" s="11">
        <v>0.50347222222222221</v>
      </c>
      <c r="I229" s="5">
        <v>6</v>
      </c>
      <c r="J229" s="5" t="s">
        <v>29</v>
      </c>
      <c r="K229" s="5" t="s">
        <v>28</v>
      </c>
      <c r="L229" s="11">
        <v>0.50416666666666665</v>
      </c>
      <c r="M229" s="5">
        <v>22</v>
      </c>
      <c r="N229" s="5">
        <v>22</v>
      </c>
      <c r="O229" s="5">
        <v>23</v>
      </c>
      <c r="P229" s="7" t="s">
        <v>23</v>
      </c>
      <c r="Q229" s="7"/>
      <c r="R229" s="1">
        <f t="shared" si="58"/>
        <v>44726</v>
      </c>
      <c r="S229" s="34">
        <f t="shared" si="52"/>
        <v>22.333333333333332</v>
      </c>
      <c r="T229" s="37">
        <f>3870-3550</f>
        <v>320</v>
      </c>
      <c r="U229" s="57">
        <v>115.81999999999998</v>
      </c>
      <c r="V229" s="38">
        <v>4.5</v>
      </c>
      <c r="W229" s="69">
        <v>-48</v>
      </c>
      <c r="X229" s="76">
        <v>-3603.6439309167195</v>
      </c>
      <c r="Y229" s="76">
        <v>-918.44261659327492</v>
      </c>
      <c r="Z229" s="76">
        <v>-904.199962396724</v>
      </c>
      <c r="AA229" s="76">
        <v>-935.66056642822878</v>
      </c>
      <c r="AB229" s="76">
        <v>-963.44505661747337</v>
      </c>
      <c r="AC229" s="75">
        <f t="shared" si="60"/>
        <v>-1011.5369390800206</v>
      </c>
      <c r="AD229">
        <v>2.2539286129999998</v>
      </c>
    </row>
    <row r="230" spans="1:30" x14ac:dyDescent="0.2">
      <c r="A230" s="5" t="s">
        <v>21</v>
      </c>
      <c r="B230" s="6">
        <v>44726</v>
      </c>
      <c r="C230" s="5" t="s">
        <v>25</v>
      </c>
      <c r="D230" s="5" t="s">
        <v>26</v>
      </c>
      <c r="E230" s="5" t="s">
        <v>15</v>
      </c>
      <c r="F230" s="90">
        <v>8</v>
      </c>
      <c r="G230" s="11" t="s">
        <v>27</v>
      </c>
      <c r="H230" s="11">
        <v>0.62638888888888888</v>
      </c>
      <c r="I230" s="5">
        <v>6</v>
      </c>
      <c r="J230" s="5" t="s">
        <v>30</v>
      </c>
      <c r="K230" s="5" t="s">
        <v>28</v>
      </c>
      <c r="L230" s="11">
        <v>0.62708333333333333</v>
      </c>
      <c r="M230" s="5">
        <v>22</v>
      </c>
      <c r="N230" s="5">
        <v>24</v>
      </c>
      <c r="O230" s="5">
        <v>24</v>
      </c>
      <c r="P230" s="7" t="s">
        <v>23</v>
      </c>
      <c r="Q230" s="7"/>
      <c r="R230" s="1">
        <f t="shared" si="58"/>
        <v>44726</v>
      </c>
      <c r="S230" s="34">
        <f t="shared" si="52"/>
        <v>23.333333333333332</v>
      </c>
      <c r="W230" s="69"/>
      <c r="X230" s="74">
        <v>-3643.4085533848061</v>
      </c>
      <c r="Y230" s="74">
        <v>-935.22905187652373</v>
      </c>
      <c r="Z230" s="74">
        <v>-911.15880282926685</v>
      </c>
      <c r="AA230" s="74">
        <v>-949.76191534482518</v>
      </c>
      <c r="AB230" s="74">
        <v>-971.96963675089921</v>
      </c>
      <c r="AC230" s="75">
        <f t="shared" si="60"/>
        <v>-1024.3641745678642</v>
      </c>
      <c r="AD230">
        <v>2.7627234519999999</v>
      </c>
    </row>
    <row r="231" spans="1:30" x14ac:dyDescent="0.2">
      <c r="A231" s="8"/>
      <c r="B231" s="17"/>
      <c r="C231" s="8"/>
      <c r="D231" s="8"/>
      <c r="E231" s="8"/>
      <c r="F231" s="91"/>
      <c r="G231" s="15"/>
      <c r="H231" s="15"/>
      <c r="I231" s="8"/>
      <c r="J231" s="16"/>
      <c r="K231" s="8"/>
      <c r="L231" s="15"/>
      <c r="M231" s="8"/>
      <c r="N231" s="8"/>
      <c r="O231" s="8"/>
      <c r="P231" s="9"/>
      <c r="Q231" s="9"/>
      <c r="R231" s="1"/>
      <c r="S231" s="34"/>
      <c r="W231" s="69"/>
      <c r="X231" s="74"/>
      <c r="Y231" s="74"/>
      <c r="Z231" s="74"/>
      <c r="AA231" s="74"/>
      <c r="AB231" s="74"/>
      <c r="AC231" s="74"/>
      <c r="AD231" s="83"/>
    </row>
    <row r="232" spans="1:30" x14ac:dyDescent="0.2">
      <c r="A232" s="3" t="s">
        <v>21</v>
      </c>
      <c r="B232" s="1">
        <v>44753</v>
      </c>
      <c r="C232" s="3" t="s">
        <v>25</v>
      </c>
      <c r="D232" s="3" t="s">
        <v>25</v>
      </c>
      <c r="E232" s="3" t="s">
        <v>15</v>
      </c>
      <c r="F232" s="89">
        <v>8</v>
      </c>
      <c r="G232" s="10">
        <v>0.48958333333333331</v>
      </c>
      <c r="H232" s="10">
        <v>0.54861111111111116</v>
      </c>
      <c r="I232" s="3">
        <v>6</v>
      </c>
      <c r="J232" s="12" t="s">
        <v>29</v>
      </c>
      <c r="K232" s="3" t="s">
        <v>28</v>
      </c>
      <c r="L232" s="10">
        <v>0.55000000000000004</v>
      </c>
      <c r="M232" s="3">
        <v>28</v>
      </c>
      <c r="N232" s="3">
        <v>30</v>
      </c>
      <c r="O232" s="3">
        <v>30</v>
      </c>
      <c r="P232" t="s">
        <v>22</v>
      </c>
      <c r="R232" s="1">
        <f t="shared" ref="R232:R234" si="61">B232</f>
        <v>44753</v>
      </c>
      <c r="S232" s="34">
        <f>AVERAGE(M232:O232)</f>
        <v>29.333333333333332</v>
      </c>
      <c r="T232" s="37">
        <f>3870-3470</f>
        <v>400</v>
      </c>
      <c r="U232" s="57">
        <v>85.7</v>
      </c>
      <c r="V232" s="38">
        <v>3.5</v>
      </c>
      <c r="W232" s="69">
        <v>-52</v>
      </c>
      <c r="X232" s="74">
        <v>-3298.9660839809499</v>
      </c>
      <c r="Y232" s="74">
        <v>-1212.8844955431146</v>
      </c>
      <c r="Z232" s="74">
        <v>-1304.7803010629091</v>
      </c>
      <c r="AA232" s="74">
        <v>-1421.5436415165025</v>
      </c>
      <c r="AB232" s="74">
        <v>-1293.6016519215668</v>
      </c>
      <c r="AC232" s="75">
        <f t="shared" ref="AC232" si="62">X232*5/160+Y232*45/160+Z232*40/160+AA232*40/160+AB232*30/160</f>
        <v>-1368.3477498760521</v>
      </c>
      <c r="AD232">
        <v>2.2204227400000001</v>
      </c>
    </row>
    <row r="233" spans="1:30" x14ac:dyDescent="0.2">
      <c r="A233" s="5" t="s">
        <v>21</v>
      </c>
      <c r="B233" s="6">
        <v>44753</v>
      </c>
      <c r="C233" s="5" t="s">
        <v>25</v>
      </c>
      <c r="D233" s="5" t="s">
        <v>25</v>
      </c>
      <c r="E233" s="5" t="s">
        <v>15</v>
      </c>
      <c r="F233" s="90">
        <v>8</v>
      </c>
      <c r="G233" s="11" t="s">
        <v>27</v>
      </c>
      <c r="H233" s="11">
        <v>0.18888888888888888</v>
      </c>
      <c r="I233" s="5">
        <v>6</v>
      </c>
      <c r="J233" s="13" t="s">
        <v>27</v>
      </c>
      <c r="K233" s="5" t="s">
        <v>28</v>
      </c>
      <c r="L233" s="11">
        <v>0.14861111111111111</v>
      </c>
      <c r="M233" s="5">
        <v>24</v>
      </c>
      <c r="N233" s="5">
        <v>24</v>
      </c>
      <c r="O233" s="5">
        <v>25</v>
      </c>
      <c r="P233" s="7" t="s">
        <v>23</v>
      </c>
      <c r="Q233" s="7"/>
      <c r="R233" s="1">
        <f t="shared" si="61"/>
        <v>44753</v>
      </c>
      <c r="S233" s="87">
        <f>AVERAGE(M233:O233)</f>
        <v>24.333333333333332</v>
      </c>
      <c r="T233" s="37">
        <f>3870-3495</f>
        <v>375</v>
      </c>
      <c r="W233" s="69"/>
      <c r="X233" s="74">
        <v>-2806.89481434969</v>
      </c>
      <c r="Y233" s="74">
        <v>-1222.2148433244802</v>
      </c>
      <c r="Z233" s="74">
        <v>-1301.010333127964</v>
      </c>
      <c r="AA233" s="74">
        <v>-1413.8469803636913</v>
      </c>
      <c r="AB233" s="74">
        <v>-1294.7783287430391</v>
      </c>
      <c r="AC233" s="75">
        <f t="shared" ref="AC233:AC234" si="63">X233*5/160+Y233*45/160+Z233*40/160+AA233*40/160+AB233*30/160</f>
        <v>-1352.9486526456715</v>
      </c>
      <c r="AD233">
        <v>0.747298931</v>
      </c>
    </row>
    <row r="234" spans="1:30" x14ac:dyDescent="0.2">
      <c r="A234" s="5" t="s">
        <v>21</v>
      </c>
      <c r="B234" s="6">
        <v>44753</v>
      </c>
      <c r="C234" s="5" t="s">
        <v>25</v>
      </c>
      <c r="D234" s="5" t="s">
        <v>25</v>
      </c>
      <c r="E234" s="5" t="s">
        <v>15</v>
      </c>
      <c r="F234" s="90">
        <v>8</v>
      </c>
      <c r="G234" s="11" t="s">
        <v>27</v>
      </c>
      <c r="H234" s="11">
        <v>0.54583333333333339</v>
      </c>
      <c r="I234" s="5">
        <v>6</v>
      </c>
      <c r="J234" s="13" t="s">
        <v>29</v>
      </c>
      <c r="K234" s="5" t="s">
        <v>28</v>
      </c>
      <c r="L234" s="11">
        <v>0.54722222222222228</v>
      </c>
      <c r="M234" s="5">
        <v>29</v>
      </c>
      <c r="N234" s="5">
        <v>30</v>
      </c>
      <c r="O234" s="5">
        <v>30</v>
      </c>
      <c r="P234" s="7" t="s">
        <v>23</v>
      </c>
      <c r="Q234" s="7"/>
      <c r="R234" s="1">
        <f t="shared" si="61"/>
        <v>44753</v>
      </c>
      <c r="S234" s="34">
        <f>AVERAGE(M234:O234)</f>
        <v>29.666666666666668</v>
      </c>
      <c r="T234" s="37">
        <f>3870-3470</f>
        <v>400</v>
      </c>
      <c r="U234" s="57">
        <v>85.7</v>
      </c>
      <c r="V234" s="38">
        <v>3.5</v>
      </c>
      <c r="W234" s="69">
        <v>-52</v>
      </c>
      <c r="X234" s="74">
        <v>-3298.9660839809499</v>
      </c>
      <c r="Y234" s="74">
        <v>-1212.8844955431146</v>
      </c>
      <c r="Z234" s="74">
        <v>-1304.7803010629091</v>
      </c>
      <c r="AA234" s="74">
        <v>-1421.5436415165025</v>
      </c>
      <c r="AB234" s="74">
        <v>-1293.6016519215668</v>
      </c>
      <c r="AC234" s="75">
        <f t="shared" si="63"/>
        <v>-1368.3477498760521</v>
      </c>
      <c r="AD234">
        <v>2.2204227400000001</v>
      </c>
    </row>
    <row r="235" spans="1:30" x14ac:dyDescent="0.2">
      <c r="A235" s="8"/>
      <c r="B235" s="17"/>
      <c r="C235" s="8"/>
      <c r="D235" s="8"/>
      <c r="E235" s="8"/>
      <c r="F235" s="91"/>
      <c r="G235" s="15"/>
      <c r="H235" s="15"/>
      <c r="I235" s="8"/>
      <c r="J235" s="16"/>
      <c r="K235" s="8"/>
      <c r="L235" s="15"/>
      <c r="M235" s="8"/>
      <c r="N235" s="8"/>
      <c r="O235" s="8"/>
      <c r="P235" s="9"/>
      <c r="Q235" s="9"/>
      <c r="R235" s="1"/>
      <c r="S235" s="34"/>
      <c r="W235" s="69"/>
      <c r="X235" s="74"/>
      <c r="Y235" s="74"/>
      <c r="Z235" s="74"/>
      <c r="AA235" s="74"/>
      <c r="AB235" s="74"/>
      <c r="AC235" s="74"/>
      <c r="AD235" s="83"/>
    </row>
    <row r="236" spans="1:30" x14ac:dyDescent="0.2">
      <c r="A236" s="3" t="s">
        <v>21</v>
      </c>
      <c r="B236" s="1">
        <v>44786</v>
      </c>
      <c r="C236" s="3" t="s">
        <v>25</v>
      </c>
      <c r="D236" s="3" t="s">
        <v>25</v>
      </c>
      <c r="E236" s="3" t="s">
        <v>15</v>
      </c>
      <c r="F236" s="89">
        <v>8</v>
      </c>
      <c r="G236" s="10">
        <v>0.49374999999999997</v>
      </c>
      <c r="H236" s="10">
        <v>0.54166666666666663</v>
      </c>
      <c r="I236" s="3">
        <v>6</v>
      </c>
      <c r="J236" s="12" t="s">
        <v>29</v>
      </c>
      <c r="K236" s="3" t="s">
        <v>28</v>
      </c>
      <c r="L236" s="10">
        <v>0.54305555555555551</v>
      </c>
      <c r="M236" s="3">
        <v>42</v>
      </c>
      <c r="N236" s="3">
        <v>45</v>
      </c>
      <c r="O236" s="3">
        <v>45</v>
      </c>
      <c r="P236" t="s">
        <v>22</v>
      </c>
      <c r="Q236" t="s">
        <v>77</v>
      </c>
      <c r="R236" s="1">
        <f t="shared" ref="R236:R238" si="64">B236</f>
        <v>44786</v>
      </c>
      <c r="S236" s="34">
        <f>AVERAGE(M236:O236)</f>
        <v>44</v>
      </c>
      <c r="T236" s="37">
        <f>3870-3228</f>
        <v>642</v>
      </c>
      <c r="U236" s="56">
        <v>28.380000000000003</v>
      </c>
      <c r="V236" s="38">
        <v>2</v>
      </c>
      <c r="W236" s="69">
        <v>-62</v>
      </c>
      <c r="X236" s="74">
        <v>-6143.0843893190995</v>
      </c>
      <c r="Y236" s="74">
        <v>-1437.0528711515399</v>
      </c>
      <c r="Z236" s="74">
        <v>-1532.4025794835909</v>
      </c>
      <c r="AA236" s="74">
        <v>-1759.95701452752</v>
      </c>
      <c r="AB236" s="74">
        <v>-1554.2077993107009</v>
      </c>
      <c r="AC236" s="75">
        <f t="shared" ref="AC236" si="65">X236*5/160+Y236*45/160+Z236*40/160+AA236*40/160+AB236*30/160</f>
        <v>-1710.6463680511265</v>
      </c>
      <c r="AD236" s="83"/>
    </row>
    <row r="237" spans="1:30" x14ac:dyDescent="0.2">
      <c r="A237" s="5" t="s">
        <v>21</v>
      </c>
      <c r="B237" s="6">
        <v>44786</v>
      </c>
      <c r="C237" s="5" t="s">
        <v>25</v>
      </c>
      <c r="D237" s="5" t="s">
        <v>25</v>
      </c>
      <c r="E237" s="5" t="s">
        <v>15</v>
      </c>
      <c r="F237" s="90">
        <v>8</v>
      </c>
      <c r="G237" s="11" t="s">
        <v>27</v>
      </c>
      <c r="H237" s="11">
        <v>0.16666666666666666</v>
      </c>
      <c r="I237" s="5">
        <v>6</v>
      </c>
      <c r="J237" s="13" t="s">
        <v>27</v>
      </c>
      <c r="K237" s="5" t="s">
        <v>28</v>
      </c>
      <c r="L237" s="11">
        <v>0.16874999999999998</v>
      </c>
      <c r="M237" s="5">
        <v>39</v>
      </c>
      <c r="N237" s="5">
        <v>39</v>
      </c>
      <c r="O237" s="5">
        <v>40</v>
      </c>
      <c r="P237" s="7" t="s">
        <v>23</v>
      </c>
      <c r="Q237" t="s">
        <v>77</v>
      </c>
      <c r="R237" s="1">
        <f t="shared" si="64"/>
        <v>44786</v>
      </c>
      <c r="S237" s="34">
        <f>AVERAGE(M237:O237)</f>
        <v>39.333333333333336</v>
      </c>
      <c r="T237" s="37">
        <f>3870-3225</f>
        <v>645</v>
      </c>
      <c r="V237" s="38"/>
      <c r="W237" s="69"/>
      <c r="X237" s="74">
        <v>-5075.1861832512323</v>
      </c>
      <c r="Y237" s="74">
        <v>-1456.6328885912278</v>
      </c>
      <c r="Z237" s="74">
        <v>-1534.7186238544136</v>
      </c>
      <c r="AA237" s="74">
        <v>-1768.1968840259888</v>
      </c>
      <c r="AB237" s="74">
        <v>-1550.885860681904</v>
      </c>
      <c r="AC237" s="75">
        <f t="shared" ref="AC237:AC238" si="66">X237*5/160+Y237*45/160+Z237*40/160+AA237*40/160+AB237*30/160</f>
        <v>-1684.7975439908414</v>
      </c>
      <c r="AD237">
        <v>1.104742965</v>
      </c>
    </row>
    <row r="238" spans="1:30" x14ac:dyDescent="0.2">
      <c r="A238" s="5" t="s">
        <v>21</v>
      </c>
      <c r="B238" s="6">
        <v>44786</v>
      </c>
      <c r="C238" s="5" t="s">
        <v>25</v>
      </c>
      <c r="D238" s="5" t="s">
        <v>25</v>
      </c>
      <c r="E238" s="5" t="s">
        <v>15</v>
      </c>
      <c r="F238" s="90">
        <v>8</v>
      </c>
      <c r="G238" s="11" t="s">
        <v>27</v>
      </c>
      <c r="H238" s="11">
        <v>0.54652777777777783</v>
      </c>
      <c r="I238" s="5">
        <v>6</v>
      </c>
      <c r="J238" s="13" t="s">
        <v>29</v>
      </c>
      <c r="K238" s="5" t="s">
        <v>28</v>
      </c>
      <c r="L238" s="11">
        <v>0.54791666666666672</v>
      </c>
      <c r="M238" s="5">
        <v>43</v>
      </c>
      <c r="N238" s="5">
        <v>46</v>
      </c>
      <c r="O238" s="5">
        <v>47</v>
      </c>
      <c r="P238" s="7" t="s">
        <v>23</v>
      </c>
      <c r="Q238" t="s">
        <v>77</v>
      </c>
      <c r="R238" s="1">
        <f t="shared" si="64"/>
        <v>44786</v>
      </c>
      <c r="S238" s="34">
        <f>AVERAGE(M238:O238)</f>
        <v>45.333333333333336</v>
      </c>
      <c r="T238" s="37">
        <f>3870-3228</f>
        <v>642</v>
      </c>
      <c r="U238" s="56">
        <v>28.380000000000003</v>
      </c>
      <c r="V238" s="38">
        <v>2</v>
      </c>
      <c r="W238" s="69">
        <v>-62</v>
      </c>
      <c r="X238" s="74">
        <v>-6143.0843893190995</v>
      </c>
      <c r="Y238" s="74">
        <v>-1437.0528711515399</v>
      </c>
      <c r="Z238" s="74">
        <v>-1532.4025794835909</v>
      </c>
      <c r="AA238" s="74">
        <v>-1759.95701452752</v>
      </c>
      <c r="AB238" s="74">
        <v>-1554.2077993107009</v>
      </c>
      <c r="AC238" s="75">
        <f t="shared" si="66"/>
        <v>-1710.6463680511265</v>
      </c>
      <c r="AD238">
        <v>3.2221680300000002</v>
      </c>
    </row>
    <row r="239" spans="1:30" x14ac:dyDescent="0.2">
      <c r="A239" s="49"/>
      <c r="B239" s="50"/>
      <c r="C239" s="49"/>
      <c r="D239" s="49"/>
      <c r="E239" s="49"/>
      <c r="F239" s="92"/>
      <c r="G239" s="51"/>
      <c r="H239" s="51"/>
      <c r="I239" s="49"/>
      <c r="J239" s="52"/>
      <c r="K239" s="49"/>
      <c r="L239" s="51"/>
      <c r="M239" s="49"/>
      <c r="N239" s="49"/>
      <c r="O239" s="49"/>
      <c r="P239" s="53"/>
      <c r="Q239" s="53"/>
      <c r="R239" s="1"/>
      <c r="S239" s="34"/>
      <c r="W239" s="69"/>
      <c r="X239" s="74"/>
      <c r="Y239" s="74"/>
      <c r="Z239" s="74"/>
      <c r="AA239" s="74"/>
      <c r="AB239" s="74"/>
      <c r="AC239" s="74"/>
      <c r="AD239" s="83"/>
    </row>
    <row r="240" spans="1:30" x14ac:dyDescent="0.2">
      <c r="A240" s="61" t="s">
        <v>21</v>
      </c>
      <c r="B240" s="62">
        <v>44867</v>
      </c>
      <c r="C240" s="61" t="s">
        <v>25</v>
      </c>
      <c r="D240" s="61" t="s">
        <v>26</v>
      </c>
      <c r="E240" s="61" t="s">
        <v>15</v>
      </c>
      <c r="F240" s="93">
        <v>8</v>
      </c>
      <c r="G240" s="63" t="s">
        <v>27</v>
      </c>
      <c r="H240" s="64">
        <v>0.47291666666666665</v>
      </c>
      <c r="I240" s="63">
        <v>6</v>
      </c>
      <c r="J240" s="63" t="s">
        <v>30</v>
      </c>
      <c r="K240" s="63" t="s">
        <v>90</v>
      </c>
      <c r="L240" s="64">
        <v>0.47430555555555554</v>
      </c>
      <c r="M240" s="63">
        <v>17</v>
      </c>
      <c r="N240" s="63">
        <v>18</v>
      </c>
      <c r="O240" s="63">
        <v>19</v>
      </c>
      <c r="P240" s="63" t="s">
        <v>23</v>
      </c>
      <c r="Q240" s="63" t="s">
        <v>91</v>
      </c>
      <c r="R240" s="1"/>
      <c r="S240" s="34"/>
      <c r="W240" s="69"/>
      <c r="X240" s="74">
        <v>-20.471870162365391</v>
      </c>
      <c r="Y240" s="74">
        <v>-21.108252364192158</v>
      </c>
      <c r="Z240" s="74">
        <v>-1221.7929051081221</v>
      </c>
      <c r="AA240" s="74">
        <v>-920.41539747731315</v>
      </c>
      <c r="AB240" s="74">
        <v>-628.13875426275195</v>
      </c>
      <c r="AC240" s="75">
        <f t="shared" ref="AC240" si="67">X240*5/160+Y240*45/160+Z240*40/160+AA240*40/160+AB240*30/160</f>
        <v>-659.90453399062778</v>
      </c>
      <c r="AD240" s="83"/>
    </row>
    <row r="241" spans="2:30" x14ac:dyDescent="0.2">
      <c r="B241" s="1"/>
      <c r="G241" s="10"/>
      <c r="H241" s="10"/>
      <c r="I241" s="3"/>
      <c r="J241" s="3"/>
      <c r="K241" s="3"/>
      <c r="L241" s="10"/>
      <c r="M241" s="3"/>
      <c r="N241" s="3"/>
      <c r="O241" s="3"/>
      <c r="R241" s="1"/>
      <c r="S241" s="34"/>
      <c r="W241" s="69"/>
      <c r="X241" s="78"/>
      <c r="Y241" s="78"/>
      <c r="Z241" s="78"/>
      <c r="AA241" s="78"/>
      <c r="AB241" s="78"/>
      <c r="AC241" s="78"/>
      <c r="AD241" s="83"/>
    </row>
    <row r="242" spans="2:30" x14ac:dyDescent="0.2">
      <c r="B242" s="1"/>
      <c r="G242" s="10"/>
      <c r="H242" s="10"/>
      <c r="I242" s="3"/>
      <c r="J242" s="3"/>
      <c r="K242" s="3"/>
      <c r="L242" s="10"/>
      <c r="M242" s="3"/>
      <c r="N242" s="3"/>
      <c r="O242" s="3"/>
      <c r="R242" s="1"/>
      <c r="S242" s="34"/>
      <c r="W242" s="69"/>
      <c r="X242" s="78"/>
      <c r="Y242" s="78"/>
      <c r="Z242" s="78"/>
      <c r="AA242" s="78"/>
      <c r="AB242" s="78"/>
      <c r="AC242" s="78"/>
      <c r="AD242" s="83"/>
    </row>
    <row r="243" spans="2:30" x14ac:dyDescent="0.2">
      <c r="B243" s="1"/>
      <c r="G243" s="10"/>
      <c r="H243" s="10"/>
      <c r="I243" s="3"/>
      <c r="J243" s="3"/>
      <c r="K243" s="3"/>
      <c r="L243" s="10"/>
      <c r="M243" s="3"/>
      <c r="N243" s="3"/>
      <c r="O243" s="3"/>
      <c r="R243" s="1"/>
      <c r="S243" s="34"/>
      <c r="W243" s="69"/>
      <c r="X243" s="78"/>
      <c r="Y243" s="78"/>
      <c r="Z243" s="78"/>
      <c r="AA243" s="78"/>
      <c r="AB243" s="78"/>
      <c r="AC243" s="78"/>
      <c r="AD243" s="83"/>
    </row>
    <row r="244" spans="2:30" x14ac:dyDescent="0.2">
      <c r="B244" s="1"/>
      <c r="G244" s="10"/>
      <c r="H244" s="10"/>
      <c r="I244" s="3"/>
      <c r="J244" s="3"/>
      <c r="K244" s="3"/>
      <c r="L244" s="10"/>
      <c r="M244" s="3"/>
      <c r="N244" s="3"/>
      <c r="O244" s="3"/>
      <c r="R244" s="1"/>
      <c r="S244" s="34"/>
      <c r="W244" s="69"/>
      <c r="X244" s="78"/>
      <c r="Y244" s="78"/>
      <c r="Z244" s="78"/>
      <c r="AA244" s="78"/>
      <c r="AB244" s="78"/>
      <c r="AC244" s="78"/>
      <c r="AD244" s="83"/>
    </row>
    <row r="245" spans="2:30" x14ac:dyDescent="0.2">
      <c r="B245" s="1"/>
      <c r="G245" s="10"/>
      <c r="H245" s="10"/>
      <c r="I245" s="3"/>
      <c r="J245" s="3"/>
      <c r="K245" s="3"/>
      <c r="L245" s="10"/>
      <c r="M245" s="3"/>
      <c r="N245" s="3"/>
      <c r="O245" s="3"/>
      <c r="R245" s="1"/>
      <c r="S245" s="34"/>
    </row>
    <row r="246" spans="2:30" x14ac:dyDescent="0.2">
      <c r="B246" s="1"/>
      <c r="G246" s="10"/>
      <c r="H246" s="10"/>
      <c r="I246" s="3"/>
      <c r="J246" s="3"/>
      <c r="K246" s="3"/>
      <c r="L246" s="10"/>
      <c r="M246" s="3"/>
      <c r="N246" s="3"/>
      <c r="O246" s="3"/>
      <c r="R246" s="1"/>
      <c r="S246" s="34"/>
    </row>
    <row r="247" spans="2:30" x14ac:dyDescent="0.2">
      <c r="B247" s="1"/>
      <c r="G247" s="10"/>
      <c r="H247" s="10"/>
      <c r="I247" s="3"/>
      <c r="J247" s="3"/>
      <c r="K247" s="3"/>
      <c r="L247" s="10"/>
      <c r="M247" s="3"/>
      <c r="N247" s="3"/>
      <c r="O247" s="3"/>
      <c r="R247" s="1"/>
      <c r="S247" s="34"/>
    </row>
    <row r="248" spans="2:30" x14ac:dyDescent="0.2">
      <c r="B248" s="1"/>
      <c r="G248" s="10"/>
      <c r="H248" s="10"/>
      <c r="I248" s="3"/>
      <c r="J248" s="3"/>
      <c r="K248" s="3"/>
      <c r="L248" s="10"/>
      <c r="M248" s="3"/>
      <c r="N248" s="3"/>
      <c r="O248" s="3"/>
      <c r="R248" s="1"/>
      <c r="S248" s="34"/>
    </row>
    <row r="249" spans="2:30" x14ac:dyDescent="0.2">
      <c r="B249" s="1"/>
      <c r="G249" s="10"/>
      <c r="H249" s="10"/>
      <c r="I249" s="3"/>
      <c r="J249" s="3"/>
      <c r="K249" s="3"/>
      <c r="L249" s="10"/>
      <c r="M249" s="3"/>
      <c r="N249" s="3"/>
      <c r="O249" s="3"/>
      <c r="R249" s="1"/>
      <c r="S249" s="34"/>
    </row>
    <row r="250" spans="2:30" x14ac:dyDescent="0.2">
      <c r="B250" s="1"/>
      <c r="G250" s="10"/>
      <c r="H250" s="10"/>
      <c r="I250" s="3"/>
      <c r="J250" s="3"/>
      <c r="K250" s="3"/>
      <c r="L250" s="10"/>
      <c r="M250" s="3"/>
      <c r="N250" s="3"/>
      <c r="O250" s="3"/>
      <c r="R250" s="1"/>
      <c r="S250" s="34"/>
    </row>
    <row r="251" spans="2:30" x14ac:dyDescent="0.2">
      <c r="B251" s="1"/>
      <c r="G251" s="10"/>
      <c r="H251" s="10"/>
      <c r="I251" s="3"/>
      <c r="J251" s="3"/>
      <c r="K251" s="3"/>
      <c r="L251" s="10"/>
      <c r="M251" s="3"/>
      <c r="N251" s="3"/>
      <c r="O251" s="3"/>
      <c r="R251" s="1"/>
      <c r="S251" s="34"/>
    </row>
    <row r="252" spans="2:30" x14ac:dyDescent="0.2">
      <c r="B252" s="1"/>
      <c r="G252" s="10"/>
      <c r="H252" s="10"/>
      <c r="I252" s="3"/>
      <c r="J252" s="3"/>
      <c r="K252" s="3"/>
      <c r="L252" s="10"/>
      <c r="M252" s="3"/>
      <c r="N252" s="3"/>
      <c r="O252" s="3"/>
      <c r="R252" s="1"/>
      <c r="S252" s="34"/>
    </row>
    <row r="253" spans="2:30" x14ac:dyDescent="0.2">
      <c r="B253" s="1"/>
      <c r="G253" s="10"/>
      <c r="H253" s="10"/>
      <c r="I253" s="3"/>
      <c r="J253" s="3"/>
      <c r="K253" s="3"/>
      <c r="L253" s="10"/>
      <c r="M253" s="3"/>
      <c r="N253" s="3"/>
      <c r="O253" s="3"/>
      <c r="R253" s="1"/>
      <c r="S253" s="34"/>
    </row>
    <row r="254" spans="2:30" x14ac:dyDescent="0.2">
      <c r="B254" s="1"/>
      <c r="G254" s="10"/>
      <c r="H254" s="10"/>
      <c r="I254" s="3"/>
      <c r="J254" s="3"/>
      <c r="K254" s="3"/>
      <c r="L254" s="10"/>
      <c r="M254" s="3"/>
      <c r="N254" s="3"/>
      <c r="O254" s="3"/>
      <c r="R254" s="1"/>
      <c r="S254" s="34"/>
    </row>
    <row r="255" spans="2:30" x14ac:dyDescent="0.2">
      <c r="B255" s="1"/>
      <c r="G255" s="10"/>
      <c r="H255" s="10"/>
      <c r="I255" s="3"/>
      <c r="J255" s="3"/>
      <c r="K255" s="3"/>
      <c r="L255" s="10"/>
      <c r="M255" s="3"/>
      <c r="N255" s="3"/>
      <c r="O255" s="3"/>
      <c r="R255" s="1"/>
      <c r="S255" s="34"/>
    </row>
    <row r="256" spans="2:30" x14ac:dyDescent="0.2">
      <c r="B256" s="1"/>
      <c r="G256" s="10"/>
      <c r="H256" s="10"/>
      <c r="I256" s="3"/>
      <c r="J256" s="3"/>
      <c r="K256" s="3"/>
      <c r="L256" s="10"/>
      <c r="M256" s="3"/>
      <c r="N256" s="3"/>
      <c r="O256" s="3"/>
      <c r="R256" s="1"/>
      <c r="S256" s="34"/>
    </row>
    <row r="257" spans="1:30" x14ac:dyDescent="0.2">
      <c r="B257" s="1"/>
      <c r="G257" s="10"/>
      <c r="H257" s="10"/>
      <c r="I257" s="3"/>
      <c r="J257" s="3"/>
      <c r="K257" s="3"/>
      <c r="L257" s="10"/>
      <c r="M257" s="3"/>
      <c r="N257" s="3"/>
      <c r="O257" s="3"/>
      <c r="R257" s="1"/>
      <c r="S257" s="34"/>
    </row>
    <row r="258" spans="1:30" x14ac:dyDescent="0.2">
      <c r="B258" s="1"/>
      <c r="G258" s="10"/>
      <c r="H258" s="10"/>
      <c r="I258" s="3"/>
      <c r="J258" s="3"/>
      <c r="K258" s="3"/>
      <c r="L258" s="10"/>
      <c r="M258" s="3"/>
      <c r="N258" s="3"/>
      <c r="O258" s="3"/>
      <c r="R258" s="1"/>
      <c r="S258" s="34"/>
    </row>
    <row r="259" spans="1:30" x14ac:dyDescent="0.2">
      <c r="B259" s="1"/>
      <c r="G259" s="10"/>
      <c r="H259" s="10"/>
      <c r="I259" s="3"/>
      <c r="J259" s="3"/>
      <c r="K259" s="3"/>
      <c r="L259" s="10"/>
      <c r="M259" s="3"/>
      <c r="N259" s="3"/>
      <c r="O259" s="3"/>
      <c r="R259" s="1"/>
      <c r="S259" s="34"/>
    </row>
    <row r="260" spans="1:30" x14ac:dyDescent="0.2">
      <c r="B260" s="1"/>
      <c r="G260" s="10"/>
      <c r="H260" s="10"/>
      <c r="I260" s="3"/>
      <c r="J260" s="3"/>
      <c r="K260" s="3"/>
      <c r="L260" s="10"/>
      <c r="M260" s="3"/>
      <c r="N260" s="3"/>
      <c r="O260" s="3"/>
      <c r="R260" s="1"/>
      <c r="S260" s="34"/>
    </row>
    <row r="261" spans="1:30" x14ac:dyDescent="0.2">
      <c r="B261" s="1"/>
      <c r="G261" s="10"/>
      <c r="H261" s="10"/>
      <c r="I261" s="3"/>
      <c r="J261" s="3"/>
      <c r="K261" s="3"/>
      <c r="L261" s="10"/>
      <c r="M261" s="3"/>
      <c r="N261" s="3"/>
      <c r="O261" s="3"/>
      <c r="S261" s="34"/>
    </row>
    <row r="262" spans="1:30" x14ac:dyDescent="0.2">
      <c r="B262" s="1"/>
      <c r="G262" s="10"/>
      <c r="H262" s="10"/>
      <c r="I262" s="3"/>
      <c r="J262" s="3"/>
      <c r="K262" s="3"/>
      <c r="L262" s="10"/>
      <c r="M262" s="3"/>
      <c r="N262" s="3"/>
      <c r="O262" s="3"/>
      <c r="S262" s="34"/>
    </row>
    <row r="263" spans="1:30" x14ac:dyDescent="0.2">
      <c r="B263" s="1"/>
      <c r="G263" s="10"/>
      <c r="H263" s="10"/>
      <c r="I263" s="3"/>
      <c r="J263" s="3"/>
      <c r="K263" s="3"/>
      <c r="L263" s="10"/>
      <c r="M263" s="3"/>
      <c r="N263" s="3"/>
      <c r="O263" s="3"/>
      <c r="S263" s="34"/>
    </row>
    <row r="264" spans="1:30" x14ac:dyDescent="0.2">
      <c r="B264" s="1"/>
      <c r="G264" s="10"/>
      <c r="H264" s="10"/>
      <c r="I264" s="3"/>
      <c r="J264" s="3"/>
      <c r="K264" s="3"/>
      <c r="L264" s="10"/>
      <c r="M264" s="3"/>
      <c r="N264" s="3"/>
      <c r="O264" s="3"/>
      <c r="S264" s="34"/>
    </row>
    <row r="265" spans="1:30" x14ac:dyDescent="0.2">
      <c r="B265" s="1"/>
      <c r="G265" s="10"/>
      <c r="H265" s="10"/>
      <c r="I265" s="3"/>
      <c r="J265" s="3"/>
      <c r="K265" s="3"/>
      <c r="L265" s="10"/>
      <c r="M265" s="3"/>
      <c r="N265" s="3"/>
      <c r="O265" s="3"/>
    </row>
    <row r="266" spans="1:30" x14ac:dyDescent="0.2">
      <c r="A266" s="3" t="s">
        <v>21</v>
      </c>
      <c r="B266" s="1">
        <v>44348</v>
      </c>
      <c r="C266" s="3" t="s">
        <v>25</v>
      </c>
      <c r="D266" s="3" t="s">
        <v>26</v>
      </c>
      <c r="E266" s="3" t="s">
        <v>15</v>
      </c>
      <c r="F266" s="89">
        <v>13</v>
      </c>
      <c r="G266" s="10">
        <v>0.27777777777777779</v>
      </c>
      <c r="H266" s="10">
        <v>0.3041666666666667</v>
      </c>
      <c r="I266" s="3">
        <v>4</v>
      </c>
      <c r="J266" s="3" t="s">
        <v>29</v>
      </c>
      <c r="K266" s="3" t="s">
        <v>28</v>
      </c>
      <c r="L266" s="10">
        <v>0.30694444444444446</v>
      </c>
      <c r="M266" s="3">
        <v>5</v>
      </c>
      <c r="N266" s="3">
        <v>5</v>
      </c>
      <c r="O266" s="3">
        <v>6</v>
      </c>
      <c r="P266" t="s">
        <v>22</v>
      </c>
      <c r="R266" s="1">
        <f t="shared" ref="R266:R276" si="68">B266</f>
        <v>44348</v>
      </c>
      <c r="S266" s="34">
        <f>AVERAGE(M266:O266)</f>
        <v>5.333333333333333</v>
      </c>
      <c r="T266" s="37"/>
      <c r="U266" s="57"/>
      <c r="V266" s="38"/>
      <c r="W266" s="66"/>
      <c r="X266" s="74"/>
      <c r="Y266" s="74"/>
      <c r="Z266" s="74"/>
      <c r="AA266" s="74"/>
      <c r="AB266" s="74"/>
      <c r="AC266" s="74"/>
      <c r="AD266" s="81"/>
    </row>
    <row r="267" spans="1:30" x14ac:dyDescent="0.2">
      <c r="A267" s="3" t="s">
        <v>21</v>
      </c>
      <c r="B267" s="1">
        <v>44348</v>
      </c>
      <c r="C267" s="3" t="s">
        <v>25</v>
      </c>
      <c r="D267" s="3" t="s">
        <v>26</v>
      </c>
      <c r="E267" s="3" t="s">
        <v>15</v>
      </c>
      <c r="F267" s="89">
        <v>13</v>
      </c>
      <c r="G267" s="10">
        <v>0.36111111111111105</v>
      </c>
      <c r="H267" s="10">
        <v>0.3888888888888889</v>
      </c>
      <c r="I267" s="3">
        <v>4</v>
      </c>
      <c r="J267" s="3" t="s">
        <v>30</v>
      </c>
      <c r="K267" s="3" t="s">
        <v>28</v>
      </c>
      <c r="L267" s="10">
        <v>0.38958333333333328</v>
      </c>
      <c r="M267" s="3">
        <v>6</v>
      </c>
      <c r="N267" s="3">
        <v>6</v>
      </c>
      <c r="O267" s="3">
        <v>6</v>
      </c>
      <c r="P267" t="s">
        <v>22</v>
      </c>
      <c r="R267" s="1">
        <f t="shared" si="68"/>
        <v>44348</v>
      </c>
      <c r="S267" s="34">
        <f t="shared" ref="S267:S276" si="69">AVERAGE(M267:O267)</f>
        <v>6</v>
      </c>
      <c r="T267" s="37"/>
      <c r="U267" s="57"/>
      <c r="V267" s="38"/>
      <c r="W267" s="66"/>
      <c r="X267" s="74"/>
      <c r="Y267" s="74"/>
      <c r="Z267" s="74"/>
      <c r="AA267" s="74"/>
      <c r="AB267" s="74"/>
      <c r="AC267" s="74"/>
      <c r="AD267" s="81"/>
    </row>
    <row r="268" spans="1:30" x14ac:dyDescent="0.2">
      <c r="A268" s="3" t="s">
        <v>21</v>
      </c>
      <c r="B268" s="1">
        <v>44348</v>
      </c>
      <c r="C268" s="3" t="s">
        <v>25</v>
      </c>
      <c r="D268" s="3" t="s">
        <v>26</v>
      </c>
      <c r="E268" s="3" t="s">
        <v>15</v>
      </c>
      <c r="F268" s="89">
        <v>13</v>
      </c>
      <c r="G268" s="10">
        <v>0.44444444444444442</v>
      </c>
      <c r="H268" s="10">
        <v>0.48819444444444443</v>
      </c>
      <c r="I268" s="3">
        <v>4</v>
      </c>
      <c r="J268" s="3" t="s">
        <v>30</v>
      </c>
      <c r="K268" s="3" t="s">
        <v>28</v>
      </c>
      <c r="L268" s="10">
        <v>0.48958333333333331</v>
      </c>
      <c r="M268" s="3">
        <v>7</v>
      </c>
      <c r="N268" s="3">
        <v>7</v>
      </c>
      <c r="O268" s="3">
        <v>7</v>
      </c>
      <c r="P268" t="s">
        <v>22</v>
      </c>
      <c r="R268" s="1">
        <f t="shared" si="68"/>
        <v>44348</v>
      </c>
      <c r="S268" s="34">
        <f t="shared" si="69"/>
        <v>7</v>
      </c>
      <c r="T268" s="37">
        <f>3900-3730</f>
        <v>170</v>
      </c>
      <c r="U268" s="57">
        <v>207.3</v>
      </c>
      <c r="V268" s="38"/>
      <c r="W268" s="66"/>
      <c r="X268" s="74"/>
      <c r="Y268" s="74"/>
      <c r="Z268" s="74"/>
      <c r="AA268" s="74"/>
      <c r="AB268" s="74"/>
      <c r="AC268" s="74"/>
      <c r="AD268" s="81"/>
    </row>
    <row r="269" spans="1:30" x14ac:dyDescent="0.2">
      <c r="A269" s="3" t="s">
        <v>21</v>
      </c>
      <c r="B269" s="1">
        <v>44348</v>
      </c>
      <c r="C269" s="3" t="s">
        <v>25</v>
      </c>
      <c r="D269" s="3" t="s">
        <v>26</v>
      </c>
      <c r="E269" s="3" t="s">
        <v>15</v>
      </c>
      <c r="F269" s="89">
        <v>13</v>
      </c>
      <c r="G269" s="10">
        <v>0.56944444444444442</v>
      </c>
      <c r="H269" s="10">
        <v>0.60347222222222219</v>
      </c>
      <c r="I269" s="3">
        <v>4</v>
      </c>
      <c r="J269" s="3" t="s">
        <v>30</v>
      </c>
      <c r="K269" s="3" t="s">
        <v>28</v>
      </c>
      <c r="L269" s="10">
        <v>0.60416666666666674</v>
      </c>
      <c r="M269" s="3">
        <v>7</v>
      </c>
      <c r="N269" s="3">
        <v>7</v>
      </c>
      <c r="O269" s="3">
        <v>8</v>
      </c>
      <c r="P269" t="s">
        <v>22</v>
      </c>
      <c r="R269" s="1">
        <f t="shared" si="68"/>
        <v>44348</v>
      </c>
      <c r="S269" s="34">
        <f t="shared" si="69"/>
        <v>7.333333333333333</v>
      </c>
      <c r="T269" s="37"/>
      <c r="U269" s="57"/>
      <c r="V269" s="38"/>
      <c r="W269" s="66"/>
      <c r="X269" s="74"/>
      <c r="Y269" s="74"/>
      <c r="Z269" s="74"/>
      <c r="AA269" s="74"/>
      <c r="AB269" s="74"/>
      <c r="AC269" s="74"/>
      <c r="AD269" s="81"/>
    </row>
    <row r="270" spans="1:30" x14ac:dyDescent="0.2">
      <c r="A270" s="3" t="s">
        <v>21</v>
      </c>
      <c r="B270" s="1">
        <v>44348</v>
      </c>
      <c r="C270" s="3" t="s">
        <v>25</v>
      </c>
      <c r="D270" s="3" t="s">
        <v>26</v>
      </c>
      <c r="E270" s="3" t="s">
        <v>15</v>
      </c>
      <c r="F270" s="89">
        <v>13</v>
      </c>
      <c r="G270" s="10">
        <v>0.69444444444444453</v>
      </c>
      <c r="H270" s="10">
        <v>0.71666666666666667</v>
      </c>
      <c r="I270" s="3">
        <v>4</v>
      </c>
      <c r="J270" s="3" t="s">
        <v>31</v>
      </c>
      <c r="K270" s="3" t="s">
        <v>28</v>
      </c>
      <c r="L270" s="10">
        <v>0.71805555555555567</v>
      </c>
      <c r="M270" s="3">
        <v>7</v>
      </c>
      <c r="N270" s="3">
        <v>7</v>
      </c>
      <c r="O270" s="3">
        <v>8</v>
      </c>
      <c r="P270" t="s">
        <v>22</v>
      </c>
      <c r="R270" s="1">
        <f t="shared" si="68"/>
        <v>44348</v>
      </c>
      <c r="S270" s="34">
        <f t="shared" si="69"/>
        <v>7.333333333333333</v>
      </c>
      <c r="T270" s="37"/>
      <c r="U270" s="57"/>
      <c r="V270" s="38"/>
      <c r="W270" s="66"/>
      <c r="X270" s="74"/>
      <c r="Y270" s="74"/>
      <c r="Z270" s="74"/>
      <c r="AA270" s="74"/>
      <c r="AB270" s="74"/>
      <c r="AC270" s="74"/>
      <c r="AD270" s="81"/>
    </row>
    <row r="271" spans="1:30" x14ac:dyDescent="0.2">
      <c r="A271" s="5" t="s">
        <v>21</v>
      </c>
      <c r="B271" s="6">
        <v>44348</v>
      </c>
      <c r="C271" s="5" t="s">
        <v>25</v>
      </c>
      <c r="D271" s="5" t="s">
        <v>26</v>
      </c>
      <c r="E271" s="5" t="s">
        <v>15</v>
      </c>
      <c r="F271" s="90">
        <v>13</v>
      </c>
      <c r="G271" s="5" t="s">
        <v>27</v>
      </c>
      <c r="H271" s="11">
        <v>0.12222222222222223</v>
      </c>
      <c r="I271" s="5">
        <v>4</v>
      </c>
      <c r="J271" s="5" t="s">
        <v>27</v>
      </c>
      <c r="K271" s="5" t="s">
        <v>28</v>
      </c>
      <c r="L271" s="11">
        <v>0.12291666666666667</v>
      </c>
      <c r="M271" s="5">
        <v>4</v>
      </c>
      <c r="N271" s="5">
        <v>5</v>
      </c>
      <c r="O271" s="5">
        <v>4</v>
      </c>
      <c r="P271" s="7" t="s">
        <v>23</v>
      </c>
      <c r="Q271" s="7"/>
      <c r="R271" s="1">
        <f t="shared" si="68"/>
        <v>44348</v>
      </c>
      <c r="S271" s="34">
        <f t="shared" si="69"/>
        <v>4.333333333333333</v>
      </c>
      <c r="T271" s="37">
        <f>3900-3733</f>
        <v>167</v>
      </c>
      <c r="U271" s="57"/>
      <c r="V271" s="38"/>
      <c r="W271" s="66"/>
      <c r="X271" s="74"/>
      <c r="Y271" s="74"/>
      <c r="Z271" s="74"/>
      <c r="AA271" s="74"/>
      <c r="AB271" s="74"/>
      <c r="AC271" s="74"/>
      <c r="AD271" s="81"/>
    </row>
    <row r="272" spans="1:30" x14ac:dyDescent="0.2">
      <c r="A272" s="5" t="s">
        <v>21</v>
      </c>
      <c r="B272" s="6">
        <v>44348</v>
      </c>
      <c r="C272" s="5" t="s">
        <v>25</v>
      </c>
      <c r="D272" s="5" t="s">
        <v>26</v>
      </c>
      <c r="E272" s="5" t="s">
        <v>15</v>
      </c>
      <c r="F272" s="90">
        <v>13</v>
      </c>
      <c r="G272" s="5" t="s">
        <v>27</v>
      </c>
      <c r="H272" s="11">
        <v>0.3041666666666667</v>
      </c>
      <c r="I272" s="5">
        <v>4</v>
      </c>
      <c r="J272" s="5" t="s">
        <v>29</v>
      </c>
      <c r="K272" s="5" t="s">
        <v>28</v>
      </c>
      <c r="L272" s="11">
        <v>0.30555555555555558</v>
      </c>
      <c r="M272" s="5">
        <v>6</v>
      </c>
      <c r="N272" s="5">
        <v>6</v>
      </c>
      <c r="O272" s="5">
        <v>7</v>
      </c>
      <c r="P272" s="7" t="s">
        <v>23</v>
      </c>
      <c r="Q272" s="7"/>
      <c r="R272" s="1">
        <f t="shared" si="68"/>
        <v>44348</v>
      </c>
      <c r="S272" s="34">
        <f t="shared" si="69"/>
        <v>6.333333333333333</v>
      </c>
      <c r="T272" s="37"/>
      <c r="U272" s="57"/>
      <c r="V272" s="38"/>
      <c r="W272" s="66"/>
      <c r="X272" s="74"/>
      <c r="Y272" s="74"/>
      <c r="Z272" s="74"/>
      <c r="AA272" s="74"/>
      <c r="AB272" s="74"/>
      <c r="AC272" s="74"/>
      <c r="AD272" s="81"/>
    </row>
    <row r="273" spans="1:30" x14ac:dyDescent="0.2">
      <c r="A273" s="5" t="s">
        <v>21</v>
      </c>
      <c r="B273" s="6">
        <v>44348</v>
      </c>
      <c r="C273" s="5" t="s">
        <v>25</v>
      </c>
      <c r="D273" s="5" t="s">
        <v>26</v>
      </c>
      <c r="E273" s="5" t="s">
        <v>15</v>
      </c>
      <c r="F273" s="90">
        <v>13</v>
      </c>
      <c r="G273" s="11" t="s">
        <v>27</v>
      </c>
      <c r="H273" s="11">
        <v>0.38541666666666663</v>
      </c>
      <c r="I273" s="5">
        <v>4</v>
      </c>
      <c r="J273" s="5" t="s">
        <v>30</v>
      </c>
      <c r="K273" s="5" t="s">
        <v>28</v>
      </c>
      <c r="L273" s="11">
        <v>0.38680555555555551</v>
      </c>
      <c r="M273" s="5">
        <v>9</v>
      </c>
      <c r="N273" s="5">
        <v>9</v>
      </c>
      <c r="O273" s="5">
        <v>10</v>
      </c>
      <c r="P273" s="7" t="s">
        <v>23</v>
      </c>
      <c r="Q273" s="7"/>
      <c r="R273" s="1">
        <f t="shared" si="68"/>
        <v>44348</v>
      </c>
      <c r="S273" s="34">
        <f t="shared" si="69"/>
        <v>9.3333333333333339</v>
      </c>
      <c r="T273" s="37"/>
      <c r="U273" s="57"/>
      <c r="V273" s="38"/>
      <c r="W273" s="66"/>
      <c r="X273" s="74"/>
      <c r="Y273" s="74"/>
      <c r="Z273" s="74"/>
      <c r="AA273" s="74"/>
      <c r="AB273" s="74"/>
      <c r="AC273" s="74"/>
      <c r="AD273" s="81"/>
    </row>
    <row r="274" spans="1:30" x14ac:dyDescent="0.2">
      <c r="A274" s="5" t="s">
        <v>21</v>
      </c>
      <c r="B274" s="6">
        <v>44348</v>
      </c>
      <c r="C274" s="5" t="s">
        <v>25</v>
      </c>
      <c r="D274" s="5" t="s">
        <v>26</v>
      </c>
      <c r="E274" s="5" t="s">
        <v>15</v>
      </c>
      <c r="F274" s="90">
        <v>13</v>
      </c>
      <c r="G274" s="5" t="s">
        <v>27</v>
      </c>
      <c r="H274" s="11">
        <v>0.48472222222222222</v>
      </c>
      <c r="I274" s="5">
        <v>4</v>
      </c>
      <c r="J274" s="5" t="s">
        <v>30</v>
      </c>
      <c r="K274" s="5" t="s">
        <v>28</v>
      </c>
      <c r="L274" s="11">
        <v>0.4861111111111111</v>
      </c>
      <c r="M274" s="5">
        <v>11</v>
      </c>
      <c r="N274" s="5">
        <v>12</v>
      </c>
      <c r="O274" s="5">
        <v>11</v>
      </c>
      <c r="P274" s="7" t="s">
        <v>23</v>
      </c>
      <c r="Q274" s="7"/>
      <c r="R274" s="1">
        <f t="shared" si="68"/>
        <v>44348</v>
      </c>
      <c r="S274" s="34">
        <f t="shared" si="69"/>
        <v>11.333333333333334</v>
      </c>
      <c r="T274" s="37">
        <f>3900-3730</f>
        <v>170</v>
      </c>
      <c r="U274" s="57">
        <v>207.3</v>
      </c>
      <c r="V274" s="38"/>
      <c r="W274" s="66"/>
      <c r="X274" s="74"/>
      <c r="Y274" s="74"/>
      <c r="Z274" s="74"/>
      <c r="AA274" s="74"/>
      <c r="AB274" s="74"/>
      <c r="AC274" s="74"/>
      <c r="AD274" s="81"/>
    </row>
    <row r="275" spans="1:30" x14ac:dyDescent="0.2">
      <c r="A275" s="5" t="s">
        <v>21</v>
      </c>
      <c r="B275" s="6">
        <v>44348</v>
      </c>
      <c r="C275" s="5" t="s">
        <v>25</v>
      </c>
      <c r="D275" s="5" t="s">
        <v>26</v>
      </c>
      <c r="E275" s="5" t="s">
        <v>15</v>
      </c>
      <c r="F275" s="90">
        <v>13</v>
      </c>
      <c r="G275" s="11" t="s">
        <v>27</v>
      </c>
      <c r="H275" s="11">
        <v>0.59722222222222232</v>
      </c>
      <c r="I275" s="5">
        <v>4</v>
      </c>
      <c r="J275" s="5" t="s">
        <v>30</v>
      </c>
      <c r="K275" s="5" t="s">
        <v>28</v>
      </c>
      <c r="L275" s="11">
        <v>0.5986111111111112</v>
      </c>
      <c r="M275" s="5">
        <v>11</v>
      </c>
      <c r="N275" s="5">
        <v>11</v>
      </c>
      <c r="O275" s="5">
        <v>12</v>
      </c>
      <c r="P275" s="7" t="s">
        <v>23</v>
      </c>
      <c r="Q275" s="7"/>
      <c r="R275" s="1">
        <f t="shared" si="68"/>
        <v>44348</v>
      </c>
      <c r="S275" s="34">
        <f t="shared" si="69"/>
        <v>11.333333333333334</v>
      </c>
      <c r="T275" s="37"/>
      <c r="U275" s="57"/>
      <c r="V275" s="38"/>
      <c r="W275" s="66"/>
      <c r="X275" s="74"/>
      <c r="Y275" s="74"/>
      <c r="Z275" s="74"/>
      <c r="AA275" s="74"/>
      <c r="AB275" s="74"/>
      <c r="AC275" s="74"/>
      <c r="AD275" s="81"/>
    </row>
    <row r="276" spans="1:30" x14ac:dyDescent="0.2">
      <c r="A276" s="5" t="s">
        <v>21</v>
      </c>
      <c r="B276" s="6">
        <v>44348</v>
      </c>
      <c r="C276" s="5" t="s">
        <v>25</v>
      </c>
      <c r="D276" s="5" t="s">
        <v>26</v>
      </c>
      <c r="E276" s="5" t="s">
        <v>15</v>
      </c>
      <c r="F276" s="90">
        <v>13</v>
      </c>
      <c r="G276" s="11" t="s">
        <v>27</v>
      </c>
      <c r="H276" s="11">
        <v>0.7152777777777779</v>
      </c>
      <c r="I276" s="5">
        <v>4</v>
      </c>
      <c r="J276" s="5" t="s">
        <v>31</v>
      </c>
      <c r="K276" s="5" t="s">
        <v>28</v>
      </c>
      <c r="L276" s="11">
        <v>0.71597222222222223</v>
      </c>
      <c r="M276" s="5">
        <v>6</v>
      </c>
      <c r="N276" s="5">
        <v>8</v>
      </c>
      <c r="O276" s="5">
        <v>7</v>
      </c>
      <c r="P276" s="7" t="s">
        <v>23</v>
      </c>
      <c r="Q276" s="7"/>
      <c r="R276" s="1">
        <f t="shared" si="68"/>
        <v>44348</v>
      </c>
      <c r="S276" s="34">
        <f t="shared" si="69"/>
        <v>7</v>
      </c>
      <c r="T276" s="37"/>
      <c r="U276" s="57"/>
      <c r="V276" s="38"/>
      <c r="W276" s="66"/>
      <c r="X276" s="74"/>
      <c r="Y276" s="74"/>
      <c r="Z276" s="74"/>
      <c r="AA276" s="74"/>
      <c r="AB276" s="74"/>
      <c r="AC276" s="74"/>
      <c r="AD276" s="81"/>
    </row>
    <row r="277" spans="1:30" x14ac:dyDescent="0.2">
      <c r="A277" s="19"/>
      <c r="B277" s="20"/>
      <c r="C277" s="19"/>
      <c r="D277" s="19"/>
      <c r="E277" s="19"/>
      <c r="F277" s="95"/>
      <c r="G277" s="21"/>
      <c r="H277" s="21"/>
      <c r="I277" s="19"/>
      <c r="J277" s="19"/>
      <c r="K277" s="19"/>
      <c r="L277" s="21"/>
      <c r="M277" s="19"/>
      <c r="N277" s="19"/>
      <c r="O277" s="19"/>
      <c r="P277" s="22"/>
      <c r="Q277" s="22"/>
      <c r="S277" s="34"/>
      <c r="T277" s="37"/>
      <c r="U277" s="57"/>
      <c r="V277" s="38"/>
      <c r="W277" s="66"/>
      <c r="X277" s="74"/>
      <c r="Y277" s="74"/>
      <c r="Z277" s="74"/>
      <c r="AA277" s="74"/>
      <c r="AB277" s="74"/>
      <c r="AC277" s="74"/>
      <c r="AD277" s="81"/>
    </row>
    <row r="278" spans="1:30" x14ac:dyDescent="0.2">
      <c r="A278" s="3" t="s">
        <v>21</v>
      </c>
      <c r="B278" s="1">
        <v>44398</v>
      </c>
      <c r="C278" s="3" t="s">
        <v>25</v>
      </c>
      <c r="D278" s="3" t="s">
        <v>35</v>
      </c>
      <c r="E278" s="3" t="s">
        <v>15</v>
      </c>
      <c r="F278" s="89">
        <v>13</v>
      </c>
      <c r="G278" s="10">
        <v>0.31597222222222221</v>
      </c>
      <c r="H278" s="10">
        <v>0.34375</v>
      </c>
      <c r="I278" s="3">
        <v>4</v>
      </c>
      <c r="J278" s="3" t="s">
        <v>30</v>
      </c>
      <c r="K278" s="3" t="s">
        <v>28</v>
      </c>
      <c r="L278" s="10">
        <v>0.34652777777777777</v>
      </c>
      <c r="M278" s="3">
        <v>3</v>
      </c>
      <c r="N278" s="3">
        <v>4</v>
      </c>
      <c r="O278" s="3">
        <v>4</v>
      </c>
      <c r="P278" t="s">
        <v>22</v>
      </c>
      <c r="Q278" t="s">
        <v>40</v>
      </c>
      <c r="R278" s="1">
        <f t="shared" ref="R278:R286" si="70">B278</f>
        <v>44398</v>
      </c>
      <c r="S278" s="34">
        <f t="shared" ref="S278:S286" si="71">AVERAGE(M278:O278)</f>
        <v>3.6666666666666665</v>
      </c>
      <c r="T278" s="37"/>
      <c r="U278" s="57"/>
      <c r="V278" s="38"/>
      <c r="W278" s="66"/>
      <c r="X278" s="74"/>
      <c r="Y278" s="74"/>
      <c r="Z278" s="74"/>
      <c r="AA278" s="74"/>
      <c r="AB278" s="74"/>
      <c r="AC278" s="74"/>
      <c r="AD278" s="81"/>
    </row>
    <row r="279" spans="1:30" x14ac:dyDescent="0.2">
      <c r="A279" s="3" t="s">
        <v>21</v>
      </c>
      <c r="B279" s="1">
        <v>44398</v>
      </c>
      <c r="C279" s="3" t="s">
        <v>25</v>
      </c>
      <c r="D279" s="3" t="s">
        <v>35</v>
      </c>
      <c r="E279" s="3" t="s">
        <v>15</v>
      </c>
      <c r="F279" s="89">
        <v>13</v>
      </c>
      <c r="G279" s="10">
        <v>0.45486111111111105</v>
      </c>
      <c r="H279" s="10">
        <v>0.48749999999999999</v>
      </c>
      <c r="I279" s="3">
        <v>4</v>
      </c>
      <c r="J279" s="3" t="s">
        <v>30</v>
      </c>
      <c r="K279" s="3" t="s">
        <v>28</v>
      </c>
      <c r="L279" s="10">
        <v>0.48888888888888887</v>
      </c>
      <c r="M279" s="3">
        <v>6</v>
      </c>
      <c r="N279" s="3">
        <v>6</v>
      </c>
      <c r="O279" s="3">
        <v>7</v>
      </c>
      <c r="P279" t="s">
        <v>22</v>
      </c>
      <c r="Q279" t="s">
        <v>41</v>
      </c>
      <c r="R279" s="1">
        <f t="shared" si="70"/>
        <v>44398</v>
      </c>
      <c r="S279" s="34">
        <f t="shared" si="71"/>
        <v>6.333333333333333</v>
      </c>
      <c r="T279" s="39">
        <f>4040-3859</f>
        <v>181</v>
      </c>
      <c r="U279" s="57">
        <v>392.63333333333338</v>
      </c>
      <c r="V279" s="40"/>
      <c r="W279" s="67"/>
      <c r="X279" s="75"/>
      <c r="Y279" s="75"/>
      <c r="Z279" s="75"/>
      <c r="AA279" s="75"/>
      <c r="AB279" s="75"/>
      <c r="AC279" s="75"/>
      <c r="AD279" s="82"/>
    </row>
    <row r="280" spans="1:30" x14ac:dyDescent="0.2">
      <c r="A280" s="3" t="s">
        <v>21</v>
      </c>
      <c r="B280" s="1">
        <v>44398</v>
      </c>
      <c r="C280" s="3" t="s">
        <v>25</v>
      </c>
      <c r="D280" s="3" t="s">
        <v>35</v>
      </c>
      <c r="E280" s="3" t="s">
        <v>15</v>
      </c>
      <c r="F280" s="89">
        <v>13</v>
      </c>
      <c r="G280" s="10">
        <v>0.57986111111111116</v>
      </c>
      <c r="H280" s="10">
        <v>0.60625000000000007</v>
      </c>
      <c r="I280" s="3">
        <v>4</v>
      </c>
      <c r="J280" s="3" t="s">
        <v>30</v>
      </c>
      <c r="K280" s="3" t="s">
        <v>28</v>
      </c>
      <c r="L280" s="10">
        <v>0.60833333333333339</v>
      </c>
      <c r="M280" s="3">
        <v>6</v>
      </c>
      <c r="N280" s="3">
        <v>7</v>
      </c>
      <c r="O280" s="3">
        <v>7</v>
      </c>
      <c r="P280" t="s">
        <v>22</v>
      </c>
      <c r="Q280" t="s">
        <v>42</v>
      </c>
      <c r="R280" s="1">
        <f t="shared" si="70"/>
        <v>44398</v>
      </c>
      <c r="S280" s="34">
        <f t="shared" si="71"/>
        <v>6.666666666666667</v>
      </c>
      <c r="T280" s="37"/>
      <c r="U280" s="57"/>
      <c r="V280" s="38"/>
      <c r="W280" s="66"/>
      <c r="X280" s="74"/>
      <c r="Y280" s="74"/>
      <c r="Z280" s="74"/>
      <c r="AA280" s="74"/>
      <c r="AB280" s="74"/>
      <c r="AC280" s="74"/>
      <c r="AD280" s="81"/>
    </row>
    <row r="281" spans="1:30" x14ac:dyDescent="0.2">
      <c r="A281" s="3" t="s">
        <v>21</v>
      </c>
      <c r="B281" s="1">
        <v>44398</v>
      </c>
      <c r="C281" s="3" t="s">
        <v>25</v>
      </c>
      <c r="D281" s="3" t="s">
        <v>35</v>
      </c>
      <c r="E281" s="3" t="s">
        <v>15</v>
      </c>
      <c r="F281" s="89">
        <v>13</v>
      </c>
      <c r="G281" s="10">
        <v>0.64930555555555558</v>
      </c>
      <c r="H281" s="10">
        <v>0.68611111111111112</v>
      </c>
      <c r="I281" s="3">
        <v>4</v>
      </c>
      <c r="J281" s="3" t="s">
        <v>30</v>
      </c>
      <c r="K281" s="3" t="s">
        <v>28</v>
      </c>
      <c r="L281" s="10">
        <v>0.68819444444444444</v>
      </c>
      <c r="M281" s="3">
        <v>8</v>
      </c>
      <c r="N281" s="3">
        <v>8</v>
      </c>
      <c r="O281" s="3">
        <v>9</v>
      </c>
      <c r="P281" t="s">
        <v>22</v>
      </c>
      <c r="Q281" t="s">
        <v>43</v>
      </c>
      <c r="R281" s="1">
        <f t="shared" si="70"/>
        <v>44398</v>
      </c>
      <c r="S281" s="34">
        <f t="shared" si="71"/>
        <v>8.3333333333333339</v>
      </c>
      <c r="T281" s="37"/>
      <c r="U281" s="57"/>
      <c r="V281" s="38"/>
      <c r="W281" s="66"/>
      <c r="X281" s="74"/>
      <c r="Y281" s="74"/>
      <c r="Z281" s="74"/>
      <c r="AA281" s="74"/>
      <c r="AB281" s="74"/>
      <c r="AC281" s="74"/>
      <c r="AD281" s="81"/>
    </row>
    <row r="282" spans="1:30" x14ac:dyDescent="0.2">
      <c r="A282" s="5" t="s">
        <v>21</v>
      </c>
      <c r="B282" s="6">
        <v>44398</v>
      </c>
      <c r="C282" s="5" t="s">
        <v>25</v>
      </c>
      <c r="D282" s="5" t="s">
        <v>35</v>
      </c>
      <c r="E282" s="5" t="s">
        <v>15</v>
      </c>
      <c r="F282" s="90">
        <v>13</v>
      </c>
      <c r="G282" s="11" t="s">
        <v>27</v>
      </c>
      <c r="H282" s="11">
        <v>0.13194444444444448</v>
      </c>
      <c r="I282" s="5">
        <v>4</v>
      </c>
      <c r="J282" s="13" t="s">
        <v>27</v>
      </c>
      <c r="K282" s="5" t="s">
        <v>28</v>
      </c>
      <c r="L282" s="11">
        <v>0.13472222222222224</v>
      </c>
      <c r="M282" s="5">
        <v>3</v>
      </c>
      <c r="N282" s="5">
        <v>3</v>
      </c>
      <c r="O282" s="5">
        <v>4</v>
      </c>
      <c r="P282" s="7" t="s">
        <v>23</v>
      </c>
      <c r="Q282" s="7"/>
      <c r="R282" s="1">
        <f t="shared" si="70"/>
        <v>44398</v>
      </c>
      <c r="S282" s="34">
        <f t="shared" si="71"/>
        <v>3.3333333333333335</v>
      </c>
      <c r="T282" s="39">
        <f>4040-3858</f>
        <v>182</v>
      </c>
      <c r="U282" s="58"/>
      <c r="V282" s="40"/>
      <c r="W282" s="67"/>
      <c r="X282" s="75"/>
      <c r="Y282" s="75"/>
      <c r="Z282" s="75"/>
      <c r="AA282" s="75"/>
      <c r="AB282" s="75"/>
      <c r="AC282" s="75"/>
      <c r="AD282" s="82"/>
    </row>
    <row r="283" spans="1:30" x14ac:dyDescent="0.2">
      <c r="A283" s="5" t="s">
        <v>21</v>
      </c>
      <c r="B283" s="6">
        <v>44398</v>
      </c>
      <c r="C283" s="5" t="s">
        <v>25</v>
      </c>
      <c r="D283" s="5" t="s">
        <v>35</v>
      </c>
      <c r="E283" s="5" t="s">
        <v>15</v>
      </c>
      <c r="F283" s="90">
        <v>13</v>
      </c>
      <c r="G283" s="11" t="s">
        <v>27</v>
      </c>
      <c r="H283" s="11">
        <v>0.34861111111111109</v>
      </c>
      <c r="I283" s="5">
        <v>4</v>
      </c>
      <c r="J283" s="13" t="s">
        <v>30</v>
      </c>
      <c r="K283" s="5" t="s">
        <v>28</v>
      </c>
      <c r="L283" s="11">
        <v>0.35069444444444442</v>
      </c>
      <c r="M283" s="5">
        <v>7</v>
      </c>
      <c r="N283" s="5">
        <v>9</v>
      </c>
      <c r="O283" s="5">
        <v>11</v>
      </c>
      <c r="P283" s="7" t="s">
        <v>23</v>
      </c>
      <c r="Q283" s="7"/>
      <c r="R283" s="1">
        <f t="shared" si="70"/>
        <v>44398</v>
      </c>
      <c r="S283" s="34">
        <f t="shared" si="71"/>
        <v>9</v>
      </c>
      <c r="T283" s="37"/>
      <c r="U283" s="57"/>
      <c r="V283" s="38"/>
      <c r="W283" s="66"/>
      <c r="X283" s="74"/>
      <c r="Y283" s="74"/>
      <c r="Z283" s="74"/>
      <c r="AA283" s="74"/>
      <c r="AB283" s="74"/>
      <c r="AC283" s="74"/>
      <c r="AD283" s="81"/>
    </row>
    <row r="284" spans="1:30" x14ac:dyDescent="0.2">
      <c r="A284" s="5" t="s">
        <v>21</v>
      </c>
      <c r="B284" s="6">
        <v>44398</v>
      </c>
      <c r="C284" s="5" t="s">
        <v>25</v>
      </c>
      <c r="D284" s="5" t="s">
        <v>35</v>
      </c>
      <c r="E284" s="5" t="s">
        <v>15</v>
      </c>
      <c r="F284" s="90">
        <v>13</v>
      </c>
      <c r="G284" s="11" t="s">
        <v>27</v>
      </c>
      <c r="H284" s="11">
        <v>0.49236111111111108</v>
      </c>
      <c r="I284" s="5">
        <v>4</v>
      </c>
      <c r="J284" s="13" t="s">
        <v>30</v>
      </c>
      <c r="K284" s="5" t="s">
        <v>28</v>
      </c>
      <c r="L284" s="11">
        <v>0.49513888888888885</v>
      </c>
      <c r="M284" s="5">
        <v>18</v>
      </c>
      <c r="N284" s="5">
        <v>18</v>
      </c>
      <c r="O284" s="5">
        <v>20</v>
      </c>
      <c r="P284" s="7" t="s">
        <v>23</v>
      </c>
      <c r="Q284" s="7"/>
      <c r="R284" s="1">
        <f t="shared" si="70"/>
        <v>44398</v>
      </c>
      <c r="S284" s="34">
        <f t="shared" si="71"/>
        <v>18.666666666666668</v>
      </c>
      <c r="T284" s="39">
        <f>4040-3859</f>
        <v>181</v>
      </c>
      <c r="U284" s="57">
        <v>392.63333333333338</v>
      </c>
      <c r="V284" s="40"/>
      <c r="W284" s="67"/>
      <c r="X284" s="75"/>
      <c r="Y284" s="75"/>
      <c r="Z284" s="75"/>
      <c r="AA284" s="75"/>
      <c r="AB284" s="75"/>
      <c r="AC284" s="75"/>
      <c r="AD284" s="82"/>
    </row>
    <row r="285" spans="1:30" x14ac:dyDescent="0.2">
      <c r="A285" s="5" t="s">
        <v>21</v>
      </c>
      <c r="B285" s="6">
        <v>44398</v>
      </c>
      <c r="C285" s="5" t="s">
        <v>25</v>
      </c>
      <c r="D285" s="5" t="s">
        <v>35</v>
      </c>
      <c r="E285" s="5" t="s">
        <v>15</v>
      </c>
      <c r="F285" s="90">
        <v>13</v>
      </c>
      <c r="G285" s="11" t="s">
        <v>27</v>
      </c>
      <c r="H285" s="11">
        <v>0.60972222222222228</v>
      </c>
      <c r="I285" s="5">
        <v>4</v>
      </c>
      <c r="J285" s="13" t="s">
        <v>30</v>
      </c>
      <c r="K285" s="5" t="s">
        <v>28</v>
      </c>
      <c r="L285" s="11">
        <v>0.6118055555555556</v>
      </c>
      <c r="M285" s="5">
        <v>16</v>
      </c>
      <c r="N285" s="5">
        <v>18</v>
      </c>
      <c r="O285" s="5">
        <v>23</v>
      </c>
      <c r="P285" s="7" t="s">
        <v>23</v>
      </c>
      <c r="Q285" s="7"/>
      <c r="R285" s="1">
        <f t="shared" si="70"/>
        <v>44398</v>
      </c>
      <c r="S285" s="34">
        <f t="shared" si="71"/>
        <v>19</v>
      </c>
      <c r="T285" s="37"/>
      <c r="U285" s="57"/>
      <c r="V285" s="38"/>
      <c r="W285" s="66"/>
      <c r="X285" s="74"/>
      <c r="Y285" s="74"/>
      <c r="Z285" s="74"/>
      <c r="AA285" s="74"/>
      <c r="AB285" s="74"/>
      <c r="AC285" s="74"/>
      <c r="AD285" s="81"/>
    </row>
    <row r="286" spans="1:30" x14ac:dyDescent="0.2">
      <c r="A286" s="5" t="s">
        <v>21</v>
      </c>
      <c r="B286" s="6">
        <v>44398</v>
      </c>
      <c r="C286" s="5" t="s">
        <v>25</v>
      </c>
      <c r="D286" s="5" t="s">
        <v>35</v>
      </c>
      <c r="E286" s="5" t="s">
        <v>15</v>
      </c>
      <c r="F286" s="90">
        <v>13</v>
      </c>
      <c r="G286" s="11" t="s">
        <v>27</v>
      </c>
      <c r="H286" s="11">
        <v>0.69097222222222221</v>
      </c>
      <c r="I286" s="5">
        <v>4</v>
      </c>
      <c r="J286" s="13" t="s">
        <v>30</v>
      </c>
      <c r="K286" s="5" t="s">
        <v>28</v>
      </c>
      <c r="L286" s="11">
        <v>0.69305555555555554</v>
      </c>
      <c r="M286" s="23" t="s">
        <v>50</v>
      </c>
      <c r="N286" s="5">
        <v>18</v>
      </c>
      <c r="O286" s="5">
        <v>20</v>
      </c>
      <c r="P286" s="7" t="s">
        <v>23</v>
      </c>
      <c r="Q286" s="7"/>
      <c r="R286" s="1">
        <f t="shared" si="70"/>
        <v>44398</v>
      </c>
      <c r="S286" s="34">
        <f t="shared" si="71"/>
        <v>19</v>
      </c>
      <c r="T286" s="37"/>
      <c r="U286" s="57"/>
      <c r="V286" s="38"/>
      <c r="W286" s="66"/>
      <c r="X286" s="74"/>
      <c r="Y286" s="74"/>
      <c r="Z286" s="74"/>
      <c r="AA286" s="74"/>
      <c r="AB286" s="74"/>
      <c r="AC286" s="74"/>
      <c r="AD286" s="81"/>
    </row>
    <row r="287" spans="1:30" x14ac:dyDescent="0.2">
      <c r="A287" s="8"/>
      <c r="B287" s="17"/>
      <c r="C287" s="8"/>
      <c r="D287" s="8"/>
      <c r="E287" s="8"/>
      <c r="F287" s="91"/>
      <c r="G287" s="15"/>
      <c r="H287" s="15"/>
      <c r="I287" s="8"/>
      <c r="J287" s="16"/>
      <c r="K287" s="8"/>
      <c r="L287" s="15"/>
      <c r="M287" s="8"/>
      <c r="N287" s="8"/>
      <c r="O287" s="8"/>
      <c r="P287" s="9"/>
      <c r="Q287" s="9"/>
      <c r="S287" s="34"/>
      <c r="T287" s="37"/>
      <c r="U287" s="57"/>
      <c r="V287" s="38"/>
      <c r="W287" s="66"/>
      <c r="X287" s="74"/>
      <c r="Y287" s="74"/>
      <c r="Z287" s="74"/>
      <c r="AA287" s="74"/>
      <c r="AB287" s="74"/>
      <c r="AC287" s="74"/>
      <c r="AD287" s="81"/>
    </row>
    <row r="288" spans="1:30" x14ac:dyDescent="0.2">
      <c r="A288" s="3" t="s">
        <v>21</v>
      </c>
      <c r="B288" s="1">
        <v>44434</v>
      </c>
      <c r="C288" s="3" t="s">
        <v>25</v>
      </c>
      <c r="D288" s="3" t="s">
        <v>51</v>
      </c>
      <c r="E288" s="3" t="s">
        <v>15</v>
      </c>
      <c r="F288" s="89">
        <v>13</v>
      </c>
      <c r="G288" s="10">
        <v>0.31527777777777777</v>
      </c>
      <c r="H288" s="10">
        <v>0.4861111111111111</v>
      </c>
      <c r="I288" s="3">
        <v>4</v>
      </c>
      <c r="J288" s="12" t="s">
        <v>30</v>
      </c>
      <c r="K288" s="3" t="s">
        <v>28</v>
      </c>
      <c r="L288" s="10">
        <v>0.48888888888888887</v>
      </c>
      <c r="M288" s="3">
        <v>13</v>
      </c>
      <c r="N288" s="3">
        <v>13</v>
      </c>
      <c r="O288" s="25">
        <v>17</v>
      </c>
      <c r="P288" t="s">
        <v>22</v>
      </c>
      <c r="Q288" t="s">
        <v>52</v>
      </c>
      <c r="R288" s="1">
        <f t="shared" ref="R288:R292" si="72">B288</f>
        <v>44434</v>
      </c>
      <c r="S288" s="34">
        <f>AVERAGE(M288:O288)</f>
        <v>14.333333333333334</v>
      </c>
      <c r="T288" s="39">
        <f>4040-3837</f>
        <v>203</v>
      </c>
      <c r="U288" s="57">
        <v>343.2</v>
      </c>
      <c r="V288" s="40"/>
      <c r="W288" s="67"/>
      <c r="X288" s="75"/>
      <c r="Y288" s="75"/>
      <c r="Z288" s="75"/>
      <c r="AA288" s="75"/>
      <c r="AB288" s="75"/>
      <c r="AC288" s="75"/>
      <c r="AD288" s="82"/>
    </row>
    <row r="289" spans="1:30" x14ac:dyDescent="0.2">
      <c r="A289" s="3" t="s">
        <v>21</v>
      </c>
      <c r="B289" s="1">
        <v>44434</v>
      </c>
      <c r="C289" s="3" t="s">
        <v>25</v>
      </c>
      <c r="D289" s="3" t="s">
        <v>51</v>
      </c>
      <c r="E289" s="3" t="s">
        <v>15</v>
      </c>
      <c r="F289" s="89">
        <v>13</v>
      </c>
      <c r="G289" s="10">
        <v>0.5756944444444444</v>
      </c>
      <c r="H289" s="10">
        <v>0.60555555555555551</v>
      </c>
      <c r="I289" s="3">
        <v>4</v>
      </c>
      <c r="J289" s="12" t="s">
        <v>30</v>
      </c>
      <c r="K289" s="3" t="s">
        <v>28</v>
      </c>
      <c r="L289" s="10">
        <v>0.60833333333333328</v>
      </c>
      <c r="M289" s="3">
        <v>19</v>
      </c>
      <c r="N289" s="3">
        <v>19</v>
      </c>
      <c r="O289" s="3">
        <v>21</v>
      </c>
      <c r="P289" t="s">
        <v>22</v>
      </c>
      <c r="R289" s="1">
        <f t="shared" si="72"/>
        <v>44434</v>
      </c>
      <c r="S289" s="34">
        <f>AVERAGE(M289:O289)</f>
        <v>19.666666666666668</v>
      </c>
      <c r="T289" s="37"/>
      <c r="U289" s="57"/>
      <c r="V289" s="38"/>
      <c r="W289" s="66"/>
      <c r="X289" s="74"/>
      <c r="Y289" s="74"/>
      <c r="Z289" s="74"/>
      <c r="AA289" s="74"/>
      <c r="AB289" s="74"/>
      <c r="AC289" s="74"/>
      <c r="AD289" s="81"/>
    </row>
    <row r="290" spans="1:30" x14ac:dyDescent="0.2">
      <c r="A290" s="5" t="s">
        <v>21</v>
      </c>
      <c r="B290" s="6">
        <v>44434</v>
      </c>
      <c r="C290" s="5" t="s">
        <v>25</v>
      </c>
      <c r="D290" s="5" t="s">
        <v>51</v>
      </c>
      <c r="E290" s="5" t="s">
        <v>15</v>
      </c>
      <c r="F290" s="90">
        <v>13</v>
      </c>
      <c r="G290" s="11" t="s">
        <v>27</v>
      </c>
      <c r="H290" s="11">
        <v>0.13402777777777777</v>
      </c>
      <c r="I290" s="5">
        <v>4</v>
      </c>
      <c r="J290" s="13" t="s">
        <v>27</v>
      </c>
      <c r="K290" s="5" t="s">
        <v>28</v>
      </c>
      <c r="L290" s="11">
        <v>0.13680555555555554</v>
      </c>
      <c r="M290" s="5">
        <v>10</v>
      </c>
      <c r="N290" s="5">
        <v>10</v>
      </c>
      <c r="O290" s="5">
        <v>12</v>
      </c>
      <c r="P290" s="7" t="s">
        <v>23</v>
      </c>
      <c r="Q290" s="7"/>
      <c r="R290" s="1">
        <f t="shared" si="72"/>
        <v>44434</v>
      </c>
      <c r="S290" s="34">
        <f>AVERAGE(M290:O290)</f>
        <v>10.666666666666666</v>
      </c>
      <c r="T290" s="39">
        <f>4040-3856</f>
        <v>184</v>
      </c>
      <c r="U290" s="58"/>
      <c r="V290" s="40"/>
      <c r="W290" s="67"/>
      <c r="X290" s="75"/>
      <c r="Y290" s="75"/>
      <c r="Z290" s="75"/>
      <c r="AA290" s="75"/>
      <c r="AB290" s="75"/>
      <c r="AC290" s="75"/>
      <c r="AD290" s="82"/>
    </row>
    <row r="291" spans="1:30" x14ac:dyDescent="0.2">
      <c r="A291" s="5" t="s">
        <v>21</v>
      </c>
      <c r="B291" s="6">
        <v>44434</v>
      </c>
      <c r="C291" s="5" t="s">
        <v>25</v>
      </c>
      <c r="D291" s="5" t="s">
        <v>51</v>
      </c>
      <c r="E291" s="5" t="s">
        <v>15</v>
      </c>
      <c r="F291" s="90">
        <v>13</v>
      </c>
      <c r="G291" s="11" t="s">
        <v>27</v>
      </c>
      <c r="H291" s="11">
        <v>0.49027777777777781</v>
      </c>
      <c r="I291" s="5">
        <v>4</v>
      </c>
      <c r="J291" s="13" t="s">
        <v>30</v>
      </c>
      <c r="K291" s="5" t="s">
        <v>28</v>
      </c>
      <c r="L291" s="11">
        <v>0.49305555555555558</v>
      </c>
      <c r="M291" s="5">
        <v>22</v>
      </c>
      <c r="N291" s="5">
        <v>23</v>
      </c>
      <c r="O291" s="5">
        <v>25</v>
      </c>
      <c r="P291" s="7" t="s">
        <v>23</v>
      </c>
      <c r="Q291" s="7" t="s">
        <v>52</v>
      </c>
      <c r="R291" s="1">
        <f t="shared" si="72"/>
        <v>44434</v>
      </c>
      <c r="S291" s="34">
        <f>AVERAGE(M291:O291)</f>
        <v>23.333333333333332</v>
      </c>
      <c r="T291" s="39">
        <f>4040-3837</f>
        <v>203</v>
      </c>
      <c r="U291" s="57">
        <v>343.2</v>
      </c>
      <c r="V291" s="40"/>
      <c r="W291" s="67"/>
      <c r="X291" s="75"/>
      <c r="Y291" s="75"/>
      <c r="Z291" s="75"/>
      <c r="AA291" s="75"/>
      <c r="AB291" s="75"/>
      <c r="AC291" s="75"/>
      <c r="AD291" s="82"/>
    </row>
    <row r="292" spans="1:30" x14ac:dyDescent="0.2">
      <c r="A292" s="5" t="s">
        <v>21</v>
      </c>
      <c r="B292" s="6">
        <v>44434</v>
      </c>
      <c r="C292" s="5" t="s">
        <v>25</v>
      </c>
      <c r="D292" s="5" t="s">
        <v>51</v>
      </c>
      <c r="E292" s="5" t="s">
        <v>15</v>
      </c>
      <c r="F292" s="90">
        <v>13</v>
      </c>
      <c r="G292" s="11" t="s">
        <v>27</v>
      </c>
      <c r="H292" s="11">
        <v>0.60972222222222217</v>
      </c>
      <c r="I292" s="5">
        <v>4</v>
      </c>
      <c r="J292" s="13" t="s">
        <v>30</v>
      </c>
      <c r="K292" s="5" t="s">
        <v>28</v>
      </c>
      <c r="L292" s="11">
        <v>0.6118055555555556</v>
      </c>
      <c r="M292" s="5">
        <v>24</v>
      </c>
      <c r="N292" s="5">
        <v>25</v>
      </c>
      <c r="O292" s="5">
        <v>26</v>
      </c>
      <c r="P292" s="7" t="s">
        <v>23</v>
      </c>
      <c r="Q292" s="7"/>
      <c r="R292" s="1">
        <f t="shared" si="72"/>
        <v>44434</v>
      </c>
      <c r="S292" s="34">
        <f t="shared" ref="S292:S297" si="73">AVERAGE(M292:O292)</f>
        <v>25</v>
      </c>
      <c r="T292" s="37"/>
      <c r="U292" s="57"/>
      <c r="V292" s="38"/>
      <c r="W292" s="66"/>
      <c r="X292" s="74"/>
      <c r="Y292" s="74"/>
      <c r="Z292" s="74"/>
      <c r="AA292" s="74"/>
      <c r="AB292" s="74"/>
      <c r="AC292" s="74"/>
      <c r="AD292" s="81"/>
    </row>
    <row r="293" spans="1:30" x14ac:dyDescent="0.2">
      <c r="A293" s="8"/>
      <c r="B293" s="17"/>
      <c r="C293" s="8"/>
      <c r="D293" s="8"/>
      <c r="E293" s="8"/>
      <c r="F293" s="91"/>
      <c r="G293" s="8"/>
      <c r="H293" s="8"/>
      <c r="I293" s="8"/>
      <c r="J293" s="8"/>
      <c r="K293" s="8"/>
      <c r="L293" s="8"/>
      <c r="M293" s="8"/>
      <c r="N293" s="8"/>
      <c r="O293" s="8"/>
      <c r="P293" s="9"/>
      <c r="Q293" s="9"/>
      <c r="S293" s="34"/>
      <c r="T293" s="37"/>
      <c r="U293" s="57"/>
      <c r="V293" s="38"/>
      <c r="W293" s="66"/>
      <c r="X293" s="74"/>
      <c r="Y293" s="74"/>
      <c r="Z293" s="74"/>
      <c r="AA293" s="74"/>
      <c r="AB293" s="74"/>
      <c r="AC293" s="74"/>
      <c r="AD293" s="81"/>
    </row>
    <row r="294" spans="1:30" x14ac:dyDescent="0.2">
      <c r="A294" s="3" t="s">
        <v>21</v>
      </c>
      <c r="B294" s="1">
        <v>44446</v>
      </c>
      <c r="C294" s="3" t="s">
        <v>25</v>
      </c>
      <c r="D294" s="3" t="s">
        <v>25</v>
      </c>
      <c r="E294" s="3" t="s">
        <v>15</v>
      </c>
      <c r="F294" s="89">
        <v>13</v>
      </c>
      <c r="G294" s="10">
        <v>0.44930555555555557</v>
      </c>
      <c r="H294" s="10">
        <v>0.49652777777777773</v>
      </c>
      <c r="I294" s="3">
        <v>4</v>
      </c>
      <c r="J294" s="12" t="s">
        <v>30</v>
      </c>
      <c r="K294" s="3" t="s">
        <v>28</v>
      </c>
      <c r="L294" s="10">
        <v>0.49791666666666662</v>
      </c>
      <c r="M294" s="3">
        <v>25</v>
      </c>
      <c r="N294" s="3">
        <v>26</v>
      </c>
      <c r="O294" s="3">
        <v>27</v>
      </c>
      <c r="P294" t="s">
        <v>22</v>
      </c>
      <c r="Q294" t="s">
        <v>54</v>
      </c>
      <c r="R294" s="1">
        <f t="shared" ref="R294:R298" si="74">B294</f>
        <v>44446</v>
      </c>
      <c r="S294" s="34">
        <f>AVERAGE(M294:O294)</f>
        <v>26</v>
      </c>
      <c r="T294" s="39">
        <f>4040-3738</f>
        <v>302</v>
      </c>
      <c r="U294" s="57">
        <v>110.925</v>
      </c>
      <c r="V294" s="40"/>
      <c r="W294" s="67"/>
      <c r="X294" s="75"/>
      <c r="Y294" s="75"/>
      <c r="Z294" s="75"/>
      <c r="AA294" s="75"/>
      <c r="AB294" s="75"/>
      <c r="AC294" s="75"/>
      <c r="AD294" s="82"/>
    </row>
    <row r="295" spans="1:30" x14ac:dyDescent="0.2">
      <c r="A295" s="3" t="s">
        <v>21</v>
      </c>
      <c r="B295" s="1">
        <v>44446</v>
      </c>
      <c r="C295" s="3" t="s">
        <v>25</v>
      </c>
      <c r="D295" s="3" t="s">
        <v>25</v>
      </c>
      <c r="E295" s="3" t="s">
        <v>15</v>
      </c>
      <c r="F295" s="89">
        <v>13</v>
      </c>
      <c r="G295" s="10">
        <v>0.56944444444444442</v>
      </c>
      <c r="H295" s="10">
        <v>0.60972222222222217</v>
      </c>
      <c r="I295" s="3">
        <v>4</v>
      </c>
      <c r="J295" s="12" t="s">
        <v>30</v>
      </c>
      <c r="K295" s="3" t="s">
        <v>28</v>
      </c>
      <c r="L295" s="10">
        <v>0.61111111111111105</v>
      </c>
      <c r="M295" s="3">
        <v>26</v>
      </c>
      <c r="N295" s="3">
        <v>27</v>
      </c>
      <c r="O295" s="3">
        <v>29</v>
      </c>
      <c r="P295" t="s">
        <v>22</v>
      </c>
      <c r="R295" s="1">
        <f t="shared" si="74"/>
        <v>44446</v>
      </c>
      <c r="S295" s="34">
        <f>AVERAGE(M295:O295)</f>
        <v>27.333333333333332</v>
      </c>
      <c r="T295" s="37"/>
      <c r="U295" s="57"/>
      <c r="V295" s="38"/>
      <c r="W295" s="66"/>
      <c r="X295" s="74"/>
      <c r="Y295" s="74"/>
      <c r="Z295" s="74"/>
      <c r="AA295" s="74"/>
      <c r="AB295" s="74"/>
      <c r="AC295" s="74"/>
      <c r="AD295" s="81"/>
    </row>
    <row r="296" spans="1:30" x14ac:dyDescent="0.2">
      <c r="A296" s="5" t="s">
        <v>21</v>
      </c>
      <c r="B296" s="6">
        <v>44446</v>
      </c>
      <c r="C296" s="5" t="s">
        <v>25</v>
      </c>
      <c r="D296" s="5" t="s">
        <v>25</v>
      </c>
      <c r="E296" s="5" t="s">
        <v>15</v>
      </c>
      <c r="F296" s="90">
        <v>13</v>
      </c>
      <c r="G296" s="11" t="s">
        <v>27</v>
      </c>
      <c r="H296" s="11">
        <v>0.19513888888888889</v>
      </c>
      <c r="I296" s="5">
        <v>4</v>
      </c>
      <c r="J296" s="13" t="s">
        <v>27</v>
      </c>
      <c r="K296" s="5" t="s">
        <v>28</v>
      </c>
      <c r="L296" s="11">
        <v>0.19652777777777777</v>
      </c>
      <c r="M296" s="5">
        <v>17</v>
      </c>
      <c r="N296" s="5">
        <v>17</v>
      </c>
      <c r="O296" s="5">
        <v>18</v>
      </c>
      <c r="P296" s="7" t="s">
        <v>23</v>
      </c>
      <c r="Q296" s="7"/>
      <c r="R296" s="1">
        <f t="shared" si="74"/>
        <v>44446</v>
      </c>
      <c r="S296" s="34">
        <f t="shared" si="73"/>
        <v>17.333333333333332</v>
      </c>
      <c r="T296" s="39">
        <f>4040-3757</f>
        <v>283</v>
      </c>
      <c r="U296" s="58"/>
      <c r="V296" s="40"/>
      <c r="W296" s="67"/>
      <c r="X296" s="75"/>
      <c r="Y296" s="75"/>
      <c r="Z296" s="75"/>
      <c r="AA296" s="75"/>
      <c r="AB296" s="75"/>
      <c r="AC296" s="75"/>
      <c r="AD296" s="82"/>
    </row>
    <row r="297" spans="1:30" x14ac:dyDescent="0.2">
      <c r="A297" s="5" t="s">
        <v>21</v>
      </c>
      <c r="B297" s="6">
        <v>44446</v>
      </c>
      <c r="C297" s="5" t="s">
        <v>25</v>
      </c>
      <c r="D297" s="5" t="s">
        <v>25</v>
      </c>
      <c r="E297" s="5" t="s">
        <v>15</v>
      </c>
      <c r="F297" s="90">
        <v>13</v>
      </c>
      <c r="G297" s="11" t="s">
        <v>27</v>
      </c>
      <c r="H297" s="11">
        <v>0.49305555555555558</v>
      </c>
      <c r="I297" s="5">
        <v>4</v>
      </c>
      <c r="J297" s="13" t="s">
        <v>30</v>
      </c>
      <c r="K297" s="5" t="s">
        <v>28</v>
      </c>
      <c r="L297" s="11">
        <v>0.49444444444444446</v>
      </c>
      <c r="M297" s="5">
        <v>27</v>
      </c>
      <c r="N297" s="5">
        <v>28</v>
      </c>
      <c r="O297" s="5">
        <v>29</v>
      </c>
      <c r="P297" s="7" t="s">
        <v>23</v>
      </c>
      <c r="Q297" s="7" t="s">
        <v>54</v>
      </c>
      <c r="R297" s="1">
        <f t="shared" si="74"/>
        <v>44446</v>
      </c>
      <c r="S297" s="34">
        <f t="shared" si="73"/>
        <v>28</v>
      </c>
      <c r="T297" s="39">
        <f>4040-3738</f>
        <v>302</v>
      </c>
      <c r="U297" s="57">
        <v>110.925</v>
      </c>
      <c r="V297" s="40"/>
      <c r="W297" s="67"/>
      <c r="X297" s="75"/>
      <c r="Y297" s="75"/>
      <c r="Z297" s="75"/>
      <c r="AA297" s="75"/>
      <c r="AB297" s="75"/>
      <c r="AC297" s="75"/>
      <c r="AD297" s="82"/>
    </row>
    <row r="298" spans="1:30" x14ac:dyDescent="0.2">
      <c r="A298" s="5" t="s">
        <v>21</v>
      </c>
      <c r="B298" s="6">
        <v>44446</v>
      </c>
      <c r="C298" s="5" t="s">
        <v>25</v>
      </c>
      <c r="D298" s="5" t="s">
        <v>25</v>
      </c>
      <c r="E298" s="5" t="s">
        <v>15</v>
      </c>
      <c r="F298" s="90">
        <v>13</v>
      </c>
      <c r="G298" s="11" t="s">
        <v>27</v>
      </c>
      <c r="H298" s="11">
        <v>0.6069444444444444</v>
      </c>
      <c r="I298" s="5">
        <v>4</v>
      </c>
      <c r="J298" s="13" t="s">
        <v>30</v>
      </c>
      <c r="K298" s="5" t="s">
        <v>28</v>
      </c>
      <c r="L298" s="11">
        <v>0.60833333333333328</v>
      </c>
      <c r="M298" s="5">
        <v>26</v>
      </c>
      <c r="N298" s="5">
        <v>28</v>
      </c>
      <c r="O298" s="5">
        <v>29</v>
      </c>
      <c r="P298" s="7" t="s">
        <v>23</v>
      </c>
      <c r="Q298" s="7"/>
      <c r="R298" s="1">
        <f t="shared" si="74"/>
        <v>44446</v>
      </c>
      <c r="S298" s="34">
        <f>AVERAGE(M298:O298)</f>
        <v>27.666666666666668</v>
      </c>
      <c r="T298" s="37"/>
      <c r="U298" s="57"/>
      <c r="V298" s="38"/>
      <c r="W298" s="66"/>
      <c r="X298" s="74"/>
      <c r="Y298" s="74"/>
      <c r="Z298" s="74"/>
      <c r="AA298" s="74"/>
      <c r="AB298" s="74"/>
      <c r="AC298" s="74"/>
      <c r="AD298" s="81"/>
    </row>
    <row r="299" spans="1:30" x14ac:dyDescent="0.2">
      <c r="A299" s="8"/>
      <c r="B299" s="17"/>
      <c r="C299" s="8"/>
      <c r="D299" s="8"/>
      <c r="E299" s="8"/>
      <c r="F299" s="91"/>
      <c r="G299" s="15"/>
      <c r="H299" s="15"/>
      <c r="I299" s="8"/>
      <c r="J299" s="16"/>
      <c r="K299" s="8"/>
      <c r="L299" s="15"/>
      <c r="M299" s="8"/>
      <c r="N299" s="8"/>
      <c r="O299" s="8"/>
      <c r="P299" s="9"/>
      <c r="Q299" s="9"/>
      <c r="S299" s="34"/>
      <c r="T299" s="37"/>
      <c r="U299" s="57"/>
      <c r="V299" s="38"/>
      <c r="W299" s="66"/>
      <c r="X299" s="74"/>
      <c r="Y299" s="74"/>
      <c r="Z299" s="74"/>
      <c r="AA299" s="74"/>
      <c r="AB299" s="74"/>
      <c r="AC299" s="74"/>
      <c r="AD299" s="81"/>
    </row>
    <row r="300" spans="1:30" x14ac:dyDescent="0.2">
      <c r="A300" s="3" t="s">
        <v>21</v>
      </c>
      <c r="B300" s="1">
        <v>44726</v>
      </c>
      <c r="C300" s="3" t="s">
        <v>25</v>
      </c>
      <c r="D300" s="3" t="s">
        <v>26</v>
      </c>
      <c r="E300" s="3" t="s">
        <v>15</v>
      </c>
      <c r="F300" s="89">
        <v>13</v>
      </c>
      <c r="G300" s="10">
        <v>0.31597222222222221</v>
      </c>
      <c r="H300" s="10">
        <v>0.34027777777777773</v>
      </c>
      <c r="I300" s="3">
        <v>4</v>
      </c>
      <c r="J300" s="3" t="s">
        <v>29</v>
      </c>
      <c r="K300" s="3" t="s">
        <v>28</v>
      </c>
      <c r="L300" s="10">
        <v>0.34166666666666662</v>
      </c>
      <c r="M300" s="3">
        <v>16</v>
      </c>
      <c r="N300" s="3">
        <v>16</v>
      </c>
      <c r="O300" s="3">
        <v>17</v>
      </c>
      <c r="P300" t="s">
        <v>22</v>
      </c>
      <c r="R300" s="1">
        <f t="shared" ref="R300:R306" si="75">B300</f>
        <v>44726</v>
      </c>
      <c r="S300" s="34">
        <f t="shared" ref="S300:S306" si="76">AVERAGE(M300:O300)</f>
        <v>16.333333333333332</v>
      </c>
      <c r="T300" s="37"/>
      <c r="U300" s="57"/>
      <c r="V300" s="38"/>
      <c r="W300" s="66"/>
      <c r="X300" s="74"/>
      <c r="Y300" s="74"/>
      <c r="Z300" s="74"/>
      <c r="AA300" s="74"/>
      <c r="AB300" s="74"/>
      <c r="AC300" s="74"/>
      <c r="AD300" s="81"/>
    </row>
    <row r="301" spans="1:30" x14ac:dyDescent="0.2">
      <c r="A301" s="3" t="s">
        <v>21</v>
      </c>
      <c r="B301" s="1">
        <v>44726</v>
      </c>
      <c r="C301" s="3" t="s">
        <v>25</v>
      </c>
      <c r="D301" s="3" t="s">
        <v>26</v>
      </c>
      <c r="E301" s="3" t="s">
        <v>15</v>
      </c>
      <c r="F301" s="89">
        <v>13</v>
      </c>
      <c r="G301" s="10">
        <v>0.45347222222222222</v>
      </c>
      <c r="H301" s="10">
        <v>0.48958333333333331</v>
      </c>
      <c r="I301" s="3">
        <v>4</v>
      </c>
      <c r="J301" s="3" t="s">
        <v>30</v>
      </c>
      <c r="K301" s="3" t="s">
        <v>28</v>
      </c>
      <c r="L301" s="10">
        <v>0.49027777777777781</v>
      </c>
      <c r="M301" s="3">
        <v>19</v>
      </c>
      <c r="N301" s="3">
        <v>20</v>
      </c>
      <c r="O301" s="3">
        <v>20</v>
      </c>
      <c r="P301" t="s">
        <v>22</v>
      </c>
      <c r="R301" s="1">
        <f t="shared" si="75"/>
        <v>44726</v>
      </c>
      <c r="S301" s="34">
        <f t="shared" si="76"/>
        <v>19.666666666666668</v>
      </c>
      <c r="T301" s="37">
        <f>4330-4070</f>
        <v>260</v>
      </c>
      <c r="U301" s="57">
        <v>104</v>
      </c>
      <c r="V301" s="38"/>
      <c r="W301" s="66"/>
      <c r="X301" s="74"/>
      <c r="Y301" s="74"/>
      <c r="Z301" s="74"/>
      <c r="AA301" s="74"/>
      <c r="AB301" s="74"/>
      <c r="AC301" s="74"/>
      <c r="AD301" s="81"/>
    </row>
    <row r="302" spans="1:30" x14ac:dyDescent="0.2">
      <c r="A302" s="3" t="s">
        <v>21</v>
      </c>
      <c r="B302" s="1">
        <v>44726</v>
      </c>
      <c r="C302" s="3" t="s">
        <v>25</v>
      </c>
      <c r="D302" s="3" t="s">
        <v>26</v>
      </c>
      <c r="E302" s="3" t="s">
        <v>15</v>
      </c>
      <c r="F302" s="89">
        <v>13</v>
      </c>
      <c r="G302" s="10">
        <v>0.58263888888888882</v>
      </c>
      <c r="H302" s="10">
        <v>0.61458333333333337</v>
      </c>
      <c r="I302" s="3">
        <v>4</v>
      </c>
      <c r="J302" s="3" t="s">
        <v>30</v>
      </c>
      <c r="K302" s="3" t="s">
        <v>28</v>
      </c>
      <c r="L302" s="10">
        <v>0.61527777777777781</v>
      </c>
      <c r="M302" s="3">
        <v>20</v>
      </c>
      <c r="N302" s="3">
        <v>20</v>
      </c>
      <c r="O302" s="3">
        <v>21</v>
      </c>
      <c r="P302" t="s">
        <v>22</v>
      </c>
      <c r="R302" s="1">
        <f t="shared" si="75"/>
        <v>44726</v>
      </c>
      <c r="S302" s="34">
        <f t="shared" si="76"/>
        <v>20.333333333333332</v>
      </c>
      <c r="T302" s="37"/>
      <c r="U302" s="57"/>
      <c r="V302" s="38"/>
      <c r="W302" s="66"/>
      <c r="X302" s="74"/>
      <c r="Y302" s="74"/>
      <c r="Z302" s="74"/>
      <c r="AA302" s="74"/>
      <c r="AB302" s="74"/>
      <c r="AC302" s="74"/>
      <c r="AD302" s="81"/>
    </row>
    <row r="303" spans="1:30" x14ac:dyDescent="0.2">
      <c r="A303" s="5" t="s">
        <v>21</v>
      </c>
      <c r="B303" s="6">
        <v>44726</v>
      </c>
      <c r="C303" s="5" t="s">
        <v>25</v>
      </c>
      <c r="D303" s="5" t="s">
        <v>26</v>
      </c>
      <c r="E303" s="5" t="s">
        <v>15</v>
      </c>
      <c r="F303" s="90">
        <v>13</v>
      </c>
      <c r="G303" s="11" t="s">
        <v>27</v>
      </c>
      <c r="H303" s="11">
        <v>0.1173611111111111</v>
      </c>
      <c r="I303" s="5">
        <v>4</v>
      </c>
      <c r="J303" s="5" t="s">
        <v>27</v>
      </c>
      <c r="K303" s="5" t="s">
        <v>28</v>
      </c>
      <c r="L303" s="11">
        <v>0.11805555555555557</v>
      </c>
      <c r="M303" s="5">
        <v>14</v>
      </c>
      <c r="N303" s="5">
        <v>14</v>
      </c>
      <c r="O303" s="5">
        <v>15</v>
      </c>
      <c r="P303" s="7" t="s">
        <v>23</v>
      </c>
      <c r="Q303" s="7"/>
      <c r="R303" s="1">
        <f t="shared" si="75"/>
        <v>44726</v>
      </c>
      <c r="S303" s="34">
        <f t="shared" si="76"/>
        <v>14.333333333333334</v>
      </c>
      <c r="T303" s="37">
        <f>4330-4100</f>
        <v>230</v>
      </c>
      <c r="U303" s="57"/>
      <c r="V303" s="38"/>
      <c r="W303" s="66"/>
      <c r="X303" s="74"/>
      <c r="Y303" s="74"/>
      <c r="Z303" s="74"/>
      <c r="AA303" s="74"/>
      <c r="AB303" s="74"/>
      <c r="AC303" s="74"/>
      <c r="AD303" s="81"/>
    </row>
    <row r="304" spans="1:30" x14ac:dyDescent="0.2">
      <c r="A304" s="5" t="s">
        <v>21</v>
      </c>
      <c r="B304" s="6">
        <v>44726</v>
      </c>
      <c r="C304" s="5" t="s">
        <v>25</v>
      </c>
      <c r="D304" s="5" t="s">
        <v>26</v>
      </c>
      <c r="E304" s="5" t="s">
        <v>15</v>
      </c>
      <c r="F304" s="90">
        <v>13</v>
      </c>
      <c r="G304" s="11" t="s">
        <v>27</v>
      </c>
      <c r="H304" s="11">
        <v>0.34513888888888888</v>
      </c>
      <c r="I304" s="5">
        <v>4</v>
      </c>
      <c r="J304" s="5" t="s">
        <v>30</v>
      </c>
      <c r="K304" s="5" t="s">
        <v>28</v>
      </c>
      <c r="L304" s="11">
        <v>0.34583333333333338</v>
      </c>
      <c r="M304" s="5">
        <v>19</v>
      </c>
      <c r="N304" s="5">
        <v>19</v>
      </c>
      <c r="O304" s="5">
        <v>21</v>
      </c>
      <c r="P304" s="7" t="s">
        <v>23</v>
      </c>
      <c r="Q304" s="7"/>
      <c r="R304" s="1">
        <f t="shared" si="75"/>
        <v>44726</v>
      </c>
      <c r="S304" s="34">
        <f t="shared" si="76"/>
        <v>19.666666666666668</v>
      </c>
      <c r="T304" s="37"/>
      <c r="U304" s="57"/>
      <c r="V304" s="38"/>
      <c r="W304" s="66"/>
      <c r="X304" s="74"/>
      <c r="Y304" s="74"/>
      <c r="Z304" s="74"/>
      <c r="AA304" s="74"/>
      <c r="AB304" s="74"/>
      <c r="AC304" s="74"/>
      <c r="AD304" s="81"/>
    </row>
    <row r="305" spans="1:30" x14ac:dyDescent="0.2">
      <c r="A305" s="5" t="s">
        <v>21</v>
      </c>
      <c r="B305" s="6">
        <v>44726</v>
      </c>
      <c r="C305" s="5" t="s">
        <v>25</v>
      </c>
      <c r="D305" s="5" t="s">
        <v>26</v>
      </c>
      <c r="E305" s="5" t="s">
        <v>15</v>
      </c>
      <c r="F305" s="90">
        <v>13</v>
      </c>
      <c r="G305" s="11" t="s">
        <v>27</v>
      </c>
      <c r="H305" s="11">
        <v>0.4909722222222222</v>
      </c>
      <c r="I305" s="5">
        <v>4</v>
      </c>
      <c r="J305" s="5" t="s">
        <v>30</v>
      </c>
      <c r="K305" s="5" t="s">
        <v>28</v>
      </c>
      <c r="L305" s="11">
        <v>0.4916666666666667</v>
      </c>
      <c r="M305" s="5">
        <v>19</v>
      </c>
      <c r="N305" s="5">
        <v>20</v>
      </c>
      <c r="O305" s="5">
        <v>21</v>
      </c>
      <c r="P305" s="7" t="s">
        <v>23</v>
      </c>
      <c r="Q305" s="7"/>
      <c r="R305" s="1">
        <f t="shared" si="75"/>
        <v>44726</v>
      </c>
      <c r="S305" s="34">
        <f t="shared" si="76"/>
        <v>20</v>
      </c>
      <c r="T305" s="37">
        <f>4330-4070</f>
        <v>260</v>
      </c>
      <c r="U305" s="57">
        <v>104</v>
      </c>
      <c r="V305" s="38"/>
      <c r="W305" s="66"/>
      <c r="X305" s="74"/>
      <c r="Y305" s="74"/>
      <c r="Z305" s="74"/>
      <c r="AA305" s="74"/>
      <c r="AB305" s="74"/>
      <c r="AC305" s="74"/>
      <c r="AD305" s="81"/>
    </row>
    <row r="306" spans="1:30" x14ac:dyDescent="0.2">
      <c r="A306" s="5" t="s">
        <v>21</v>
      </c>
      <c r="B306" s="6">
        <v>44726</v>
      </c>
      <c r="C306" s="5" t="s">
        <v>25</v>
      </c>
      <c r="D306" s="5" t="s">
        <v>26</v>
      </c>
      <c r="E306" s="5" t="s">
        <v>15</v>
      </c>
      <c r="F306" s="90">
        <v>13</v>
      </c>
      <c r="G306" s="11" t="s">
        <v>27</v>
      </c>
      <c r="H306" s="11">
        <v>0.6166666666666667</v>
      </c>
      <c r="I306" s="5">
        <v>4</v>
      </c>
      <c r="J306" s="5" t="s">
        <v>30</v>
      </c>
      <c r="K306" s="5" t="s">
        <v>28</v>
      </c>
      <c r="L306" s="11">
        <v>0.61736111111111114</v>
      </c>
      <c r="M306" s="5">
        <v>20</v>
      </c>
      <c r="N306" s="5">
        <v>21</v>
      </c>
      <c r="O306" s="5">
        <v>21</v>
      </c>
      <c r="P306" s="7" t="s">
        <v>23</v>
      </c>
      <c r="Q306" s="7"/>
      <c r="R306" s="1">
        <f t="shared" si="75"/>
        <v>44726</v>
      </c>
      <c r="S306" s="34">
        <f t="shared" si="76"/>
        <v>20.666666666666668</v>
      </c>
    </row>
    <row r="307" spans="1:30" x14ac:dyDescent="0.2">
      <c r="A307" s="8"/>
      <c r="B307" s="17"/>
      <c r="C307" s="8"/>
      <c r="D307" s="8"/>
      <c r="E307" s="8"/>
      <c r="F307" s="91"/>
      <c r="G307" s="15"/>
      <c r="H307" s="15"/>
      <c r="I307" s="8"/>
      <c r="J307" s="16"/>
      <c r="K307" s="8"/>
      <c r="L307" s="15"/>
      <c r="M307" s="8"/>
      <c r="N307" s="8"/>
      <c r="O307" s="8"/>
      <c r="P307" s="9"/>
      <c r="Q307" s="9"/>
      <c r="R307" s="1"/>
      <c r="S307" s="34"/>
    </row>
    <row r="308" spans="1:30" x14ac:dyDescent="0.2">
      <c r="A308" s="3" t="s">
        <v>21</v>
      </c>
      <c r="B308" s="1">
        <v>44753</v>
      </c>
      <c r="C308" s="3" t="s">
        <v>25</v>
      </c>
      <c r="D308" s="3" t="s">
        <v>25</v>
      </c>
      <c r="E308" s="3" t="s">
        <v>15</v>
      </c>
      <c r="F308" s="89">
        <v>13</v>
      </c>
      <c r="G308" s="10">
        <v>0.48819444444444443</v>
      </c>
      <c r="H308" s="10">
        <v>0.5361111111111112</v>
      </c>
      <c r="I308" s="3">
        <v>4</v>
      </c>
      <c r="J308" s="12" t="s">
        <v>30</v>
      </c>
      <c r="K308" s="3" t="s">
        <v>28</v>
      </c>
      <c r="L308" s="10">
        <v>0.53750000000000009</v>
      </c>
      <c r="M308" s="3">
        <v>27</v>
      </c>
      <c r="N308" s="3">
        <v>28</v>
      </c>
      <c r="O308" s="3">
        <v>28</v>
      </c>
      <c r="P308" t="s">
        <v>22</v>
      </c>
      <c r="R308" s="1">
        <f t="shared" ref="R308:R310" si="77">B308</f>
        <v>44753</v>
      </c>
      <c r="S308" s="34">
        <f>AVERAGE(M308:O308)</f>
        <v>27.666666666666668</v>
      </c>
      <c r="T308" s="37">
        <f>4330-4020</f>
        <v>310</v>
      </c>
      <c r="U308" s="57">
        <v>59.775000000000006</v>
      </c>
    </row>
    <row r="309" spans="1:30" x14ac:dyDescent="0.2">
      <c r="A309" s="5" t="s">
        <v>21</v>
      </c>
      <c r="B309" s="6">
        <v>44753</v>
      </c>
      <c r="C309" s="5" t="s">
        <v>25</v>
      </c>
      <c r="D309" s="5" t="s">
        <v>25</v>
      </c>
      <c r="E309" s="5" t="s">
        <v>15</v>
      </c>
      <c r="F309" s="90">
        <v>13</v>
      </c>
      <c r="G309" s="11" t="s">
        <v>27</v>
      </c>
      <c r="H309" s="11">
        <v>0.15416666666666667</v>
      </c>
      <c r="I309" s="5">
        <v>4</v>
      </c>
      <c r="J309" s="13" t="s">
        <v>27</v>
      </c>
      <c r="K309" s="5" t="s">
        <v>28</v>
      </c>
      <c r="L309" s="11">
        <v>0.15555555555555556</v>
      </c>
      <c r="M309" s="5">
        <v>23</v>
      </c>
      <c r="N309" s="5">
        <v>23</v>
      </c>
      <c r="O309" s="5">
        <v>24</v>
      </c>
      <c r="P309" s="7" t="s">
        <v>23</v>
      </c>
      <c r="Q309" s="7"/>
      <c r="R309" s="1">
        <f t="shared" si="77"/>
        <v>44753</v>
      </c>
      <c r="S309" s="87">
        <f>AVERAGE(M309:O309)</f>
        <v>23.333333333333332</v>
      </c>
      <c r="T309" s="37">
        <f>4330-4025</f>
        <v>305</v>
      </c>
    </row>
    <row r="310" spans="1:30" x14ac:dyDescent="0.2">
      <c r="A310" s="5" t="s">
        <v>21</v>
      </c>
      <c r="B310" s="6">
        <v>44753</v>
      </c>
      <c r="C310" s="5" t="s">
        <v>25</v>
      </c>
      <c r="D310" s="5" t="s">
        <v>25</v>
      </c>
      <c r="E310" s="5" t="s">
        <v>15</v>
      </c>
      <c r="F310" s="90">
        <v>13</v>
      </c>
      <c r="G310" s="11" t="s">
        <v>27</v>
      </c>
      <c r="H310" s="11">
        <v>0.53333333333333344</v>
      </c>
      <c r="I310" s="5">
        <v>4</v>
      </c>
      <c r="J310" s="13" t="s">
        <v>30</v>
      </c>
      <c r="K310" s="5" t="s">
        <v>28</v>
      </c>
      <c r="L310" s="11">
        <v>0.53472222222222232</v>
      </c>
      <c r="M310" s="5">
        <v>29</v>
      </c>
      <c r="N310" s="5">
        <v>29</v>
      </c>
      <c r="O310" s="5">
        <v>30</v>
      </c>
      <c r="P310" s="7" t="s">
        <v>23</v>
      </c>
      <c r="Q310" s="7"/>
      <c r="R310" s="1">
        <f t="shared" si="77"/>
        <v>44753</v>
      </c>
      <c r="S310" s="34">
        <f>AVERAGE(M310:O310)</f>
        <v>29.333333333333332</v>
      </c>
      <c r="T310" s="37">
        <f>4330-4020</f>
        <v>310</v>
      </c>
      <c r="U310" s="57">
        <v>59.775000000000006</v>
      </c>
    </row>
    <row r="311" spans="1:30" x14ac:dyDescent="0.2">
      <c r="A311" s="8"/>
      <c r="B311" s="17"/>
      <c r="C311" s="8"/>
      <c r="D311" s="8"/>
      <c r="E311" s="8"/>
      <c r="F311" s="91"/>
      <c r="G311" s="15"/>
      <c r="H311" s="15"/>
      <c r="I311" s="8"/>
      <c r="J311" s="16"/>
      <c r="K311" s="8"/>
      <c r="L311" s="15"/>
      <c r="M311" s="8"/>
      <c r="N311" s="8"/>
      <c r="O311" s="8"/>
      <c r="P311" s="9"/>
      <c r="Q311" s="9"/>
      <c r="R311" s="1"/>
      <c r="S311" s="34"/>
    </row>
    <row r="312" spans="1:30" x14ac:dyDescent="0.2">
      <c r="A312" s="3" t="s">
        <v>21</v>
      </c>
      <c r="B312" s="1">
        <v>44786</v>
      </c>
      <c r="C312" s="3" t="s">
        <v>25</v>
      </c>
      <c r="D312" s="3" t="s">
        <v>25</v>
      </c>
      <c r="E312" s="3" t="s">
        <v>15</v>
      </c>
      <c r="F312" s="89">
        <v>13</v>
      </c>
      <c r="G312" s="10">
        <v>0.48819444444444443</v>
      </c>
      <c r="H312" s="10">
        <v>0.53194444444444444</v>
      </c>
      <c r="I312" s="3">
        <v>4</v>
      </c>
      <c r="J312" s="12" t="s">
        <v>30</v>
      </c>
      <c r="K312" s="3" t="s">
        <v>28</v>
      </c>
      <c r="L312" s="10">
        <v>0.53333333333333333</v>
      </c>
      <c r="M312" s="3">
        <v>36</v>
      </c>
      <c r="N312" s="3">
        <v>37</v>
      </c>
      <c r="O312" s="3">
        <v>39</v>
      </c>
      <c r="P312" t="s">
        <v>22</v>
      </c>
      <c r="Q312" t="s">
        <v>76</v>
      </c>
      <c r="R312" s="1">
        <f t="shared" ref="R312:R314" si="78">B312</f>
        <v>44786</v>
      </c>
      <c r="S312" s="34">
        <f>AVERAGE(M312:O312)</f>
        <v>37.333333333333336</v>
      </c>
      <c r="T312" s="37">
        <f>4330-3931</f>
        <v>399</v>
      </c>
      <c r="U312" s="56">
        <v>34.725000000000001</v>
      </c>
    </row>
    <row r="313" spans="1:30" x14ac:dyDescent="0.2">
      <c r="A313" s="5" t="s">
        <v>21</v>
      </c>
      <c r="B313" s="6">
        <v>44786</v>
      </c>
      <c r="C313" s="5" t="s">
        <v>25</v>
      </c>
      <c r="D313" s="5" t="s">
        <v>25</v>
      </c>
      <c r="E313" s="5" t="s">
        <v>15</v>
      </c>
      <c r="F313" s="90">
        <v>13</v>
      </c>
      <c r="G313" s="11" t="s">
        <v>27</v>
      </c>
      <c r="H313" s="11">
        <v>0.15625</v>
      </c>
      <c r="I313" s="5">
        <v>4</v>
      </c>
      <c r="J313" s="13" t="s">
        <v>27</v>
      </c>
      <c r="K313" s="5" t="s">
        <v>28</v>
      </c>
      <c r="L313" s="11">
        <v>0.15833333333333333</v>
      </c>
      <c r="M313" s="5">
        <v>34</v>
      </c>
      <c r="N313" s="5">
        <v>35</v>
      </c>
      <c r="O313" s="5">
        <v>36</v>
      </c>
      <c r="P313" s="7" t="s">
        <v>23</v>
      </c>
      <c r="Q313" t="s">
        <v>76</v>
      </c>
      <c r="R313" s="1">
        <f t="shared" si="78"/>
        <v>44786</v>
      </c>
      <c r="S313" s="34">
        <f>AVERAGE(M313:O313)</f>
        <v>35</v>
      </c>
      <c r="T313" s="37">
        <f>4330-3917</f>
        <v>413</v>
      </c>
    </row>
    <row r="314" spans="1:30" x14ac:dyDescent="0.2">
      <c r="A314" s="5" t="s">
        <v>21</v>
      </c>
      <c r="B314" s="6">
        <v>44786</v>
      </c>
      <c r="C314" s="5" t="s">
        <v>25</v>
      </c>
      <c r="D314" s="5" t="s">
        <v>25</v>
      </c>
      <c r="E314" s="5" t="s">
        <v>15</v>
      </c>
      <c r="F314" s="90">
        <v>13</v>
      </c>
      <c r="G314" s="11" t="s">
        <v>27</v>
      </c>
      <c r="H314" s="11">
        <v>0.52986111111111112</v>
      </c>
      <c r="I314" s="5">
        <v>4</v>
      </c>
      <c r="J314" s="13" t="s">
        <v>30</v>
      </c>
      <c r="K314" s="5" t="s">
        <v>28</v>
      </c>
      <c r="L314" s="11">
        <v>0.53125</v>
      </c>
      <c r="M314" s="5">
        <v>37</v>
      </c>
      <c r="N314" s="5">
        <v>37</v>
      </c>
      <c r="O314" s="5">
        <v>38</v>
      </c>
      <c r="P314" s="7" t="s">
        <v>23</v>
      </c>
      <c r="Q314" t="s">
        <v>76</v>
      </c>
      <c r="R314" s="1">
        <f t="shared" si="78"/>
        <v>44786</v>
      </c>
      <c r="S314" s="34">
        <f>AVERAGE(M314:O314)</f>
        <v>37.333333333333336</v>
      </c>
      <c r="T314" s="37">
        <f>4330-3931</f>
        <v>399</v>
      </c>
      <c r="U314" s="56">
        <v>34.725000000000001</v>
      </c>
    </row>
    <row r="315" spans="1:30" x14ac:dyDescent="0.2">
      <c r="A315" s="49"/>
      <c r="B315" s="50"/>
      <c r="C315" s="49"/>
      <c r="D315" s="49"/>
      <c r="E315" s="49"/>
      <c r="F315" s="92"/>
      <c r="G315" s="51"/>
      <c r="H315" s="51"/>
      <c r="I315" s="49"/>
      <c r="J315" s="52"/>
      <c r="K315" s="49"/>
      <c r="L315" s="51"/>
      <c r="M315" s="49"/>
      <c r="N315" s="49"/>
      <c r="O315" s="49"/>
      <c r="P315" s="53"/>
      <c r="Q315" s="53"/>
      <c r="R315" s="1"/>
      <c r="S315" s="34"/>
    </row>
    <row r="316" spans="1:30" x14ac:dyDescent="0.2">
      <c r="A316" s="3" t="s">
        <v>21</v>
      </c>
      <c r="B316" s="1">
        <v>44867</v>
      </c>
      <c r="C316" s="3" t="s">
        <v>25</v>
      </c>
      <c r="D316" s="3" t="s">
        <v>26</v>
      </c>
      <c r="E316" s="3" t="s">
        <v>15</v>
      </c>
      <c r="F316" s="89">
        <v>13</v>
      </c>
      <c r="G316" s="2" t="s">
        <v>27</v>
      </c>
      <c r="H316" s="2">
        <v>0.4680555555555555</v>
      </c>
      <c r="I316">
        <v>4</v>
      </c>
      <c r="J316" t="s">
        <v>30</v>
      </c>
      <c r="K316" t="s">
        <v>90</v>
      </c>
      <c r="L316" s="2">
        <v>0.4694444444444445</v>
      </c>
      <c r="M316">
        <v>19</v>
      </c>
      <c r="N316">
        <v>19</v>
      </c>
      <c r="O316">
        <v>19</v>
      </c>
      <c r="P316" s="63" t="s">
        <v>23</v>
      </c>
      <c r="Q316" t="s">
        <v>92</v>
      </c>
      <c r="R316" s="1"/>
      <c r="S316" s="34"/>
    </row>
    <row r="317" spans="1:30" x14ac:dyDescent="0.2">
      <c r="B317" s="1"/>
      <c r="G317" s="10"/>
      <c r="H317" s="10"/>
      <c r="I317" s="3"/>
      <c r="J317" s="3"/>
      <c r="K317" s="3"/>
      <c r="L317" s="10"/>
      <c r="M317" s="3"/>
      <c r="N317" s="3"/>
      <c r="O317" s="3"/>
      <c r="R317" s="1"/>
      <c r="S317" s="34"/>
    </row>
    <row r="318" spans="1:30" x14ac:dyDescent="0.2">
      <c r="B318" s="1"/>
      <c r="G318" s="10"/>
      <c r="H318" s="10"/>
      <c r="I318" s="3"/>
      <c r="J318" s="3"/>
      <c r="K318" s="3"/>
      <c r="L318" s="10"/>
      <c r="M318" s="3"/>
      <c r="N318" s="3"/>
      <c r="O318" s="3"/>
      <c r="R318" s="1"/>
      <c r="S318" s="34"/>
    </row>
    <row r="319" spans="1:30" x14ac:dyDescent="0.2">
      <c r="B319" s="1"/>
      <c r="G319" s="10"/>
      <c r="H319" s="10"/>
      <c r="I319" s="3"/>
      <c r="J319" s="3"/>
      <c r="K319" s="3"/>
      <c r="L319" s="10"/>
      <c r="M319" s="3"/>
      <c r="N319" s="3"/>
      <c r="O319" s="3"/>
      <c r="R319" s="1"/>
      <c r="S319" s="34"/>
    </row>
    <row r="320" spans="1:30" x14ac:dyDescent="0.2">
      <c r="B320" s="1"/>
      <c r="G320" s="10"/>
      <c r="H320" s="10"/>
      <c r="I320" s="3"/>
      <c r="J320" s="3"/>
      <c r="K320" s="3"/>
      <c r="L320" s="10"/>
      <c r="M320" s="3"/>
      <c r="N320" s="3"/>
      <c r="O320" s="3"/>
      <c r="R320" s="1"/>
      <c r="S320" s="34"/>
    </row>
    <row r="321" spans="2:19" x14ac:dyDescent="0.2">
      <c r="B321" s="1"/>
      <c r="G321" s="10"/>
      <c r="H321" s="10"/>
      <c r="I321" s="3"/>
      <c r="J321" s="3"/>
      <c r="K321" s="3"/>
      <c r="L321" s="10"/>
      <c r="M321" s="3"/>
      <c r="N321" s="3"/>
      <c r="O321" s="3"/>
      <c r="R321" s="1"/>
      <c r="S321" s="34"/>
    </row>
    <row r="322" spans="2:19" x14ac:dyDescent="0.2">
      <c r="B322" s="1"/>
      <c r="G322" s="10"/>
      <c r="H322" s="10"/>
      <c r="I322" s="3"/>
      <c r="J322" s="3"/>
      <c r="K322" s="3"/>
      <c r="L322" s="10"/>
      <c r="M322" s="3"/>
      <c r="N322" s="3"/>
      <c r="O322" s="3"/>
      <c r="R322" s="1"/>
      <c r="S322" s="34"/>
    </row>
    <row r="323" spans="2:19" x14ac:dyDescent="0.2">
      <c r="B323" s="1"/>
      <c r="G323" s="10"/>
      <c r="H323" s="10"/>
      <c r="I323" s="3"/>
      <c r="J323" s="3"/>
      <c r="K323" s="3"/>
      <c r="L323" s="10"/>
      <c r="M323" s="3"/>
      <c r="N323" s="3"/>
      <c r="O323" s="3"/>
      <c r="R323" s="1"/>
      <c r="S323" s="34"/>
    </row>
    <row r="324" spans="2:19" x14ac:dyDescent="0.2">
      <c r="B324" s="1"/>
      <c r="G324" s="10"/>
      <c r="H324" s="10"/>
      <c r="I324" s="3"/>
      <c r="J324" s="3"/>
      <c r="K324" s="3"/>
      <c r="L324" s="10"/>
      <c r="M324" s="3"/>
      <c r="N324" s="3"/>
      <c r="O324" s="3"/>
      <c r="R324" s="1"/>
      <c r="S324" s="34"/>
    </row>
    <row r="325" spans="2:19" x14ac:dyDescent="0.2">
      <c r="B325" s="1"/>
      <c r="G325" s="10"/>
      <c r="H325" s="10"/>
      <c r="I325" s="3"/>
      <c r="J325" s="3"/>
      <c r="K325" s="3"/>
      <c r="L325" s="10"/>
      <c r="M325" s="3"/>
      <c r="N325" s="3"/>
      <c r="O325" s="3"/>
      <c r="R325" s="1"/>
      <c r="S325" s="34"/>
    </row>
    <row r="326" spans="2:19" x14ac:dyDescent="0.2">
      <c r="B326" s="1"/>
      <c r="G326" s="10"/>
      <c r="H326" s="10"/>
      <c r="I326" s="3"/>
      <c r="J326" s="3"/>
      <c r="K326" s="3"/>
      <c r="L326" s="10"/>
      <c r="M326" s="3"/>
      <c r="N326" s="3"/>
      <c r="O326" s="3"/>
      <c r="R326" s="1"/>
      <c r="S326" s="34"/>
    </row>
    <row r="327" spans="2:19" x14ac:dyDescent="0.2">
      <c r="B327" s="1"/>
      <c r="G327" s="10"/>
      <c r="H327" s="10"/>
      <c r="I327" s="3"/>
      <c r="J327" s="3"/>
      <c r="K327" s="3"/>
      <c r="L327" s="10"/>
      <c r="M327" s="3"/>
      <c r="N327" s="3"/>
      <c r="O327" s="3"/>
      <c r="R327" s="1"/>
      <c r="S327" s="34"/>
    </row>
    <row r="328" spans="2:19" x14ac:dyDescent="0.2">
      <c r="B328" s="1"/>
      <c r="G328" s="10"/>
      <c r="H328" s="10"/>
      <c r="I328" s="3"/>
      <c r="J328" s="3"/>
      <c r="K328" s="3"/>
      <c r="L328" s="10"/>
      <c r="M328" s="3"/>
      <c r="N328" s="3"/>
      <c r="O328" s="3"/>
      <c r="R328" s="1"/>
      <c r="S328" s="34"/>
    </row>
    <row r="329" spans="2:19" x14ac:dyDescent="0.2">
      <c r="B329" s="1"/>
      <c r="G329" s="10"/>
      <c r="H329" s="10"/>
      <c r="I329" s="3"/>
      <c r="J329" s="3"/>
      <c r="K329" s="3"/>
      <c r="L329" s="10"/>
      <c r="M329" s="3"/>
      <c r="N329" s="3"/>
      <c r="O329" s="3"/>
      <c r="R329" s="1"/>
      <c r="S329" s="34"/>
    </row>
    <row r="330" spans="2:19" x14ac:dyDescent="0.2">
      <c r="B330" s="1"/>
      <c r="G330" s="10"/>
      <c r="H330" s="10"/>
      <c r="I330" s="3"/>
      <c r="J330" s="3"/>
      <c r="K330" s="3"/>
      <c r="L330" s="10"/>
      <c r="M330" s="3"/>
      <c r="N330" s="3"/>
      <c r="O330" s="3"/>
      <c r="R330" s="1"/>
      <c r="S330" s="34"/>
    </row>
    <row r="331" spans="2:19" x14ac:dyDescent="0.2">
      <c r="B331" s="1"/>
      <c r="G331" s="10"/>
      <c r="H331" s="10"/>
      <c r="I331" s="3"/>
      <c r="J331" s="3"/>
      <c r="K331" s="3"/>
      <c r="L331" s="10"/>
      <c r="M331" s="3"/>
      <c r="N331" s="3"/>
      <c r="O331" s="3"/>
      <c r="R331" s="1"/>
      <c r="S331" s="34"/>
    </row>
    <row r="332" spans="2:19" x14ac:dyDescent="0.2">
      <c r="B332" s="1"/>
      <c r="G332" s="10"/>
      <c r="H332" s="10"/>
      <c r="I332" s="3"/>
      <c r="J332" s="3"/>
      <c r="K332" s="3"/>
      <c r="L332" s="10"/>
      <c r="M332" s="3"/>
      <c r="N332" s="3"/>
      <c r="O332" s="3"/>
      <c r="R332" s="1"/>
      <c r="S332" s="34"/>
    </row>
    <row r="333" spans="2:19" x14ac:dyDescent="0.2">
      <c r="B333" s="1"/>
      <c r="G333" s="10"/>
      <c r="H333" s="10"/>
      <c r="I333" s="3"/>
      <c r="J333" s="3"/>
      <c r="K333" s="3"/>
      <c r="L333" s="10"/>
      <c r="M333" s="3"/>
      <c r="N333" s="3"/>
      <c r="O333" s="3"/>
      <c r="R333" s="1"/>
      <c r="S333" s="34"/>
    </row>
    <row r="334" spans="2:19" x14ac:dyDescent="0.2">
      <c r="B334" s="1"/>
      <c r="G334" s="10"/>
      <c r="H334" s="10"/>
      <c r="I334" s="3"/>
      <c r="J334" s="3"/>
      <c r="K334" s="3"/>
      <c r="L334" s="10"/>
      <c r="M334" s="3"/>
      <c r="N334" s="3"/>
      <c r="O334" s="3"/>
      <c r="R334" s="1"/>
      <c r="S334" s="34"/>
    </row>
    <row r="335" spans="2:19" x14ac:dyDescent="0.2">
      <c r="B335" s="1"/>
      <c r="G335" s="10"/>
      <c r="H335" s="10"/>
      <c r="I335" s="3"/>
      <c r="J335" s="3"/>
      <c r="K335" s="3"/>
      <c r="L335" s="10"/>
      <c r="M335" s="3"/>
      <c r="N335" s="3"/>
      <c r="O335" s="3"/>
      <c r="R335" s="1"/>
      <c r="S335" s="34"/>
    </row>
    <row r="336" spans="2:19" x14ac:dyDescent="0.2">
      <c r="B336" s="1"/>
      <c r="G336" s="10"/>
      <c r="H336" s="10"/>
      <c r="I336" s="3"/>
      <c r="J336" s="3"/>
      <c r="K336" s="3"/>
      <c r="L336" s="10"/>
      <c r="M336" s="3"/>
      <c r="N336" s="3"/>
      <c r="O336" s="3"/>
      <c r="R336" s="1"/>
      <c r="S336" s="34"/>
    </row>
    <row r="337" spans="1:30" x14ac:dyDescent="0.2">
      <c r="B337" s="1"/>
      <c r="G337" s="10"/>
      <c r="H337" s="10"/>
      <c r="I337" s="3"/>
      <c r="J337" s="3"/>
      <c r="K337" s="3"/>
      <c r="L337" s="10"/>
      <c r="M337" s="3"/>
      <c r="N337" s="3"/>
      <c r="O337" s="3"/>
      <c r="R337" s="1"/>
      <c r="S337" s="34"/>
    </row>
    <row r="338" spans="1:30" x14ac:dyDescent="0.2">
      <c r="B338" s="1"/>
      <c r="G338" s="10"/>
      <c r="H338" s="10"/>
      <c r="I338" s="3"/>
      <c r="J338" s="3"/>
      <c r="K338" s="3"/>
      <c r="L338" s="10"/>
      <c r="M338" s="3"/>
      <c r="N338" s="3"/>
      <c r="O338" s="3"/>
      <c r="R338" s="1"/>
      <c r="S338" s="34"/>
    </row>
    <row r="339" spans="1:30" x14ac:dyDescent="0.2">
      <c r="B339" s="1"/>
      <c r="G339" s="10"/>
      <c r="H339" s="10"/>
      <c r="I339" s="3"/>
      <c r="J339" s="3"/>
      <c r="K339" s="3"/>
      <c r="L339" s="10"/>
      <c r="M339" s="3"/>
      <c r="N339" s="3"/>
      <c r="O339" s="3"/>
    </row>
    <row r="340" spans="1:30" x14ac:dyDescent="0.2">
      <c r="B340" s="1"/>
      <c r="G340" s="10"/>
      <c r="H340" s="10"/>
      <c r="I340" s="3"/>
      <c r="J340" s="3"/>
      <c r="K340" s="3"/>
      <c r="L340" s="10"/>
      <c r="M340" s="3"/>
      <c r="N340" s="3"/>
      <c r="O340" s="3"/>
    </row>
    <row r="341" spans="1:30" x14ac:dyDescent="0.2">
      <c r="B341" s="1"/>
      <c r="G341" s="10"/>
      <c r="H341" s="10"/>
      <c r="I341" s="3"/>
      <c r="J341" s="3"/>
      <c r="K341" s="3"/>
      <c r="L341" s="10"/>
      <c r="M341" s="3"/>
      <c r="N341" s="3"/>
      <c r="O341" s="3"/>
      <c r="S341" s="34"/>
    </row>
    <row r="342" spans="1:30" x14ac:dyDescent="0.2">
      <c r="A342" s="3" t="s">
        <v>21</v>
      </c>
      <c r="B342" s="1">
        <v>44348</v>
      </c>
      <c r="C342" s="3" t="s">
        <v>25</v>
      </c>
      <c r="D342" s="3" t="s">
        <v>26</v>
      </c>
      <c r="E342" s="3" t="s">
        <v>15</v>
      </c>
      <c r="F342" s="89">
        <v>14</v>
      </c>
      <c r="G342" s="10">
        <v>0.27083333333333331</v>
      </c>
      <c r="H342" s="10">
        <v>0.29652777777777778</v>
      </c>
      <c r="I342" s="3">
        <v>3.5</v>
      </c>
      <c r="J342" s="3" t="s">
        <v>29</v>
      </c>
      <c r="K342" s="3" t="s">
        <v>28</v>
      </c>
      <c r="L342" s="10">
        <v>0.29791666666666666</v>
      </c>
      <c r="M342" s="3">
        <v>5</v>
      </c>
      <c r="N342" s="3">
        <v>5</v>
      </c>
      <c r="O342" s="3">
        <v>5</v>
      </c>
      <c r="P342" t="s">
        <v>22</v>
      </c>
      <c r="R342" s="1">
        <f t="shared" ref="R342:R352" si="79">B342</f>
        <v>44348</v>
      </c>
      <c r="S342" s="34">
        <f>AVERAGE(M342:O342)</f>
        <v>5</v>
      </c>
    </row>
    <row r="343" spans="1:30" x14ac:dyDescent="0.2">
      <c r="A343" s="3" t="s">
        <v>21</v>
      </c>
      <c r="B343" s="1">
        <v>44348</v>
      </c>
      <c r="C343" s="3" t="s">
        <v>25</v>
      </c>
      <c r="D343" s="3" t="s">
        <v>26</v>
      </c>
      <c r="E343" s="3" t="s">
        <v>15</v>
      </c>
      <c r="F343" s="89">
        <v>14</v>
      </c>
      <c r="G343" s="10">
        <v>0.35416666666666663</v>
      </c>
      <c r="H343" s="10">
        <v>0.37916666666666665</v>
      </c>
      <c r="I343" s="3">
        <v>3.5</v>
      </c>
      <c r="J343" s="3" t="s">
        <v>30</v>
      </c>
      <c r="K343" s="3" t="s">
        <v>28</v>
      </c>
      <c r="L343" s="10">
        <v>0.38055555555555554</v>
      </c>
      <c r="M343" s="3">
        <v>6</v>
      </c>
      <c r="N343" s="3">
        <v>6</v>
      </c>
      <c r="O343" s="3">
        <v>6</v>
      </c>
      <c r="P343" t="s">
        <v>22</v>
      </c>
      <c r="R343" s="1">
        <f t="shared" si="79"/>
        <v>44348</v>
      </c>
      <c r="S343" s="34">
        <f t="shared" ref="S343:S351" si="80">AVERAGE(M343:O343)</f>
        <v>6</v>
      </c>
    </row>
    <row r="344" spans="1:30" x14ac:dyDescent="0.2">
      <c r="A344" s="3" t="s">
        <v>21</v>
      </c>
      <c r="B344" s="1">
        <v>44348</v>
      </c>
      <c r="C344" s="3" t="s">
        <v>25</v>
      </c>
      <c r="D344" s="3" t="s">
        <v>26</v>
      </c>
      <c r="E344" s="3" t="s">
        <v>15</v>
      </c>
      <c r="F344" s="89">
        <v>14</v>
      </c>
      <c r="G344" s="10">
        <v>0.4375</v>
      </c>
      <c r="H344" s="10">
        <v>0.48125000000000001</v>
      </c>
      <c r="I344" s="3">
        <v>3.5</v>
      </c>
      <c r="J344" s="3" t="s">
        <v>30</v>
      </c>
      <c r="K344" s="3" t="s">
        <v>28</v>
      </c>
      <c r="L344" s="10">
        <v>0.4826388888888889</v>
      </c>
      <c r="M344" s="3">
        <v>9</v>
      </c>
      <c r="N344" s="3">
        <v>9</v>
      </c>
      <c r="O344" s="3">
        <v>8</v>
      </c>
      <c r="P344" t="s">
        <v>22</v>
      </c>
      <c r="R344" s="1">
        <f t="shared" si="79"/>
        <v>44348</v>
      </c>
      <c r="S344" s="34">
        <f t="shared" si="80"/>
        <v>8.6666666666666661</v>
      </c>
      <c r="T344" s="37">
        <f>4590-4355</f>
        <v>235</v>
      </c>
      <c r="U344" s="57">
        <v>242.6</v>
      </c>
      <c r="V344" s="38"/>
      <c r="W344" s="66"/>
      <c r="X344" s="74"/>
      <c r="Y344" s="74"/>
      <c r="Z344" s="74"/>
      <c r="AA344" s="74"/>
      <c r="AB344" s="74"/>
      <c r="AC344" s="74"/>
      <c r="AD344" s="81"/>
    </row>
    <row r="345" spans="1:30" x14ac:dyDescent="0.2">
      <c r="A345" s="3" t="s">
        <v>21</v>
      </c>
      <c r="B345" s="1">
        <v>44348</v>
      </c>
      <c r="C345" s="3" t="s">
        <v>25</v>
      </c>
      <c r="D345" s="3" t="s">
        <v>26</v>
      </c>
      <c r="E345" s="3" t="s">
        <v>15</v>
      </c>
      <c r="F345" s="89">
        <v>14</v>
      </c>
      <c r="G345" s="10">
        <v>0.5625</v>
      </c>
      <c r="H345" s="10">
        <v>0.59305555555555556</v>
      </c>
      <c r="I345" s="3">
        <v>3.5</v>
      </c>
      <c r="J345" s="3" t="s">
        <v>30</v>
      </c>
      <c r="K345" s="3" t="s">
        <v>28</v>
      </c>
      <c r="L345" s="10">
        <v>0.59375</v>
      </c>
      <c r="M345" s="3">
        <v>9</v>
      </c>
      <c r="N345" s="3">
        <v>9</v>
      </c>
      <c r="O345" s="3">
        <v>10</v>
      </c>
      <c r="P345" t="s">
        <v>22</v>
      </c>
      <c r="R345" s="1">
        <f t="shared" si="79"/>
        <v>44348</v>
      </c>
      <c r="S345" s="34">
        <f t="shared" si="80"/>
        <v>9.3333333333333339</v>
      </c>
      <c r="T345" s="37"/>
      <c r="U345" s="57"/>
      <c r="V345" s="38"/>
      <c r="W345" s="66"/>
      <c r="X345" s="74"/>
      <c r="Y345" s="74"/>
      <c r="Z345" s="74"/>
      <c r="AA345" s="74"/>
      <c r="AB345" s="74"/>
      <c r="AC345" s="74"/>
      <c r="AD345" s="81"/>
    </row>
    <row r="346" spans="1:30" x14ac:dyDescent="0.2">
      <c r="A346" s="3" t="s">
        <v>21</v>
      </c>
      <c r="B346" s="1">
        <v>44348</v>
      </c>
      <c r="C346" s="3" t="s">
        <v>25</v>
      </c>
      <c r="D346" s="3" t="s">
        <v>26</v>
      </c>
      <c r="E346" s="3" t="s">
        <v>15</v>
      </c>
      <c r="F346" s="89">
        <v>14</v>
      </c>
      <c r="G346" s="10">
        <v>0.6875</v>
      </c>
      <c r="H346" s="10">
        <v>0.7104166666666667</v>
      </c>
      <c r="I346" s="3">
        <v>3.5</v>
      </c>
      <c r="J346" s="3" t="s">
        <v>30</v>
      </c>
      <c r="K346" s="3" t="s">
        <v>28</v>
      </c>
      <c r="L346" s="10">
        <v>0.71111111111111114</v>
      </c>
      <c r="M346" s="3">
        <v>7</v>
      </c>
      <c r="N346" s="3">
        <v>7</v>
      </c>
      <c r="O346" s="3">
        <v>8</v>
      </c>
      <c r="P346" t="s">
        <v>22</v>
      </c>
      <c r="R346" s="1">
        <f t="shared" si="79"/>
        <v>44348</v>
      </c>
      <c r="S346" s="34">
        <f t="shared" si="80"/>
        <v>7.333333333333333</v>
      </c>
      <c r="T346" s="37"/>
      <c r="U346" s="57"/>
      <c r="V346" s="38"/>
      <c r="W346" s="66"/>
      <c r="X346" s="74"/>
      <c r="Y346" s="74"/>
      <c r="Z346" s="74"/>
      <c r="AA346" s="74"/>
      <c r="AB346" s="74"/>
      <c r="AC346" s="74"/>
      <c r="AD346" s="81"/>
    </row>
    <row r="347" spans="1:30" x14ac:dyDescent="0.2">
      <c r="A347" s="5" t="s">
        <v>21</v>
      </c>
      <c r="B347" s="6">
        <v>44348</v>
      </c>
      <c r="C347" s="5" t="s">
        <v>25</v>
      </c>
      <c r="D347" s="5" t="s">
        <v>26</v>
      </c>
      <c r="E347" s="5" t="s">
        <v>15</v>
      </c>
      <c r="F347" s="90">
        <v>14</v>
      </c>
      <c r="G347" s="5" t="s">
        <v>27</v>
      </c>
      <c r="H347" s="11">
        <v>0.1138888888888889</v>
      </c>
      <c r="I347" s="5">
        <v>3.5</v>
      </c>
      <c r="J347" s="5" t="s">
        <v>27</v>
      </c>
      <c r="K347" s="5" t="s">
        <v>28</v>
      </c>
      <c r="L347" s="11">
        <v>0.11458333333333334</v>
      </c>
      <c r="M347" s="5">
        <v>4</v>
      </c>
      <c r="N347" s="5">
        <v>4</v>
      </c>
      <c r="O347" s="5">
        <v>5</v>
      </c>
      <c r="P347" s="7" t="s">
        <v>23</v>
      </c>
      <c r="Q347" s="7"/>
      <c r="R347" s="1">
        <f t="shared" si="79"/>
        <v>44348</v>
      </c>
      <c r="S347" s="34">
        <f>AVERAGE(M347:O347)</f>
        <v>4.333333333333333</v>
      </c>
      <c r="T347" s="37">
        <f>4590-4373</f>
        <v>217</v>
      </c>
      <c r="U347" s="57"/>
      <c r="V347" s="38"/>
      <c r="W347" s="66"/>
      <c r="X347" s="74"/>
      <c r="Y347" s="74"/>
      <c r="Z347" s="74"/>
      <c r="AA347" s="74"/>
      <c r="AB347" s="74"/>
      <c r="AC347" s="74"/>
      <c r="AD347" s="81"/>
    </row>
    <row r="348" spans="1:30" x14ac:dyDescent="0.2">
      <c r="A348" s="5" t="s">
        <v>21</v>
      </c>
      <c r="B348" s="6">
        <v>44348</v>
      </c>
      <c r="C348" s="5" t="s">
        <v>25</v>
      </c>
      <c r="D348" s="5" t="s">
        <v>26</v>
      </c>
      <c r="E348" s="5" t="s">
        <v>15</v>
      </c>
      <c r="F348" s="90">
        <v>14</v>
      </c>
      <c r="G348" s="5" t="s">
        <v>27</v>
      </c>
      <c r="H348" s="11">
        <v>0.29652777777777778</v>
      </c>
      <c r="I348" s="5">
        <v>3.5</v>
      </c>
      <c r="J348" s="5" t="s">
        <v>29</v>
      </c>
      <c r="K348" s="5" t="s">
        <v>28</v>
      </c>
      <c r="L348" s="11">
        <v>0.29861111111111105</v>
      </c>
      <c r="M348" s="5">
        <v>7</v>
      </c>
      <c r="N348" s="5">
        <v>7</v>
      </c>
      <c r="O348" s="5">
        <v>8</v>
      </c>
      <c r="P348" s="7" t="s">
        <v>23</v>
      </c>
      <c r="Q348" s="7"/>
      <c r="R348" s="1">
        <f t="shared" si="79"/>
        <v>44348</v>
      </c>
      <c r="S348" s="34">
        <f t="shared" si="80"/>
        <v>7.333333333333333</v>
      </c>
      <c r="T348" s="37"/>
      <c r="U348" s="57"/>
      <c r="V348" s="38"/>
      <c r="W348" s="66"/>
      <c r="X348" s="74"/>
      <c r="Y348" s="74"/>
      <c r="Z348" s="74"/>
      <c r="AA348" s="74"/>
      <c r="AB348" s="74"/>
      <c r="AC348" s="74"/>
      <c r="AD348" s="81"/>
    </row>
    <row r="349" spans="1:30" x14ac:dyDescent="0.2">
      <c r="A349" s="5" t="s">
        <v>21</v>
      </c>
      <c r="B349" s="6">
        <v>44348</v>
      </c>
      <c r="C349" s="5" t="s">
        <v>25</v>
      </c>
      <c r="D349" s="5" t="s">
        <v>26</v>
      </c>
      <c r="E349" s="5" t="s">
        <v>15</v>
      </c>
      <c r="F349" s="90">
        <v>14</v>
      </c>
      <c r="G349" s="11" t="s">
        <v>27</v>
      </c>
      <c r="H349" s="11">
        <v>0.37777777777777777</v>
      </c>
      <c r="I349" s="5">
        <v>3.5</v>
      </c>
      <c r="J349" s="5" t="s">
        <v>30</v>
      </c>
      <c r="K349" s="5" t="s">
        <v>28</v>
      </c>
      <c r="L349" s="11">
        <v>0.37847222222222221</v>
      </c>
      <c r="M349" s="5">
        <v>9</v>
      </c>
      <c r="N349" s="5">
        <v>9</v>
      </c>
      <c r="O349" s="5">
        <v>10</v>
      </c>
      <c r="P349" s="7" t="s">
        <v>23</v>
      </c>
      <c r="Q349" s="7"/>
      <c r="R349" s="1">
        <f t="shared" si="79"/>
        <v>44348</v>
      </c>
      <c r="S349" s="34">
        <f t="shared" si="80"/>
        <v>9.3333333333333339</v>
      </c>
      <c r="T349" s="37"/>
      <c r="U349" s="57"/>
      <c r="V349" s="38"/>
      <c r="W349" s="66"/>
      <c r="X349" s="74"/>
      <c r="Y349" s="74"/>
      <c r="Z349" s="74"/>
      <c r="AA349" s="74"/>
      <c r="AB349" s="74"/>
      <c r="AC349" s="74"/>
      <c r="AD349" s="81"/>
    </row>
    <row r="350" spans="1:30" x14ac:dyDescent="0.2">
      <c r="A350" s="5" t="s">
        <v>21</v>
      </c>
      <c r="B350" s="6">
        <v>44348</v>
      </c>
      <c r="C350" s="5" t="s">
        <v>25</v>
      </c>
      <c r="D350" s="5" t="s">
        <v>26</v>
      </c>
      <c r="E350" s="5" t="s">
        <v>15</v>
      </c>
      <c r="F350" s="90">
        <v>14</v>
      </c>
      <c r="G350" s="5" t="s">
        <v>27</v>
      </c>
      <c r="H350" s="11">
        <v>0.47986111111111113</v>
      </c>
      <c r="I350" s="5">
        <v>3.5</v>
      </c>
      <c r="J350" s="5" t="s">
        <v>30</v>
      </c>
      <c r="K350" s="5" t="s">
        <v>28</v>
      </c>
      <c r="L350" s="11">
        <v>0.48055555555555557</v>
      </c>
      <c r="M350" s="5">
        <v>12</v>
      </c>
      <c r="N350" s="5">
        <v>11</v>
      </c>
      <c r="O350" s="5">
        <v>11</v>
      </c>
      <c r="P350" s="7" t="s">
        <v>23</v>
      </c>
      <c r="Q350" s="7"/>
      <c r="R350" s="1">
        <f t="shared" si="79"/>
        <v>44348</v>
      </c>
      <c r="S350" s="34">
        <f t="shared" si="80"/>
        <v>11.333333333333334</v>
      </c>
      <c r="T350" s="37">
        <f>4590-4355</f>
        <v>235</v>
      </c>
      <c r="U350" s="57">
        <v>242.6</v>
      </c>
      <c r="V350" s="38"/>
      <c r="W350" s="66"/>
      <c r="X350" s="74"/>
      <c r="Y350" s="74"/>
      <c r="Z350" s="74"/>
      <c r="AA350" s="74"/>
      <c r="AB350" s="74"/>
      <c r="AC350" s="74"/>
      <c r="AD350" s="81"/>
    </row>
    <row r="351" spans="1:30" x14ac:dyDescent="0.2">
      <c r="A351" s="5" t="s">
        <v>21</v>
      </c>
      <c r="B351" s="6">
        <v>44348</v>
      </c>
      <c r="C351" s="5" t="s">
        <v>25</v>
      </c>
      <c r="D351" s="5" t="s">
        <v>26</v>
      </c>
      <c r="E351" s="5" t="s">
        <v>15</v>
      </c>
      <c r="F351" s="90">
        <v>14</v>
      </c>
      <c r="G351" s="11" t="s">
        <v>27</v>
      </c>
      <c r="H351" s="11">
        <v>0.58888888888888891</v>
      </c>
      <c r="I351" s="5">
        <v>3.5</v>
      </c>
      <c r="J351" s="5" t="s">
        <v>30</v>
      </c>
      <c r="K351" s="5" t="s">
        <v>28</v>
      </c>
      <c r="L351" s="11">
        <v>0.59027777777777779</v>
      </c>
      <c r="M351" s="5">
        <v>13</v>
      </c>
      <c r="N351" s="5">
        <v>15</v>
      </c>
      <c r="O351" s="5">
        <v>15</v>
      </c>
      <c r="P351" s="7" t="s">
        <v>23</v>
      </c>
      <c r="Q351" s="7"/>
      <c r="R351" s="1">
        <f t="shared" si="79"/>
        <v>44348</v>
      </c>
      <c r="S351" s="34">
        <f t="shared" si="80"/>
        <v>14.333333333333334</v>
      </c>
      <c r="T351" s="37"/>
      <c r="U351" s="57"/>
      <c r="V351" s="38"/>
      <c r="W351" s="66"/>
      <c r="X351" s="74"/>
      <c r="Y351" s="74"/>
      <c r="Z351" s="74"/>
      <c r="AA351" s="74"/>
      <c r="AB351" s="74"/>
      <c r="AC351" s="74"/>
      <c r="AD351" s="81"/>
    </row>
    <row r="352" spans="1:30" x14ac:dyDescent="0.2">
      <c r="A352" s="5" t="s">
        <v>21</v>
      </c>
      <c r="B352" s="6">
        <v>44348</v>
      </c>
      <c r="C352" s="5" t="s">
        <v>25</v>
      </c>
      <c r="D352" s="5" t="s">
        <v>26</v>
      </c>
      <c r="E352" s="5" t="s">
        <v>15</v>
      </c>
      <c r="F352" s="90">
        <v>14</v>
      </c>
      <c r="G352" s="11" t="s">
        <v>27</v>
      </c>
      <c r="H352" s="11">
        <v>0.70902777777777781</v>
      </c>
      <c r="I352" s="5">
        <v>3.5</v>
      </c>
      <c r="J352" s="5" t="s">
        <v>30</v>
      </c>
      <c r="K352" s="5" t="s">
        <v>28</v>
      </c>
      <c r="L352" s="11">
        <v>0.70972222222222237</v>
      </c>
      <c r="M352" s="5">
        <v>7</v>
      </c>
      <c r="N352" s="5">
        <v>8</v>
      </c>
      <c r="O352" s="5">
        <v>9</v>
      </c>
      <c r="P352" s="7" t="s">
        <v>23</v>
      </c>
      <c r="Q352" s="7"/>
      <c r="R352" s="1">
        <f t="shared" si="79"/>
        <v>44348</v>
      </c>
      <c r="S352" s="34">
        <f>AVERAGE(M352:O352)</f>
        <v>8</v>
      </c>
      <c r="T352" s="37"/>
      <c r="U352" s="57"/>
      <c r="V352" s="38"/>
      <c r="W352" s="66"/>
      <c r="X352" s="74"/>
      <c r="Y352" s="74"/>
      <c r="Z352" s="74"/>
      <c r="AA352" s="74"/>
      <c r="AB352" s="74"/>
      <c r="AC352" s="74"/>
      <c r="AD352" s="81"/>
    </row>
    <row r="353" spans="1:30" x14ac:dyDescent="0.2">
      <c r="A353" s="8"/>
      <c r="B353" s="17"/>
      <c r="C353" s="8"/>
      <c r="D353" s="8"/>
      <c r="E353" s="8"/>
      <c r="F353" s="91"/>
      <c r="G353" s="15"/>
      <c r="H353" s="15"/>
      <c r="I353" s="8"/>
      <c r="J353" s="8"/>
      <c r="K353" s="8"/>
      <c r="L353" s="15"/>
      <c r="M353" s="8"/>
      <c r="N353" s="8"/>
      <c r="O353" s="8"/>
      <c r="P353" s="9"/>
      <c r="Q353" s="9"/>
      <c r="T353" s="37"/>
      <c r="U353" s="57"/>
      <c r="V353" s="38"/>
      <c r="W353" s="66"/>
      <c r="X353" s="74"/>
      <c r="Y353" s="74"/>
      <c r="Z353" s="74"/>
      <c r="AA353" s="74"/>
      <c r="AB353" s="74"/>
      <c r="AC353" s="74"/>
      <c r="AD353" s="81"/>
    </row>
    <row r="354" spans="1:30" x14ac:dyDescent="0.2">
      <c r="A354" s="3" t="s">
        <v>21</v>
      </c>
      <c r="B354" s="1">
        <v>44398</v>
      </c>
      <c r="C354" s="3" t="s">
        <v>25</v>
      </c>
      <c r="D354" s="3" t="s">
        <v>35</v>
      </c>
      <c r="E354" s="3" t="s">
        <v>15</v>
      </c>
      <c r="F354" s="89">
        <v>14</v>
      </c>
      <c r="G354" s="10">
        <v>0.3125</v>
      </c>
      <c r="H354" s="10">
        <v>0.3354166666666667</v>
      </c>
      <c r="I354" s="3">
        <v>3</v>
      </c>
      <c r="J354" s="12" t="s">
        <v>29</v>
      </c>
      <c r="K354" s="3" t="s">
        <v>28</v>
      </c>
      <c r="L354" s="10">
        <v>0.33680555555555558</v>
      </c>
      <c r="M354" s="3">
        <v>3</v>
      </c>
      <c r="N354" s="3">
        <v>4</v>
      </c>
      <c r="O354" s="3">
        <v>4</v>
      </c>
      <c r="P354" t="s">
        <v>22</v>
      </c>
      <c r="Q354" t="s">
        <v>45</v>
      </c>
      <c r="R354" s="1">
        <f t="shared" ref="R354:R362" si="81">B354</f>
        <v>44398</v>
      </c>
      <c r="S354" s="34">
        <f>AVERAGE(M354:O354)</f>
        <v>3.6666666666666665</v>
      </c>
      <c r="T354" s="37"/>
      <c r="U354" s="57"/>
      <c r="V354" s="38"/>
      <c r="W354" s="66"/>
      <c r="X354" s="74"/>
      <c r="Y354" s="74"/>
      <c r="Z354" s="74"/>
      <c r="AA354" s="74"/>
      <c r="AB354" s="74"/>
      <c r="AC354" s="74"/>
      <c r="AD354" s="81"/>
    </row>
    <row r="355" spans="1:30" x14ac:dyDescent="0.2">
      <c r="A355" s="3" t="s">
        <v>21</v>
      </c>
      <c r="B355" s="1">
        <v>44398</v>
      </c>
      <c r="C355" s="3" t="s">
        <v>25</v>
      </c>
      <c r="D355" s="3" t="s">
        <v>35</v>
      </c>
      <c r="E355" s="3" t="s">
        <v>15</v>
      </c>
      <c r="F355" s="89">
        <v>14</v>
      </c>
      <c r="G355" s="10">
        <v>0.45486111111111105</v>
      </c>
      <c r="H355" s="10">
        <v>0.4777777777777778</v>
      </c>
      <c r="I355" s="3">
        <v>3</v>
      </c>
      <c r="J355" s="12" t="s">
        <v>31</v>
      </c>
      <c r="K355" s="3" t="s">
        <v>28</v>
      </c>
      <c r="L355" s="10">
        <v>0.47986111111111113</v>
      </c>
      <c r="M355" s="3">
        <v>7</v>
      </c>
      <c r="N355" s="3">
        <v>7</v>
      </c>
      <c r="O355" s="3">
        <v>7</v>
      </c>
      <c r="P355" t="s">
        <v>22</v>
      </c>
      <c r="Q355" t="s">
        <v>46</v>
      </c>
      <c r="R355" s="1">
        <f t="shared" si="81"/>
        <v>44398</v>
      </c>
      <c r="S355" s="34">
        <f t="shared" ref="S355:S361" si="82">AVERAGE(M355:O355)</f>
        <v>7</v>
      </c>
      <c r="T355" s="39">
        <f>4820-4552</f>
        <v>268</v>
      </c>
      <c r="U355" s="57">
        <v>402.56666666666666</v>
      </c>
      <c r="V355" s="40"/>
      <c r="W355" s="67"/>
      <c r="X355" s="75"/>
      <c r="Y355" s="75"/>
      <c r="Z355" s="75"/>
      <c r="AA355" s="75"/>
      <c r="AB355" s="75"/>
      <c r="AC355" s="75"/>
      <c r="AD355" s="82"/>
    </row>
    <row r="356" spans="1:30" x14ac:dyDescent="0.2">
      <c r="A356" s="3" t="s">
        <v>21</v>
      </c>
      <c r="B356" s="1">
        <v>44398</v>
      </c>
      <c r="C356" s="3" t="s">
        <v>25</v>
      </c>
      <c r="D356" s="3" t="s">
        <v>35</v>
      </c>
      <c r="E356" s="3" t="s">
        <v>15</v>
      </c>
      <c r="F356" s="89">
        <v>14</v>
      </c>
      <c r="G356" s="10">
        <v>0.57638888888888895</v>
      </c>
      <c r="H356" s="10">
        <v>0.5986111111111112</v>
      </c>
      <c r="I356" s="3">
        <v>3</v>
      </c>
      <c r="J356" s="12" t="s">
        <v>31</v>
      </c>
      <c r="K356" s="3" t="s">
        <v>28</v>
      </c>
      <c r="L356" s="10">
        <v>0.60138888888888897</v>
      </c>
      <c r="M356" s="3">
        <v>7</v>
      </c>
      <c r="N356" s="3">
        <v>8</v>
      </c>
      <c r="O356" s="3">
        <v>9</v>
      </c>
      <c r="P356" t="s">
        <v>22</v>
      </c>
      <c r="Q356" t="s">
        <v>44</v>
      </c>
      <c r="R356" s="1">
        <f t="shared" si="81"/>
        <v>44398</v>
      </c>
      <c r="S356" s="34">
        <f t="shared" si="82"/>
        <v>8</v>
      </c>
      <c r="T356" s="37"/>
      <c r="U356" s="57"/>
      <c r="V356" s="38"/>
      <c r="W356" s="66"/>
      <c r="X356" s="74"/>
      <c r="Y356" s="74"/>
      <c r="Z356" s="74"/>
      <c r="AA356" s="74"/>
      <c r="AB356" s="74"/>
      <c r="AC356" s="74"/>
      <c r="AD356" s="81"/>
    </row>
    <row r="357" spans="1:30" x14ac:dyDescent="0.2">
      <c r="A357" s="3" t="s">
        <v>21</v>
      </c>
      <c r="B357" s="1">
        <v>44398</v>
      </c>
      <c r="C357" s="3" t="s">
        <v>25</v>
      </c>
      <c r="D357" s="3" t="s">
        <v>35</v>
      </c>
      <c r="E357" s="3" t="s">
        <v>15</v>
      </c>
      <c r="F357" s="89">
        <v>14</v>
      </c>
      <c r="G357" s="10">
        <v>0.64444444444444438</v>
      </c>
      <c r="H357" s="10">
        <v>0.67777777777777781</v>
      </c>
      <c r="I357" s="3">
        <v>3</v>
      </c>
      <c r="J357" s="12" t="s">
        <v>31</v>
      </c>
      <c r="K357" s="3" t="s">
        <v>28</v>
      </c>
      <c r="L357" s="10">
        <v>0.67986111111111114</v>
      </c>
      <c r="M357" s="3">
        <v>7</v>
      </c>
      <c r="N357" s="3">
        <v>7</v>
      </c>
      <c r="O357" s="3">
        <v>7</v>
      </c>
      <c r="P357" t="s">
        <v>22</v>
      </c>
      <c r="R357" s="1">
        <f t="shared" si="81"/>
        <v>44398</v>
      </c>
      <c r="S357" s="34">
        <f t="shared" si="82"/>
        <v>7</v>
      </c>
      <c r="T357" s="37"/>
      <c r="U357" s="57"/>
      <c r="V357" s="38"/>
      <c r="W357" s="66"/>
      <c r="X357" s="74"/>
      <c r="Y357" s="74"/>
      <c r="Z357" s="74"/>
      <c r="AA357" s="74"/>
      <c r="AB357" s="74"/>
      <c r="AC357" s="74"/>
      <c r="AD357" s="81"/>
    </row>
    <row r="358" spans="1:30" x14ac:dyDescent="0.2">
      <c r="A358" s="5" t="s">
        <v>21</v>
      </c>
      <c r="B358" s="6">
        <v>44398</v>
      </c>
      <c r="C358" s="5" t="s">
        <v>25</v>
      </c>
      <c r="D358" s="5" t="s">
        <v>35</v>
      </c>
      <c r="E358" s="5" t="s">
        <v>15</v>
      </c>
      <c r="F358" s="90">
        <v>14</v>
      </c>
      <c r="G358" s="11" t="s">
        <v>27</v>
      </c>
      <c r="H358" s="11">
        <v>0.12361111111111112</v>
      </c>
      <c r="I358" s="5">
        <v>3</v>
      </c>
      <c r="J358" s="13" t="s">
        <v>27</v>
      </c>
      <c r="K358" s="5" t="s">
        <v>28</v>
      </c>
      <c r="L358" s="11">
        <v>0.125</v>
      </c>
      <c r="M358" s="5">
        <v>3</v>
      </c>
      <c r="N358" s="5">
        <v>3</v>
      </c>
      <c r="O358" s="5">
        <v>4</v>
      </c>
      <c r="P358" s="7" t="s">
        <v>23</v>
      </c>
      <c r="Q358" s="7" t="s">
        <v>45</v>
      </c>
      <c r="R358" s="1">
        <f t="shared" si="81"/>
        <v>44398</v>
      </c>
      <c r="S358" s="34">
        <f>AVERAGE(M358:O358)</f>
        <v>3.3333333333333335</v>
      </c>
      <c r="T358" s="39">
        <f>4820-4562</f>
        <v>258</v>
      </c>
      <c r="U358" s="58"/>
      <c r="V358" s="40"/>
      <c r="W358" s="67"/>
      <c r="X358" s="75"/>
      <c r="Y358" s="75"/>
      <c r="Z358" s="75"/>
      <c r="AA358" s="75"/>
      <c r="AB358" s="75"/>
      <c r="AC358" s="75"/>
      <c r="AD358" s="82"/>
    </row>
    <row r="359" spans="1:30" x14ac:dyDescent="0.2">
      <c r="A359" s="5" t="s">
        <v>21</v>
      </c>
      <c r="B359" s="6">
        <v>44398</v>
      </c>
      <c r="C359" s="5" t="s">
        <v>25</v>
      </c>
      <c r="D359" s="5" t="s">
        <v>35</v>
      </c>
      <c r="E359" s="5" t="s">
        <v>15</v>
      </c>
      <c r="F359" s="90">
        <v>14</v>
      </c>
      <c r="G359" s="11" t="s">
        <v>27</v>
      </c>
      <c r="H359" s="11">
        <v>0.34027777777777773</v>
      </c>
      <c r="I359" s="5">
        <v>3</v>
      </c>
      <c r="J359" s="13" t="s">
        <v>29</v>
      </c>
      <c r="K359" s="5" t="s">
        <v>28</v>
      </c>
      <c r="L359" s="11">
        <v>0.34236111111111112</v>
      </c>
      <c r="M359" s="5">
        <v>5</v>
      </c>
      <c r="N359" s="5">
        <v>5</v>
      </c>
      <c r="O359" s="5">
        <v>6</v>
      </c>
      <c r="P359" s="7" t="s">
        <v>23</v>
      </c>
      <c r="Q359" s="7" t="s">
        <v>46</v>
      </c>
      <c r="R359" s="1">
        <f t="shared" si="81"/>
        <v>44398</v>
      </c>
      <c r="S359" s="34">
        <f t="shared" si="82"/>
        <v>5.333333333333333</v>
      </c>
      <c r="T359" s="37"/>
      <c r="U359" s="57"/>
      <c r="V359" s="38"/>
      <c r="W359" s="66"/>
      <c r="X359" s="74"/>
      <c r="Y359" s="74"/>
      <c r="Z359" s="74"/>
      <c r="AA359" s="74"/>
      <c r="AB359" s="74"/>
      <c r="AC359" s="74"/>
      <c r="AD359" s="81"/>
    </row>
    <row r="360" spans="1:30" x14ac:dyDescent="0.2">
      <c r="A360" s="5" t="s">
        <v>21</v>
      </c>
      <c r="B360" s="6">
        <v>44398</v>
      </c>
      <c r="C360" s="5" t="s">
        <v>25</v>
      </c>
      <c r="D360" s="5" t="s">
        <v>35</v>
      </c>
      <c r="E360" s="5" t="s">
        <v>15</v>
      </c>
      <c r="F360" s="90">
        <v>14</v>
      </c>
      <c r="G360" s="11" t="s">
        <v>27</v>
      </c>
      <c r="H360" s="11">
        <v>0.48402777777777778</v>
      </c>
      <c r="I360" s="5">
        <v>3</v>
      </c>
      <c r="J360" s="13" t="s">
        <v>31</v>
      </c>
      <c r="K360" s="5" t="s">
        <v>28</v>
      </c>
      <c r="L360" s="11">
        <v>0.4861111111111111</v>
      </c>
      <c r="M360" s="5">
        <v>13</v>
      </c>
      <c r="N360" s="5">
        <v>14</v>
      </c>
      <c r="O360" s="5">
        <v>17</v>
      </c>
      <c r="P360" s="7" t="s">
        <v>23</v>
      </c>
      <c r="Q360" s="7" t="s">
        <v>44</v>
      </c>
      <c r="R360" s="1">
        <f t="shared" si="81"/>
        <v>44398</v>
      </c>
      <c r="S360" s="34">
        <f t="shared" si="82"/>
        <v>14.666666666666666</v>
      </c>
      <c r="T360" s="39">
        <f>4820-4552</f>
        <v>268</v>
      </c>
      <c r="U360" s="57">
        <v>402.56666666666666</v>
      </c>
      <c r="V360" s="40"/>
      <c r="W360" s="67"/>
      <c r="X360" s="75"/>
      <c r="Y360" s="75"/>
      <c r="Z360" s="75"/>
      <c r="AA360" s="75"/>
      <c r="AB360" s="75"/>
      <c r="AC360" s="75"/>
      <c r="AD360" s="82"/>
    </row>
    <row r="361" spans="1:30" x14ac:dyDescent="0.2">
      <c r="A361" s="5" t="s">
        <v>21</v>
      </c>
      <c r="B361" s="6">
        <v>44398</v>
      </c>
      <c r="C361" s="5" t="s">
        <v>25</v>
      </c>
      <c r="D361" s="5" t="s">
        <v>35</v>
      </c>
      <c r="E361" s="5" t="s">
        <v>15</v>
      </c>
      <c r="F361" s="90">
        <v>14</v>
      </c>
      <c r="G361" s="11" t="s">
        <v>27</v>
      </c>
      <c r="H361" s="11">
        <v>0.60277777777777786</v>
      </c>
      <c r="I361" s="5">
        <v>3</v>
      </c>
      <c r="J361" s="13" t="s">
        <v>31</v>
      </c>
      <c r="K361" s="5" t="s">
        <v>28</v>
      </c>
      <c r="L361" s="11">
        <v>0.60555555555555562</v>
      </c>
      <c r="M361" s="5">
        <v>15</v>
      </c>
      <c r="N361" s="5">
        <v>16</v>
      </c>
      <c r="O361" s="5">
        <v>16</v>
      </c>
      <c r="P361" s="7" t="s">
        <v>23</v>
      </c>
      <c r="Q361" s="7"/>
      <c r="R361" s="1">
        <f t="shared" si="81"/>
        <v>44398</v>
      </c>
      <c r="S361" s="34">
        <f t="shared" si="82"/>
        <v>15.666666666666666</v>
      </c>
      <c r="T361" s="37"/>
      <c r="U361" s="57"/>
      <c r="V361" s="38"/>
      <c r="W361" s="66"/>
      <c r="X361" s="74"/>
      <c r="Y361" s="74"/>
      <c r="Z361" s="74"/>
      <c r="AA361" s="74"/>
      <c r="AB361" s="74"/>
      <c r="AC361" s="74"/>
      <c r="AD361" s="81"/>
    </row>
    <row r="362" spans="1:30" x14ac:dyDescent="0.2">
      <c r="A362" s="5" t="s">
        <v>21</v>
      </c>
      <c r="B362" s="6">
        <v>44398</v>
      </c>
      <c r="C362" s="5" t="s">
        <v>25</v>
      </c>
      <c r="D362" s="5" t="s">
        <v>35</v>
      </c>
      <c r="E362" s="5" t="s">
        <v>15</v>
      </c>
      <c r="F362" s="90">
        <v>14</v>
      </c>
      <c r="G362" s="11" t="s">
        <v>27</v>
      </c>
      <c r="H362" s="11">
        <v>0.6840277777777779</v>
      </c>
      <c r="I362" s="5">
        <v>3</v>
      </c>
      <c r="J362" s="13" t="s">
        <v>31</v>
      </c>
      <c r="K362" s="5" t="s">
        <v>28</v>
      </c>
      <c r="L362" s="11">
        <v>0.68541666666666667</v>
      </c>
      <c r="M362" s="5">
        <v>14</v>
      </c>
      <c r="N362" s="5">
        <v>18</v>
      </c>
      <c r="O362" s="5">
        <v>19</v>
      </c>
      <c r="P362" s="7" t="s">
        <v>23</v>
      </c>
      <c r="Q362" s="7"/>
      <c r="R362" s="1">
        <f t="shared" si="81"/>
        <v>44398</v>
      </c>
      <c r="S362" s="34">
        <f>AVERAGE(M362:O362)</f>
        <v>17</v>
      </c>
      <c r="T362" s="37"/>
      <c r="U362" s="57"/>
      <c r="V362" s="38"/>
      <c r="W362" s="66"/>
      <c r="X362" s="74"/>
      <c r="Y362" s="74"/>
      <c r="Z362" s="74"/>
      <c r="AA362" s="74"/>
      <c r="AB362" s="74"/>
      <c r="AC362" s="74"/>
      <c r="AD362" s="81"/>
    </row>
    <row r="363" spans="1:30" x14ac:dyDescent="0.2">
      <c r="A363" s="8"/>
      <c r="B363" s="17"/>
      <c r="C363" s="8"/>
      <c r="D363" s="8"/>
      <c r="E363" s="8"/>
      <c r="F363" s="91"/>
      <c r="G363" s="15"/>
      <c r="H363" s="15"/>
      <c r="I363" s="8"/>
      <c r="J363" s="16"/>
      <c r="K363" s="8"/>
      <c r="L363" s="15"/>
      <c r="M363" s="8"/>
      <c r="N363" s="8"/>
      <c r="O363" s="8"/>
      <c r="P363" s="9"/>
      <c r="Q363" s="9"/>
      <c r="T363" s="37"/>
      <c r="U363" s="57"/>
      <c r="V363" s="38"/>
      <c r="W363" s="66"/>
      <c r="X363" s="74"/>
      <c r="Y363" s="74"/>
      <c r="Z363" s="74"/>
      <c r="AA363" s="74"/>
      <c r="AB363" s="74"/>
      <c r="AC363" s="74"/>
      <c r="AD363" s="81"/>
    </row>
    <row r="364" spans="1:30" x14ac:dyDescent="0.2">
      <c r="A364" s="3" t="s">
        <v>21</v>
      </c>
      <c r="B364" s="1">
        <v>44434</v>
      </c>
      <c r="C364" s="3" t="s">
        <v>25</v>
      </c>
      <c r="D364" s="3" t="s">
        <v>51</v>
      </c>
      <c r="E364" s="3" t="s">
        <v>15</v>
      </c>
      <c r="F364" s="89">
        <v>14</v>
      </c>
      <c r="G364" s="10">
        <v>0.3125</v>
      </c>
      <c r="H364" s="10">
        <v>0.47500000000000003</v>
      </c>
      <c r="I364" s="3">
        <v>3.5</v>
      </c>
      <c r="J364" s="12" t="s">
        <v>30</v>
      </c>
      <c r="K364" s="3" t="s">
        <v>28</v>
      </c>
      <c r="L364" s="10">
        <v>0.4777777777777778</v>
      </c>
      <c r="M364" s="3">
        <v>16</v>
      </c>
      <c r="N364" s="3">
        <v>16</v>
      </c>
      <c r="O364" s="3">
        <v>16</v>
      </c>
      <c r="P364" t="s">
        <v>22</v>
      </c>
      <c r="Q364" t="s">
        <v>52</v>
      </c>
      <c r="R364" s="1">
        <f t="shared" ref="R364:R368" si="83">B364</f>
        <v>44434</v>
      </c>
      <c r="S364" s="34">
        <f>AVERAGE(M364:O364)</f>
        <v>16</v>
      </c>
      <c r="T364" s="39">
        <f>4820-4485</f>
        <v>335</v>
      </c>
      <c r="U364" s="57">
        <v>423.5</v>
      </c>
      <c r="V364" s="40"/>
      <c r="W364" s="67"/>
      <c r="X364" s="75"/>
      <c r="Y364" s="75"/>
      <c r="Z364" s="75"/>
      <c r="AA364" s="75"/>
      <c r="AB364" s="75"/>
      <c r="AC364" s="75"/>
      <c r="AD364" s="82"/>
    </row>
    <row r="365" spans="1:30" x14ac:dyDescent="0.2">
      <c r="A365" s="3" t="s">
        <v>21</v>
      </c>
      <c r="B365" s="1">
        <v>44434</v>
      </c>
      <c r="C365" s="3" t="s">
        <v>25</v>
      </c>
      <c r="D365" s="3" t="s">
        <v>51</v>
      </c>
      <c r="E365" s="3" t="s">
        <v>15</v>
      </c>
      <c r="F365" s="89">
        <v>14</v>
      </c>
      <c r="G365" s="10">
        <v>0.57361111111111118</v>
      </c>
      <c r="H365" s="10">
        <v>0.59305555555555556</v>
      </c>
      <c r="I365" s="3">
        <v>3.5</v>
      </c>
      <c r="J365" s="12" t="s">
        <v>30</v>
      </c>
      <c r="K365" s="3" t="s">
        <v>28</v>
      </c>
      <c r="L365" s="10">
        <v>0.59583333333333333</v>
      </c>
      <c r="M365" s="3">
        <v>19</v>
      </c>
      <c r="N365" s="3">
        <v>20</v>
      </c>
      <c r="O365" s="3">
        <v>21</v>
      </c>
      <c r="P365" t="s">
        <v>22</v>
      </c>
      <c r="R365" s="1">
        <f t="shared" si="83"/>
        <v>44434</v>
      </c>
      <c r="S365" s="34">
        <f>AVERAGE(M365:O365)</f>
        <v>20</v>
      </c>
      <c r="T365" s="37"/>
      <c r="U365" s="57"/>
      <c r="V365" s="38"/>
      <c r="W365" s="66"/>
      <c r="X365" s="74"/>
      <c r="Y365" s="74"/>
      <c r="Z365" s="74"/>
      <c r="AA365" s="74"/>
      <c r="AB365" s="74"/>
      <c r="AC365" s="74"/>
      <c r="AD365" s="81"/>
    </row>
    <row r="366" spans="1:30" x14ac:dyDescent="0.2">
      <c r="A366" s="5" t="s">
        <v>21</v>
      </c>
      <c r="B366" s="6">
        <v>44434</v>
      </c>
      <c r="C366" s="5" t="s">
        <v>25</v>
      </c>
      <c r="D366" s="5" t="s">
        <v>51</v>
      </c>
      <c r="E366" s="5" t="s">
        <v>15</v>
      </c>
      <c r="F366" s="90">
        <v>14</v>
      </c>
      <c r="G366" s="11" t="s">
        <v>27</v>
      </c>
      <c r="H366" s="11">
        <v>0.12361111111111112</v>
      </c>
      <c r="I366" s="5">
        <v>3.5</v>
      </c>
      <c r="J366" s="13" t="s">
        <v>27</v>
      </c>
      <c r="K366" s="5" t="s">
        <v>28</v>
      </c>
      <c r="L366" s="11">
        <v>0.12638888888888888</v>
      </c>
      <c r="M366" s="5">
        <v>7</v>
      </c>
      <c r="N366" s="5">
        <v>7</v>
      </c>
      <c r="O366" s="5">
        <v>8</v>
      </c>
      <c r="P366" s="7" t="s">
        <v>23</v>
      </c>
      <c r="Q366" s="7"/>
      <c r="R366" s="1">
        <f t="shared" si="83"/>
        <v>44434</v>
      </c>
      <c r="S366" s="34">
        <f>AVERAGE(M366:O366)</f>
        <v>7.333333333333333</v>
      </c>
      <c r="T366" s="39">
        <f>4820-4525</f>
        <v>295</v>
      </c>
      <c r="U366" s="58"/>
      <c r="V366" s="40"/>
      <c r="W366" s="67"/>
      <c r="X366" s="75"/>
      <c r="Y366" s="75"/>
      <c r="Z366" s="75"/>
      <c r="AA366" s="75"/>
      <c r="AB366" s="75"/>
      <c r="AC366" s="75"/>
      <c r="AD366" s="82"/>
    </row>
    <row r="367" spans="1:30" x14ac:dyDescent="0.2">
      <c r="A367" s="5" t="s">
        <v>21</v>
      </c>
      <c r="B367" s="6">
        <v>44434</v>
      </c>
      <c r="C367" s="5" t="s">
        <v>25</v>
      </c>
      <c r="D367" s="5" t="s">
        <v>51</v>
      </c>
      <c r="E367" s="5" t="s">
        <v>15</v>
      </c>
      <c r="F367" s="90">
        <v>14</v>
      </c>
      <c r="G367" s="11" t="s">
        <v>27</v>
      </c>
      <c r="H367" s="11">
        <v>0.48055555555555557</v>
      </c>
      <c r="I367" s="5">
        <v>3.5</v>
      </c>
      <c r="J367" s="13" t="s">
        <v>30</v>
      </c>
      <c r="K367" s="5" t="s">
        <v>28</v>
      </c>
      <c r="L367" s="11">
        <v>0.48333333333333334</v>
      </c>
      <c r="M367" s="5">
        <v>24</v>
      </c>
      <c r="N367" s="5">
        <v>24</v>
      </c>
      <c r="O367" s="5">
        <v>26</v>
      </c>
      <c r="P367" s="7" t="s">
        <v>23</v>
      </c>
      <c r="Q367" s="7" t="s">
        <v>52</v>
      </c>
      <c r="R367" s="1">
        <f t="shared" si="83"/>
        <v>44434</v>
      </c>
      <c r="S367" s="34">
        <f t="shared" ref="S367:S381" si="84">AVERAGE(M367:O367)</f>
        <v>24.666666666666668</v>
      </c>
      <c r="T367" s="39">
        <f>4820-4485</f>
        <v>335</v>
      </c>
      <c r="U367" s="57">
        <v>423.5</v>
      </c>
      <c r="V367" s="40"/>
      <c r="W367" s="67"/>
      <c r="X367" s="75"/>
      <c r="Y367" s="75"/>
      <c r="Z367" s="75"/>
      <c r="AA367" s="75"/>
      <c r="AB367" s="75"/>
      <c r="AC367" s="75"/>
      <c r="AD367" s="82"/>
    </row>
    <row r="368" spans="1:30" x14ac:dyDescent="0.2">
      <c r="A368" s="5" t="s">
        <v>21</v>
      </c>
      <c r="B368" s="6">
        <v>44434</v>
      </c>
      <c r="C368" s="5" t="s">
        <v>25</v>
      </c>
      <c r="D368" s="5" t="s">
        <v>51</v>
      </c>
      <c r="E368" s="5" t="s">
        <v>15</v>
      </c>
      <c r="F368" s="90">
        <v>14</v>
      </c>
      <c r="G368" s="11" t="s">
        <v>27</v>
      </c>
      <c r="H368" s="11">
        <v>0.59791666666666665</v>
      </c>
      <c r="I368" s="5">
        <v>3.5</v>
      </c>
      <c r="J368" s="13" t="s">
        <v>30</v>
      </c>
      <c r="K368" s="5" t="s">
        <v>28</v>
      </c>
      <c r="L368" s="11">
        <v>0.6020833333333333</v>
      </c>
      <c r="M368" s="5">
        <v>22</v>
      </c>
      <c r="N368" s="5">
        <v>26</v>
      </c>
      <c r="O368" s="5">
        <v>26</v>
      </c>
      <c r="P368" s="7" t="s">
        <v>23</v>
      </c>
      <c r="Q368" s="7"/>
      <c r="R368" s="1">
        <f t="shared" si="83"/>
        <v>44434</v>
      </c>
      <c r="S368" s="34">
        <f t="shared" si="84"/>
        <v>24.666666666666668</v>
      </c>
      <c r="T368" s="37"/>
      <c r="U368" s="57"/>
      <c r="V368" s="38"/>
      <c r="W368" s="66"/>
      <c r="X368" s="74"/>
      <c r="Y368" s="74"/>
      <c r="Z368" s="74"/>
      <c r="AA368" s="74"/>
      <c r="AB368" s="74"/>
      <c r="AC368" s="74"/>
      <c r="AD368" s="81"/>
    </row>
    <row r="369" spans="1:31" x14ac:dyDescent="0.2">
      <c r="A369" s="8"/>
      <c r="B369" s="17"/>
      <c r="C369" s="8"/>
      <c r="D369" s="8"/>
      <c r="E369" s="8"/>
      <c r="F369" s="91"/>
      <c r="G369" s="8"/>
      <c r="H369" s="8"/>
      <c r="I369" s="8"/>
      <c r="J369" s="8"/>
      <c r="K369" s="8"/>
      <c r="L369" s="8"/>
      <c r="M369" s="8"/>
      <c r="N369" s="8"/>
      <c r="O369" s="8"/>
      <c r="P369" s="9"/>
      <c r="Q369" s="9"/>
      <c r="S369" s="34"/>
      <c r="T369" s="37"/>
      <c r="U369" s="57"/>
      <c r="V369" s="38"/>
      <c r="W369" s="66"/>
      <c r="X369" s="74"/>
      <c r="Y369" s="74"/>
      <c r="Z369" s="74"/>
      <c r="AA369" s="74"/>
      <c r="AB369" s="74"/>
      <c r="AC369" s="74"/>
      <c r="AD369" s="81"/>
    </row>
    <row r="370" spans="1:31" x14ac:dyDescent="0.2">
      <c r="A370" s="3" t="s">
        <v>21</v>
      </c>
      <c r="B370" s="1">
        <v>44446</v>
      </c>
      <c r="C370" s="3" t="s">
        <v>25</v>
      </c>
      <c r="D370" s="3" t="s">
        <v>25</v>
      </c>
      <c r="E370" s="3" t="s">
        <v>15</v>
      </c>
      <c r="F370" s="89">
        <v>14</v>
      </c>
      <c r="G370" s="10">
        <v>0.44791666666666669</v>
      </c>
      <c r="H370" s="10">
        <v>0.4826388888888889</v>
      </c>
      <c r="I370" s="3">
        <v>3.5</v>
      </c>
      <c r="J370" s="12" t="s">
        <v>30</v>
      </c>
      <c r="K370" s="3" t="s">
        <v>28</v>
      </c>
      <c r="L370" s="10">
        <v>0.48402777777777778</v>
      </c>
      <c r="M370" s="3">
        <v>26</v>
      </c>
      <c r="N370" s="3">
        <v>27</v>
      </c>
      <c r="O370" s="3">
        <v>27</v>
      </c>
      <c r="P370" t="s">
        <v>22</v>
      </c>
      <c r="Q370" t="s">
        <v>54</v>
      </c>
      <c r="R370" s="1">
        <f t="shared" ref="R370:R374" si="85">B370</f>
        <v>44446</v>
      </c>
      <c r="S370" s="34">
        <f t="shared" si="84"/>
        <v>26.666666666666668</v>
      </c>
      <c r="T370" s="39">
        <f>4820-4383</f>
        <v>437</v>
      </c>
      <c r="U370" s="57">
        <v>179.05</v>
      </c>
      <c r="V370" s="40"/>
      <c r="W370" s="67"/>
      <c r="X370" s="75"/>
      <c r="Y370" s="75"/>
      <c r="Z370" s="75"/>
      <c r="AA370" s="75"/>
      <c r="AB370" s="75"/>
      <c r="AC370" s="75"/>
      <c r="AD370" s="82"/>
    </row>
    <row r="371" spans="1:31" x14ac:dyDescent="0.2">
      <c r="A371" s="3" t="s">
        <v>21</v>
      </c>
      <c r="B371" s="1">
        <v>44446</v>
      </c>
      <c r="C371" s="3" t="s">
        <v>25</v>
      </c>
      <c r="D371" s="3" t="s">
        <v>25</v>
      </c>
      <c r="E371" s="3" t="s">
        <v>15</v>
      </c>
      <c r="F371" s="89">
        <v>14</v>
      </c>
      <c r="G371" s="10">
        <v>0.56597222222222221</v>
      </c>
      <c r="H371" s="10">
        <v>0.59722222222222221</v>
      </c>
      <c r="I371" s="3">
        <v>3.5</v>
      </c>
      <c r="J371" s="12" t="s">
        <v>30</v>
      </c>
      <c r="K371" s="3" t="s">
        <v>28</v>
      </c>
      <c r="L371" s="10">
        <v>0.59930555555555554</v>
      </c>
      <c r="M371" s="3">
        <v>27</v>
      </c>
      <c r="N371" s="3">
        <v>27</v>
      </c>
      <c r="O371" s="3">
        <v>27</v>
      </c>
      <c r="P371" t="s">
        <v>22</v>
      </c>
      <c r="R371" s="1">
        <f t="shared" si="85"/>
        <v>44446</v>
      </c>
      <c r="S371" s="34">
        <f t="shared" si="84"/>
        <v>27</v>
      </c>
      <c r="T371" s="37"/>
      <c r="U371" s="57"/>
      <c r="V371" s="38"/>
      <c r="W371" s="66"/>
      <c r="X371" s="74"/>
      <c r="Y371" s="74"/>
      <c r="Z371" s="74"/>
      <c r="AA371" s="74"/>
      <c r="AB371" s="74"/>
      <c r="AC371" s="74"/>
      <c r="AD371" s="81"/>
    </row>
    <row r="372" spans="1:31" x14ac:dyDescent="0.2">
      <c r="A372" s="5" t="s">
        <v>21</v>
      </c>
      <c r="B372" s="6">
        <v>44446</v>
      </c>
      <c r="C372" s="5" t="s">
        <v>25</v>
      </c>
      <c r="D372" s="5" t="s">
        <v>25</v>
      </c>
      <c r="E372" s="5" t="s">
        <v>15</v>
      </c>
      <c r="F372" s="90">
        <v>14</v>
      </c>
      <c r="G372" s="11" t="s">
        <v>27</v>
      </c>
      <c r="H372" s="11">
        <v>0.18958333333333333</v>
      </c>
      <c r="I372" s="5">
        <v>3.5</v>
      </c>
      <c r="J372" s="13" t="s">
        <v>27</v>
      </c>
      <c r="K372" s="5" t="s">
        <v>28</v>
      </c>
      <c r="L372" s="11">
        <v>0.19097222222222221</v>
      </c>
      <c r="M372" s="5">
        <v>16</v>
      </c>
      <c r="N372" s="5">
        <v>17</v>
      </c>
      <c r="O372" s="5">
        <v>18</v>
      </c>
      <c r="P372" s="7" t="s">
        <v>23</v>
      </c>
      <c r="Q372" s="7"/>
      <c r="R372" s="1">
        <f t="shared" si="85"/>
        <v>44446</v>
      </c>
      <c r="S372" s="34">
        <f t="shared" si="84"/>
        <v>17</v>
      </c>
      <c r="T372" s="39">
        <f>4820-4428</f>
        <v>392</v>
      </c>
      <c r="U372" s="58"/>
      <c r="V372" s="40"/>
      <c r="W372" s="67"/>
      <c r="X372" s="75"/>
      <c r="Y372" s="75"/>
      <c r="Z372" s="75"/>
      <c r="AA372" s="75"/>
      <c r="AB372" s="75"/>
      <c r="AC372" s="75"/>
      <c r="AD372" s="82"/>
    </row>
    <row r="373" spans="1:31" x14ac:dyDescent="0.2">
      <c r="A373" s="5" t="s">
        <v>21</v>
      </c>
      <c r="B373" s="6">
        <v>44446</v>
      </c>
      <c r="C373" s="5" t="s">
        <v>25</v>
      </c>
      <c r="D373" s="5" t="s">
        <v>25</v>
      </c>
      <c r="E373" s="5" t="s">
        <v>15</v>
      </c>
      <c r="F373" s="90">
        <v>14</v>
      </c>
      <c r="G373" s="11" t="s">
        <v>27</v>
      </c>
      <c r="H373" s="11">
        <v>0.47916666666666669</v>
      </c>
      <c r="I373" s="5">
        <v>3.5</v>
      </c>
      <c r="J373" s="13" t="s">
        <v>30</v>
      </c>
      <c r="K373" s="5" t="s">
        <v>28</v>
      </c>
      <c r="L373" s="11">
        <v>0.48055555555555557</v>
      </c>
      <c r="M373" s="5">
        <v>29</v>
      </c>
      <c r="N373" s="5">
        <v>29</v>
      </c>
      <c r="O373" s="5">
        <v>30</v>
      </c>
      <c r="P373" s="7" t="s">
        <v>23</v>
      </c>
      <c r="Q373" s="7" t="s">
        <v>54</v>
      </c>
      <c r="R373" s="1">
        <f t="shared" si="85"/>
        <v>44446</v>
      </c>
      <c r="S373" s="34">
        <f t="shared" si="84"/>
        <v>29.333333333333332</v>
      </c>
      <c r="T373" s="39">
        <f>4820-4383</f>
        <v>437</v>
      </c>
      <c r="U373" s="57">
        <v>179.05</v>
      </c>
      <c r="V373" s="40"/>
      <c r="W373" s="67"/>
      <c r="X373" s="75"/>
      <c r="Y373" s="75"/>
      <c r="Z373" s="75"/>
      <c r="AA373" s="75"/>
      <c r="AB373" s="75"/>
      <c r="AC373" s="75"/>
      <c r="AD373" s="82"/>
    </row>
    <row r="374" spans="1:31" x14ac:dyDescent="0.2">
      <c r="A374" s="5" t="s">
        <v>21</v>
      </c>
      <c r="B374" s="6">
        <v>44446</v>
      </c>
      <c r="C374" s="5" t="s">
        <v>25</v>
      </c>
      <c r="D374" s="5" t="s">
        <v>25</v>
      </c>
      <c r="E374" s="5" t="s">
        <v>15</v>
      </c>
      <c r="F374" s="90">
        <v>14</v>
      </c>
      <c r="G374" s="11" t="s">
        <v>27</v>
      </c>
      <c r="H374" s="11">
        <v>0.59583333333333333</v>
      </c>
      <c r="I374" s="5">
        <v>3.5</v>
      </c>
      <c r="J374" s="13" t="s">
        <v>30</v>
      </c>
      <c r="K374" s="5" t="s">
        <v>28</v>
      </c>
      <c r="L374" s="11">
        <v>0.59722222222222221</v>
      </c>
      <c r="M374" s="5">
        <v>28</v>
      </c>
      <c r="N374" s="5">
        <v>29</v>
      </c>
      <c r="O374" s="5">
        <v>30</v>
      </c>
      <c r="P374" s="7" t="s">
        <v>23</v>
      </c>
      <c r="Q374" s="7"/>
      <c r="R374" s="1">
        <f t="shared" si="85"/>
        <v>44446</v>
      </c>
      <c r="S374" s="34">
        <f t="shared" si="84"/>
        <v>29</v>
      </c>
      <c r="T374" s="37"/>
      <c r="U374" s="57"/>
      <c r="V374" s="38"/>
      <c r="W374" s="66"/>
      <c r="X374" s="74"/>
      <c r="Y374" s="74"/>
      <c r="Z374" s="74"/>
      <c r="AA374" s="74"/>
      <c r="AB374" s="74"/>
      <c r="AC374" s="74"/>
      <c r="AD374" s="81"/>
      <c r="AE374" s="18"/>
    </row>
    <row r="375" spans="1:31" x14ac:dyDescent="0.2">
      <c r="A375" s="8"/>
      <c r="B375" s="17"/>
      <c r="C375" s="8"/>
      <c r="D375" s="8"/>
      <c r="E375" s="8"/>
      <c r="F375" s="91"/>
      <c r="G375" s="15"/>
      <c r="H375" s="15"/>
      <c r="I375" s="8"/>
      <c r="J375" s="16"/>
      <c r="K375" s="8"/>
      <c r="L375" s="15"/>
      <c r="M375" s="8"/>
      <c r="N375" s="8"/>
      <c r="O375" s="8"/>
      <c r="P375" s="9"/>
      <c r="Q375" s="9"/>
      <c r="T375" s="37"/>
      <c r="U375" s="57"/>
      <c r="V375" s="38"/>
      <c r="W375" s="66"/>
      <c r="X375" s="74"/>
      <c r="Y375" s="74"/>
      <c r="Z375" s="74"/>
      <c r="AA375" s="74"/>
      <c r="AB375" s="74"/>
      <c r="AC375" s="74"/>
      <c r="AD375" s="81"/>
      <c r="AE375" s="18"/>
    </row>
    <row r="376" spans="1:31" x14ac:dyDescent="0.2">
      <c r="A376" s="3" t="s">
        <v>21</v>
      </c>
      <c r="B376" s="1">
        <v>44726</v>
      </c>
      <c r="C376" s="3" t="s">
        <v>25</v>
      </c>
      <c r="D376" s="3" t="s">
        <v>26</v>
      </c>
      <c r="E376" s="3" t="s">
        <v>15</v>
      </c>
      <c r="F376" s="89">
        <v>14</v>
      </c>
      <c r="G376" s="10">
        <v>0.3125</v>
      </c>
      <c r="H376" s="10">
        <v>0.3347222222222222</v>
      </c>
      <c r="I376" s="3">
        <v>4</v>
      </c>
      <c r="J376" s="3" t="s">
        <v>30</v>
      </c>
      <c r="K376" s="3" t="s">
        <v>28</v>
      </c>
      <c r="L376" s="10">
        <v>0.3354166666666667</v>
      </c>
      <c r="M376" s="3">
        <v>18</v>
      </c>
      <c r="N376" s="3">
        <v>18</v>
      </c>
      <c r="O376" s="3">
        <v>19</v>
      </c>
      <c r="P376" t="s">
        <v>22</v>
      </c>
      <c r="R376" s="1">
        <f t="shared" ref="R376:R381" si="86">B376</f>
        <v>44726</v>
      </c>
      <c r="S376" s="34">
        <f t="shared" si="84"/>
        <v>18.333333333333332</v>
      </c>
      <c r="T376" s="37"/>
      <c r="U376" s="57"/>
      <c r="V376" s="38"/>
      <c r="W376" s="66"/>
      <c r="X376" s="74"/>
      <c r="Y376" s="74"/>
      <c r="Z376" s="74"/>
      <c r="AA376" s="74"/>
      <c r="AB376" s="74"/>
      <c r="AC376" s="74"/>
      <c r="AD376" s="81"/>
      <c r="AE376" s="18"/>
    </row>
    <row r="377" spans="1:31" x14ac:dyDescent="0.2">
      <c r="A377" s="3" t="s">
        <v>21</v>
      </c>
      <c r="B377" s="1">
        <v>44726</v>
      </c>
      <c r="C377" s="3" t="s">
        <v>25</v>
      </c>
      <c r="D377" s="3" t="s">
        <v>26</v>
      </c>
      <c r="E377" s="3" t="s">
        <v>15</v>
      </c>
      <c r="F377" s="89">
        <v>14</v>
      </c>
      <c r="G377" s="10">
        <v>0.4513888888888889</v>
      </c>
      <c r="H377" s="10">
        <v>0.47916666666666669</v>
      </c>
      <c r="I377" s="3">
        <v>4</v>
      </c>
      <c r="J377" s="3" t="s">
        <v>30</v>
      </c>
      <c r="K377" s="3" t="s">
        <v>28</v>
      </c>
      <c r="L377" s="10">
        <v>0.47986111111111113</v>
      </c>
      <c r="M377" s="3">
        <v>23</v>
      </c>
      <c r="N377" s="3">
        <v>25</v>
      </c>
      <c r="O377" s="3">
        <v>25</v>
      </c>
      <c r="P377" t="s">
        <v>22</v>
      </c>
      <c r="R377" s="1">
        <f t="shared" si="86"/>
        <v>44726</v>
      </c>
      <c r="S377" s="34">
        <f t="shared" si="84"/>
        <v>24.333333333333332</v>
      </c>
      <c r="T377" s="37">
        <f>5170-4760</f>
        <v>410</v>
      </c>
      <c r="U377" s="57">
        <v>62.500000000000007</v>
      </c>
      <c r="V377" s="38"/>
      <c r="W377" s="66"/>
      <c r="X377" s="74"/>
      <c r="Y377" s="74"/>
      <c r="Z377" s="74"/>
      <c r="AA377" s="74"/>
      <c r="AB377" s="74"/>
      <c r="AC377" s="74"/>
      <c r="AD377" s="81"/>
    </row>
    <row r="378" spans="1:31" x14ac:dyDescent="0.2">
      <c r="A378" s="3" t="s">
        <v>21</v>
      </c>
      <c r="B378" s="1">
        <v>44726</v>
      </c>
      <c r="C378" s="3" t="s">
        <v>25</v>
      </c>
      <c r="D378" s="3" t="s">
        <v>26</v>
      </c>
      <c r="E378" s="3" t="s">
        <v>15</v>
      </c>
      <c r="F378" s="89">
        <v>14</v>
      </c>
      <c r="G378" s="10">
        <v>0.57986111111111105</v>
      </c>
      <c r="H378" s="10">
        <v>0.60416666666666663</v>
      </c>
      <c r="I378" s="3">
        <v>4</v>
      </c>
      <c r="J378" s="3" t="s">
        <v>30</v>
      </c>
      <c r="K378" s="3" t="s">
        <v>28</v>
      </c>
      <c r="L378" s="10">
        <v>0.60486111111111118</v>
      </c>
      <c r="M378" s="3">
        <v>25</v>
      </c>
      <c r="N378" s="3">
        <v>26</v>
      </c>
      <c r="O378" s="3">
        <v>26</v>
      </c>
      <c r="P378" t="s">
        <v>22</v>
      </c>
      <c r="R378" s="1">
        <f t="shared" si="86"/>
        <v>44726</v>
      </c>
      <c r="S378" s="34">
        <f>AVERAGE(M378:O378)</f>
        <v>25.666666666666668</v>
      </c>
      <c r="T378" s="37"/>
      <c r="U378" s="57"/>
      <c r="V378" s="38"/>
      <c r="W378" s="66"/>
      <c r="X378" s="74"/>
      <c r="Y378" s="74"/>
      <c r="Z378" s="74"/>
      <c r="AA378" s="74"/>
      <c r="AB378" s="74"/>
      <c r="AC378" s="74"/>
      <c r="AD378" s="81"/>
      <c r="AE378" s="18"/>
    </row>
    <row r="379" spans="1:31" x14ac:dyDescent="0.2">
      <c r="A379" s="5" t="s">
        <v>21</v>
      </c>
      <c r="B379" s="6">
        <v>44726</v>
      </c>
      <c r="C379" s="5" t="s">
        <v>25</v>
      </c>
      <c r="D379" s="5" t="s">
        <v>26</v>
      </c>
      <c r="E379" s="5" t="s">
        <v>15</v>
      </c>
      <c r="F379" s="90">
        <v>14</v>
      </c>
      <c r="G379" s="11" t="s">
        <v>27</v>
      </c>
      <c r="H379" s="11">
        <v>0.11458333333333333</v>
      </c>
      <c r="I379" s="5">
        <v>4</v>
      </c>
      <c r="J379" s="5" t="s">
        <v>27</v>
      </c>
      <c r="K379" s="5" t="s">
        <v>28</v>
      </c>
      <c r="L379" s="11">
        <v>0.11527777777777777</v>
      </c>
      <c r="M379" s="5">
        <v>17</v>
      </c>
      <c r="N379" s="5">
        <v>17</v>
      </c>
      <c r="O379" s="5">
        <v>17</v>
      </c>
      <c r="P379" s="7" t="s">
        <v>23</v>
      </c>
      <c r="Q379" s="7"/>
      <c r="R379" s="1">
        <f t="shared" si="86"/>
        <v>44726</v>
      </c>
      <c r="S379" s="34">
        <f t="shared" si="84"/>
        <v>17</v>
      </c>
      <c r="T379" s="37">
        <f>5170-4820</f>
        <v>350</v>
      </c>
      <c r="U379" s="57"/>
      <c r="V379" s="38"/>
      <c r="W379" s="66"/>
      <c r="X379" s="74"/>
      <c r="Y379" s="74"/>
      <c r="Z379" s="74"/>
      <c r="AA379" s="74"/>
      <c r="AB379" s="74"/>
      <c r="AC379" s="74"/>
      <c r="AD379" s="81"/>
      <c r="AE379" s="18"/>
    </row>
    <row r="380" spans="1:31" x14ac:dyDescent="0.2">
      <c r="A380" s="5" t="s">
        <v>21</v>
      </c>
      <c r="B380" s="6">
        <v>44726</v>
      </c>
      <c r="C380" s="5" t="s">
        <v>25</v>
      </c>
      <c r="D380" s="5" t="s">
        <v>26</v>
      </c>
      <c r="E380" s="5" t="s">
        <v>15</v>
      </c>
      <c r="F380" s="90">
        <v>14</v>
      </c>
      <c r="G380" s="11" t="s">
        <v>27</v>
      </c>
      <c r="H380" s="11">
        <v>0.33333333333333331</v>
      </c>
      <c r="I380" s="5">
        <v>4</v>
      </c>
      <c r="J380" s="5" t="s">
        <v>30</v>
      </c>
      <c r="K380" s="5" t="s">
        <v>28</v>
      </c>
      <c r="L380" s="11">
        <v>0.33402777777777781</v>
      </c>
      <c r="M380" s="5">
        <v>22</v>
      </c>
      <c r="N380" s="5">
        <v>23</v>
      </c>
      <c r="O380" s="5">
        <v>23</v>
      </c>
      <c r="P380" s="7" t="s">
        <v>23</v>
      </c>
      <c r="Q380" s="7"/>
      <c r="R380" s="1">
        <f t="shared" si="86"/>
        <v>44726</v>
      </c>
      <c r="S380" s="34">
        <f t="shared" si="84"/>
        <v>22.666666666666668</v>
      </c>
      <c r="T380" s="37"/>
      <c r="U380" s="57"/>
      <c r="V380" s="38"/>
      <c r="W380" s="66"/>
      <c r="X380" s="74"/>
      <c r="Y380" s="74"/>
      <c r="Z380" s="74"/>
      <c r="AA380" s="74"/>
      <c r="AB380" s="74"/>
      <c r="AC380" s="74"/>
      <c r="AD380" s="81"/>
      <c r="AE380" s="18"/>
    </row>
    <row r="381" spans="1:31" x14ac:dyDescent="0.2">
      <c r="A381" s="5" t="s">
        <v>21</v>
      </c>
      <c r="B381" s="6">
        <v>44726</v>
      </c>
      <c r="C381" s="5" t="s">
        <v>25</v>
      </c>
      <c r="D381" s="5" t="s">
        <v>26</v>
      </c>
      <c r="E381" s="5" t="s">
        <v>15</v>
      </c>
      <c r="F381" s="90">
        <v>14</v>
      </c>
      <c r="G381" s="11" t="s">
        <v>27</v>
      </c>
      <c r="H381" s="11">
        <v>0.48333333333333334</v>
      </c>
      <c r="I381" s="5">
        <v>4</v>
      </c>
      <c r="J381" s="5" t="s">
        <v>30</v>
      </c>
      <c r="K381" s="5" t="s">
        <v>28</v>
      </c>
      <c r="L381" s="11">
        <v>0.48402777777777778</v>
      </c>
      <c r="M381" s="5">
        <v>26</v>
      </c>
      <c r="N381" s="5">
        <v>26</v>
      </c>
      <c r="O381" s="5">
        <v>27</v>
      </c>
      <c r="P381" s="7" t="s">
        <v>23</v>
      </c>
      <c r="Q381" s="7"/>
      <c r="R381" s="1">
        <f t="shared" si="86"/>
        <v>44726</v>
      </c>
      <c r="S381" s="34">
        <f t="shared" si="84"/>
        <v>26.333333333333332</v>
      </c>
      <c r="T381" s="37">
        <f>5170-4760</f>
        <v>410</v>
      </c>
      <c r="U381" s="57">
        <v>62.500000000000007</v>
      </c>
      <c r="V381" s="38"/>
      <c r="W381" s="66"/>
      <c r="X381" s="74"/>
      <c r="Y381" s="74"/>
      <c r="Z381" s="74"/>
      <c r="AA381" s="74"/>
      <c r="AB381" s="74"/>
      <c r="AC381" s="74"/>
      <c r="AD381" s="81"/>
    </row>
    <row r="382" spans="1:31" x14ac:dyDescent="0.2">
      <c r="A382" s="5" t="s">
        <v>21</v>
      </c>
      <c r="B382" s="6">
        <v>44726</v>
      </c>
      <c r="C382" s="5" t="s">
        <v>25</v>
      </c>
      <c r="D382" s="5" t="s">
        <v>26</v>
      </c>
      <c r="E382" s="5" t="s">
        <v>15</v>
      </c>
      <c r="F382" s="90">
        <v>14</v>
      </c>
      <c r="G382" s="11" t="s">
        <v>27</v>
      </c>
      <c r="H382" s="11">
        <v>0.60902777777777783</v>
      </c>
      <c r="I382" s="5">
        <v>4</v>
      </c>
      <c r="J382" s="5" t="s">
        <v>30</v>
      </c>
      <c r="K382" s="5" t="s">
        <v>28</v>
      </c>
      <c r="L382" s="11">
        <v>0.60972222222222217</v>
      </c>
      <c r="M382" s="5">
        <v>26</v>
      </c>
      <c r="N382" s="5">
        <v>27</v>
      </c>
      <c r="O382" s="5">
        <v>27</v>
      </c>
      <c r="P382" s="7" t="s">
        <v>23</v>
      </c>
      <c r="Q382" s="7"/>
      <c r="R382" s="1">
        <f>B382</f>
        <v>44726</v>
      </c>
      <c r="S382" s="34">
        <f>AVERAGE(M382:O382)</f>
        <v>26.666666666666668</v>
      </c>
      <c r="T382" s="37"/>
      <c r="U382" s="57"/>
      <c r="V382" s="38"/>
      <c r="W382" s="66"/>
      <c r="X382" s="74"/>
      <c r="Y382" s="74"/>
      <c r="Z382" s="74"/>
      <c r="AA382" s="74"/>
      <c r="AB382" s="74"/>
      <c r="AC382" s="74"/>
      <c r="AD382" s="81"/>
    </row>
    <row r="383" spans="1:31" x14ac:dyDescent="0.2">
      <c r="A383" s="8"/>
      <c r="B383" s="17"/>
      <c r="C383" s="8"/>
      <c r="D383" s="8"/>
      <c r="E383" s="8"/>
      <c r="F383" s="91"/>
      <c r="G383" s="15"/>
      <c r="H383" s="15"/>
      <c r="I383" s="8"/>
      <c r="J383" s="16"/>
      <c r="K383" s="8"/>
      <c r="L383" s="15"/>
      <c r="M383" s="8"/>
      <c r="N383" s="8"/>
      <c r="O383" s="8"/>
      <c r="P383" s="9"/>
      <c r="Q383" s="9"/>
    </row>
    <row r="384" spans="1:31" x14ac:dyDescent="0.2">
      <c r="A384" s="3" t="s">
        <v>21</v>
      </c>
      <c r="B384" s="1">
        <v>44753</v>
      </c>
      <c r="C384" s="3" t="s">
        <v>25</v>
      </c>
      <c r="D384" s="3" t="s">
        <v>25</v>
      </c>
      <c r="E384" s="3" t="s">
        <v>15</v>
      </c>
      <c r="F384" s="89">
        <v>14</v>
      </c>
      <c r="G384" s="10">
        <v>0.4861111111111111</v>
      </c>
      <c r="H384" s="10">
        <v>0.52361111111111114</v>
      </c>
      <c r="I384" s="3">
        <v>4</v>
      </c>
      <c r="J384" s="12" t="s">
        <v>30</v>
      </c>
      <c r="K384" s="3" t="s">
        <v>28</v>
      </c>
      <c r="L384" s="10">
        <v>0.52500000000000002</v>
      </c>
      <c r="M384" s="3">
        <v>30</v>
      </c>
      <c r="N384" s="3">
        <v>30</v>
      </c>
      <c r="O384" s="3">
        <v>31</v>
      </c>
      <c r="P384" t="s">
        <v>22</v>
      </c>
      <c r="R384" s="1">
        <f t="shared" ref="R384:R386" si="87">B384</f>
        <v>44753</v>
      </c>
      <c r="S384" s="34">
        <f>AVERAGE(M384:O384)</f>
        <v>30.333333333333332</v>
      </c>
      <c r="T384" s="37">
        <f>5170-4730</f>
        <v>440</v>
      </c>
      <c r="U384" s="57">
        <v>74.55</v>
      </c>
    </row>
    <row r="385" spans="1:21" x14ac:dyDescent="0.2">
      <c r="A385" s="5" t="s">
        <v>21</v>
      </c>
      <c r="B385" s="6">
        <v>44753</v>
      </c>
      <c r="C385" s="5" t="s">
        <v>25</v>
      </c>
      <c r="D385" s="5" t="s">
        <v>25</v>
      </c>
      <c r="E385" s="5" t="s">
        <v>15</v>
      </c>
      <c r="F385" s="90">
        <v>14</v>
      </c>
      <c r="G385" s="11" t="s">
        <v>27</v>
      </c>
      <c r="H385" s="11">
        <v>0.15763888888888888</v>
      </c>
      <c r="I385" s="5">
        <v>4</v>
      </c>
      <c r="J385" s="13" t="s">
        <v>27</v>
      </c>
      <c r="K385" s="5" t="s">
        <v>28</v>
      </c>
      <c r="L385" s="11">
        <v>0.15902777777777777</v>
      </c>
      <c r="M385" s="5">
        <v>26</v>
      </c>
      <c r="N385" s="5">
        <v>26</v>
      </c>
      <c r="O385" s="5">
        <v>26</v>
      </c>
      <c r="P385" s="7" t="s">
        <v>23</v>
      </c>
      <c r="Q385" s="7"/>
      <c r="R385" s="1">
        <f t="shared" si="87"/>
        <v>44753</v>
      </c>
      <c r="S385" s="87">
        <f>AVERAGE(M385:O385)</f>
        <v>26</v>
      </c>
      <c r="T385" s="37">
        <f>5170-4740</f>
        <v>430</v>
      </c>
    </row>
    <row r="386" spans="1:21" x14ac:dyDescent="0.2">
      <c r="A386" s="5" t="s">
        <v>21</v>
      </c>
      <c r="B386" s="6">
        <v>44753</v>
      </c>
      <c r="C386" s="5" t="s">
        <v>25</v>
      </c>
      <c r="D386" s="5" t="s">
        <v>25</v>
      </c>
      <c r="E386" s="5" t="s">
        <v>15</v>
      </c>
      <c r="F386" s="90">
        <v>14</v>
      </c>
      <c r="G386" s="11" t="s">
        <v>27</v>
      </c>
      <c r="H386" s="11">
        <v>0.52083333333333337</v>
      </c>
      <c r="I386" s="5">
        <v>4</v>
      </c>
      <c r="J386" s="13" t="s">
        <v>30</v>
      </c>
      <c r="K386" s="5" t="s">
        <v>28</v>
      </c>
      <c r="L386" s="11">
        <v>0.52222222222222225</v>
      </c>
      <c r="M386" s="5">
        <v>31</v>
      </c>
      <c r="N386" s="5">
        <v>32</v>
      </c>
      <c r="O386" s="5">
        <v>32</v>
      </c>
      <c r="P386" s="7" t="s">
        <v>23</v>
      </c>
      <c r="Q386" s="7"/>
      <c r="R386" s="1">
        <f t="shared" si="87"/>
        <v>44753</v>
      </c>
      <c r="S386" s="34">
        <f>AVERAGE(M386:O386)</f>
        <v>31.666666666666668</v>
      </c>
      <c r="T386" s="37">
        <f>5170-4730</f>
        <v>440</v>
      </c>
      <c r="U386" s="57">
        <v>74.55</v>
      </c>
    </row>
    <row r="387" spans="1:21" x14ac:dyDescent="0.2">
      <c r="A387" s="49"/>
      <c r="B387" s="50"/>
      <c r="C387" s="49"/>
      <c r="D387" s="49"/>
      <c r="E387" s="49"/>
      <c r="F387" s="92"/>
      <c r="G387" s="51"/>
      <c r="H387" s="51"/>
      <c r="I387" s="49"/>
      <c r="J387" s="52"/>
      <c r="K387" s="49"/>
      <c r="L387" s="51"/>
      <c r="M387" s="49"/>
      <c r="N387" s="49"/>
      <c r="O387" s="49"/>
      <c r="P387" s="53"/>
      <c r="Q387" s="53"/>
    </row>
    <row r="388" spans="1:21" x14ac:dyDescent="0.2">
      <c r="A388" s="3" t="s">
        <v>21</v>
      </c>
      <c r="B388" s="1">
        <v>44786</v>
      </c>
      <c r="C388" s="3" t="s">
        <v>25</v>
      </c>
      <c r="D388" s="3" t="s">
        <v>25</v>
      </c>
      <c r="E388" s="3" t="s">
        <v>15</v>
      </c>
      <c r="F388" s="89">
        <v>14</v>
      </c>
      <c r="G388" s="10">
        <v>0.4861111111111111</v>
      </c>
      <c r="H388" s="10">
        <v>0.5180555555555556</v>
      </c>
      <c r="I388" s="3">
        <v>4</v>
      </c>
      <c r="J388" s="12" t="s">
        <v>30</v>
      </c>
      <c r="K388" s="3" t="s">
        <v>28</v>
      </c>
      <c r="L388" s="10">
        <v>0.52083333333333337</v>
      </c>
      <c r="M388" s="3">
        <v>39</v>
      </c>
      <c r="N388" s="3">
        <v>40</v>
      </c>
      <c r="O388" s="3">
        <v>41</v>
      </c>
      <c r="P388" t="s">
        <v>22</v>
      </c>
      <c r="Q388" t="s">
        <v>75</v>
      </c>
      <c r="R388" s="1">
        <f t="shared" ref="R388:R390" si="88">B388</f>
        <v>44786</v>
      </c>
      <c r="S388" s="34">
        <f>AVERAGE(M388:O388)</f>
        <v>40</v>
      </c>
      <c r="T388" s="37">
        <f>5170-4632</f>
        <v>538</v>
      </c>
      <c r="U388" s="56">
        <v>24.875</v>
      </c>
    </row>
    <row r="389" spans="1:21" x14ac:dyDescent="0.2">
      <c r="A389" s="5" t="s">
        <v>21</v>
      </c>
      <c r="B389" s="6">
        <v>44786</v>
      </c>
      <c r="C389" s="5" t="s">
        <v>25</v>
      </c>
      <c r="D389" s="5" t="s">
        <v>25</v>
      </c>
      <c r="E389" s="5" t="s">
        <v>15</v>
      </c>
      <c r="F389" s="90">
        <v>14</v>
      </c>
      <c r="G389" s="11" t="s">
        <v>27</v>
      </c>
      <c r="H389" s="11">
        <v>0.14652777777777778</v>
      </c>
      <c r="I389" s="5">
        <v>4</v>
      </c>
      <c r="J389" s="13" t="s">
        <v>27</v>
      </c>
      <c r="K389" s="5" t="s">
        <v>28</v>
      </c>
      <c r="L389" s="11">
        <v>0.14791666666666667</v>
      </c>
      <c r="M389" s="5">
        <v>37</v>
      </c>
      <c r="N389" s="5">
        <v>38</v>
      </c>
      <c r="O389" s="5">
        <v>38</v>
      </c>
      <c r="P389" s="7" t="s">
        <v>23</v>
      </c>
      <c r="Q389" t="s">
        <v>75</v>
      </c>
      <c r="R389" s="1">
        <f t="shared" si="88"/>
        <v>44786</v>
      </c>
      <c r="S389" s="34">
        <f>AVERAGE(M389:O389)</f>
        <v>37.666666666666664</v>
      </c>
      <c r="T389" s="37">
        <f>5170-4619</f>
        <v>551</v>
      </c>
    </row>
    <row r="390" spans="1:21" x14ac:dyDescent="0.2">
      <c r="A390" s="5" t="s">
        <v>21</v>
      </c>
      <c r="B390" s="6">
        <v>44786</v>
      </c>
      <c r="C390" s="5" t="s">
        <v>25</v>
      </c>
      <c r="D390" s="5" t="s">
        <v>25</v>
      </c>
      <c r="E390" s="5" t="s">
        <v>15</v>
      </c>
      <c r="F390" s="90">
        <v>14</v>
      </c>
      <c r="G390" s="11" t="s">
        <v>27</v>
      </c>
      <c r="H390" s="11">
        <v>0.51527777777777783</v>
      </c>
      <c r="I390" s="5">
        <v>4</v>
      </c>
      <c r="J390" s="13" t="s">
        <v>30</v>
      </c>
      <c r="K390" s="5" t="s">
        <v>28</v>
      </c>
      <c r="L390" s="11">
        <v>0.51736111111111105</v>
      </c>
      <c r="M390" s="5">
        <v>40</v>
      </c>
      <c r="N390" s="5">
        <v>41</v>
      </c>
      <c r="O390" s="5">
        <v>42</v>
      </c>
      <c r="P390" s="7" t="s">
        <v>23</v>
      </c>
      <c r="Q390" t="s">
        <v>75</v>
      </c>
      <c r="R390" s="1">
        <f t="shared" si="88"/>
        <v>44786</v>
      </c>
      <c r="S390" s="34">
        <f>AVERAGE(M390:O390)</f>
        <v>41</v>
      </c>
      <c r="T390" s="37">
        <f>5170-4632</f>
        <v>538</v>
      </c>
      <c r="U390" s="56">
        <v>24.875</v>
      </c>
    </row>
    <row r="391" spans="1:21" x14ac:dyDescent="0.2">
      <c r="A391" s="49"/>
      <c r="B391" s="50"/>
      <c r="C391" s="49"/>
      <c r="D391" s="49"/>
      <c r="E391" s="49"/>
      <c r="F391" s="92"/>
      <c r="G391" s="51"/>
      <c r="H391" s="51"/>
      <c r="I391" s="49"/>
      <c r="J391" s="52"/>
      <c r="K391" s="49"/>
      <c r="L391" s="51"/>
      <c r="M391" s="49"/>
      <c r="N391" s="49"/>
      <c r="O391" s="49"/>
      <c r="P391" s="53"/>
      <c r="Q391" s="53"/>
    </row>
    <row r="392" spans="1:21" x14ac:dyDescent="0.2">
      <c r="A392" s="3" t="s">
        <v>21</v>
      </c>
      <c r="B392" s="1">
        <v>44867</v>
      </c>
      <c r="C392" s="3" t="s">
        <v>25</v>
      </c>
      <c r="D392" s="3" t="s">
        <v>26</v>
      </c>
      <c r="E392" s="3" t="s">
        <v>15</v>
      </c>
      <c r="F392" s="89">
        <v>14</v>
      </c>
      <c r="G392" s="3" t="s">
        <v>27</v>
      </c>
      <c r="H392" s="2">
        <v>0.46388888888888885</v>
      </c>
      <c r="I392">
        <v>4</v>
      </c>
      <c r="J392" t="s">
        <v>30</v>
      </c>
      <c r="K392" t="s">
        <v>90</v>
      </c>
      <c r="L392" s="2">
        <v>0.46527777777777773</v>
      </c>
      <c r="M392">
        <v>13</v>
      </c>
      <c r="N392">
        <v>15</v>
      </c>
      <c r="O392">
        <v>20</v>
      </c>
      <c r="P392" s="63" t="s">
        <v>23</v>
      </c>
      <c r="Q392" t="s">
        <v>92</v>
      </c>
    </row>
    <row r="401" spans="2:19" x14ac:dyDescent="0.2">
      <c r="B401" s="6"/>
      <c r="C401" s="5"/>
      <c r="D401" s="5"/>
      <c r="E401" s="5"/>
      <c r="F401" s="90"/>
      <c r="G401" s="11"/>
      <c r="H401" s="11"/>
      <c r="I401" s="5"/>
      <c r="J401" s="13"/>
      <c r="K401" s="5"/>
      <c r="L401" s="11"/>
      <c r="M401" s="5"/>
      <c r="N401" s="5"/>
      <c r="O401" s="5"/>
      <c r="P401" s="7"/>
      <c r="Q401" s="7"/>
      <c r="R401" s="6"/>
      <c r="S401" s="87"/>
    </row>
    <row r="402" spans="2:19" x14ac:dyDescent="0.2">
      <c r="B402" s="6"/>
      <c r="C402" s="5"/>
      <c r="D402" s="5"/>
      <c r="E402" s="5"/>
      <c r="F402" s="90"/>
      <c r="G402" s="11"/>
      <c r="H402" s="11"/>
      <c r="I402" s="5"/>
      <c r="J402" s="13"/>
      <c r="K402" s="5"/>
      <c r="L402" s="11"/>
      <c r="M402" s="5"/>
      <c r="N402" s="5"/>
      <c r="O402" s="5"/>
      <c r="P402" s="7"/>
      <c r="Q402" s="7"/>
      <c r="R402" s="6"/>
      <c r="S402" s="34"/>
    </row>
    <row r="403" spans="2:19" x14ac:dyDescent="0.2">
      <c r="B403" s="45"/>
      <c r="C403" s="44"/>
      <c r="D403" s="44"/>
      <c r="E403" s="44"/>
      <c r="F403" s="94"/>
      <c r="G403" s="46"/>
      <c r="H403" s="46"/>
      <c r="I403" s="44"/>
      <c r="J403" s="47"/>
      <c r="K403" s="44"/>
      <c r="L403" s="46"/>
      <c r="M403" s="44"/>
      <c r="N403" s="44"/>
      <c r="O403" s="44"/>
      <c r="P403" s="48"/>
      <c r="Q403" s="48"/>
      <c r="R403" s="45"/>
      <c r="S403" s="87"/>
    </row>
    <row r="404" spans="2:19" x14ac:dyDescent="0.2">
      <c r="B404" s="45"/>
      <c r="C404" s="44"/>
      <c r="D404" s="44"/>
      <c r="E404" s="44"/>
      <c r="F404" s="94"/>
      <c r="G404" s="46"/>
      <c r="H404" s="46"/>
      <c r="I404" s="44"/>
      <c r="J404" s="47"/>
      <c r="K404" s="44"/>
      <c r="L404" s="46"/>
      <c r="M404" s="44"/>
      <c r="N404" s="44"/>
      <c r="O404" s="44"/>
      <c r="P404" s="48"/>
      <c r="Q404" s="48"/>
      <c r="R404" s="45"/>
      <c r="S404" s="87"/>
    </row>
    <row r="405" spans="2:19" x14ac:dyDescent="0.2">
      <c r="B405" s="45"/>
      <c r="C405" s="44"/>
      <c r="D405" s="44"/>
      <c r="E405" s="44"/>
      <c r="F405" s="94"/>
      <c r="G405" s="46"/>
      <c r="H405" s="46"/>
      <c r="I405" s="44"/>
      <c r="J405" s="47"/>
      <c r="K405" s="44"/>
      <c r="L405" s="46"/>
      <c r="M405" s="44"/>
      <c r="N405" s="44"/>
      <c r="O405" s="44"/>
      <c r="P405" s="48"/>
      <c r="Q405" s="48"/>
      <c r="R405" s="45"/>
      <c r="S405" s="87"/>
    </row>
    <row r="406" spans="2:19" x14ac:dyDescent="0.2">
      <c r="B406" s="45"/>
      <c r="C406" s="44"/>
      <c r="D406" s="44"/>
      <c r="E406" s="44"/>
      <c r="F406" s="94"/>
      <c r="G406" s="46"/>
      <c r="H406" s="46"/>
      <c r="I406" s="44"/>
      <c r="J406" s="47"/>
      <c r="K406" s="44"/>
      <c r="L406" s="46"/>
      <c r="M406" s="44"/>
      <c r="N406" s="44"/>
      <c r="O406" s="44"/>
      <c r="P406" s="48"/>
      <c r="Q406" s="48"/>
      <c r="R406" s="45"/>
      <c r="S406" s="87"/>
    </row>
    <row r="407" spans="2:19" x14ac:dyDescent="0.2">
      <c r="B407" s="45"/>
      <c r="C407" s="44"/>
      <c r="D407" s="44"/>
      <c r="E407" s="44"/>
      <c r="F407" s="94"/>
      <c r="G407" s="46"/>
      <c r="H407" s="46"/>
      <c r="I407" s="44"/>
      <c r="J407" s="47"/>
      <c r="K407" s="44"/>
      <c r="L407" s="46"/>
      <c r="M407" s="44"/>
      <c r="N407" s="44"/>
      <c r="O407" s="44"/>
      <c r="P407" s="48"/>
      <c r="Q407" s="48"/>
      <c r="R407" s="45"/>
      <c r="S407" s="87"/>
    </row>
  </sheetData>
  <sortState xmlns:xlrd2="http://schemas.microsoft.com/office/spreadsheetml/2017/richdata2" ref="A342:Q352">
    <sortCondition ref="P342:P352"/>
    <sortCondition ref="L342:L352"/>
  </sortState>
  <printOptions gridLines="1"/>
  <pageMargins left="0.70866141732283472" right="0.70866141732283472" top="0.74803149606299213" bottom="0.74803149606299213" header="0.31496062992125984" footer="0.31496062992125984"/>
  <pageSetup scale="5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ADA7-7004-134E-B9C5-E5ACC72D62E0}">
  <dimension ref="A1:A84"/>
  <sheetViews>
    <sheetView zoomScale="80" zoomScaleNormal="80" workbookViewId="0">
      <selection activeCell="K76" sqref="K76"/>
    </sheetView>
  </sheetViews>
  <sheetFormatPr baseColWidth="10" defaultRowHeight="15" x14ac:dyDescent="0.2"/>
  <sheetData>
    <row r="1" spans="1:1" x14ac:dyDescent="0.2">
      <c r="A1" s="32" t="s">
        <v>63</v>
      </c>
    </row>
    <row r="3" spans="1:1" x14ac:dyDescent="0.2">
      <c r="A3" t="s">
        <v>81</v>
      </c>
    </row>
    <row r="19" spans="1:1" x14ac:dyDescent="0.2">
      <c r="A19" t="s">
        <v>82</v>
      </c>
    </row>
    <row r="35" spans="1:1" x14ac:dyDescent="0.2">
      <c r="A35" t="s">
        <v>83</v>
      </c>
    </row>
    <row r="51" spans="1:1" x14ac:dyDescent="0.2">
      <c r="A51" t="s">
        <v>84</v>
      </c>
    </row>
    <row r="67" spans="1:1" x14ac:dyDescent="0.2">
      <c r="A67" t="s">
        <v>85</v>
      </c>
    </row>
    <row r="84" spans="1:1" x14ac:dyDescent="0.2">
      <c r="A84" t="s">
        <v>86</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8C11-6837-C649-86DB-7E4FEC3ACD1A}">
  <dimension ref="A1:H3"/>
  <sheetViews>
    <sheetView workbookViewId="0">
      <selection activeCell="L106" sqref="L106"/>
    </sheetView>
  </sheetViews>
  <sheetFormatPr baseColWidth="10" defaultRowHeight="15" x14ac:dyDescent="0.2"/>
  <sheetData>
    <row r="1" spans="1:8" x14ac:dyDescent="0.2">
      <c r="A1" s="59" t="s">
        <v>87</v>
      </c>
    </row>
    <row r="3" spans="1:8" x14ac:dyDescent="0.2">
      <c r="A3" s="60" t="s">
        <v>89</v>
      </c>
      <c r="H3" s="60" t="s">
        <v>88</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4DA1A-0BDB-7E4B-AA8A-5C8608B38B6F}">
  <dimension ref="A1:H3"/>
  <sheetViews>
    <sheetView workbookViewId="0">
      <selection activeCell="O37" sqref="O37"/>
    </sheetView>
  </sheetViews>
  <sheetFormatPr baseColWidth="10" defaultRowHeight="15" x14ac:dyDescent="0.2"/>
  <sheetData>
    <row r="1" spans="1:8" x14ac:dyDescent="0.2">
      <c r="A1" s="59" t="s">
        <v>87</v>
      </c>
    </row>
    <row r="3" spans="1:8" x14ac:dyDescent="0.2">
      <c r="A3" s="60"/>
      <c r="H3" s="60"/>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9F42-E1B1-0143-B020-D96F138B22BE}">
  <dimension ref="A2:B65"/>
  <sheetViews>
    <sheetView zoomScaleNormal="100" workbookViewId="0">
      <selection activeCell="B65" sqref="B65"/>
    </sheetView>
  </sheetViews>
  <sheetFormatPr baseColWidth="10" defaultRowHeight="15" x14ac:dyDescent="0.2"/>
  <sheetData>
    <row r="2" spans="1:2" ht="20" x14ac:dyDescent="0.2">
      <c r="A2" s="43" t="s">
        <v>69</v>
      </c>
      <c r="B2" s="42" t="s">
        <v>70</v>
      </c>
    </row>
    <row r="65" spans="1:2" ht="20" x14ac:dyDescent="0.2">
      <c r="A65" s="43" t="s">
        <v>74</v>
      </c>
      <c r="B65" s="42" t="s">
        <v>70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Vetroz_Blätter</vt:lpstr>
      <vt:lpstr>Diagramme_LWP_TWD</vt:lpstr>
      <vt:lpstr>Diagramme_LWP_Cond</vt:lpstr>
      <vt:lpstr>Diagramme_TWD_Cond</vt:lpstr>
      <vt:lpstr>Graphik_alle_Parameter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2021-05-28T13:48:10Z</cp:lastPrinted>
  <dcterms:created xsi:type="dcterms:W3CDTF">2006-09-16T00:00:00Z</dcterms:created>
  <dcterms:modified xsi:type="dcterms:W3CDTF">2025-05-19T12:55:28Z</dcterms:modified>
</cp:coreProperties>
</file>