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Vr 0\"/>
    </mc:Choice>
  </mc:AlternateContent>
  <xr:revisionPtr revIDLastSave="0" documentId="13_ncr:1_{A2F4CB03-730E-4684-ADAA-2DA45B3B36E7}" xr6:coauthVersionLast="45" xr6:coauthVersionMax="45" xr10:uidLastSave="{00000000-0000-0000-0000-000000000000}"/>
  <bookViews>
    <workbookView xWindow="2415" yWindow="2010" windowWidth="21600" windowHeight="11505" tabRatio="663" xr2:uid="{00000000-000D-0000-FFFF-FFFF00000000}"/>
  </bookViews>
  <sheets>
    <sheet name="MATRIZ" sheetId="3" r:id="rId1"/>
  </sheets>
  <externalReferences>
    <externalReference r:id="rId2"/>
  </externalReferences>
  <definedNames>
    <definedName name="_xlnm._FilterDatabase" localSheetId="0" hidden="1">MATRIZ!$A$11:$AG$12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3" l="1"/>
  <c r="AF237" i="3" l="1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R237" i="3" l="1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AB233" i="3" l="1"/>
  <c r="AB232" i="3"/>
  <c r="AE232" i="3"/>
  <c r="AE226" i="3"/>
  <c r="AE219" i="3"/>
  <c r="AE212" i="3"/>
  <c r="AE205" i="3"/>
  <c r="S197" i="3"/>
  <c r="S194" i="3"/>
  <c r="AE192" i="3"/>
  <c r="AE178" i="3"/>
  <c r="AE170" i="3"/>
  <c r="AE138" i="3"/>
  <c r="AE130" i="3"/>
  <c r="AE122" i="3"/>
  <c r="AE114" i="3"/>
  <c r="AE106" i="3"/>
  <c r="AE98" i="3"/>
  <c r="AE90" i="3"/>
  <c r="AE76" i="3"/>
  <c r="AE69" i="3"/>
  <c r="AE61" i="3"/>
  <c r="AE46" i="3"/>
  <c r="AE38" i="3"/>
  <c r="AE31" i="3"/>
  <c r="AE24" i="3"/>
  <c r="AE17" i="3"/>
  <c r="U237" i="3"/>
  <c r="AE237" i="3" s="1"/>
  <c r="N237" i="3"/>
  <c r="M237" i="3"/>
  <c r="L237" i="3" s="1"/>
  <c r="P237" i="3" s="1"/>
  <c r="U236" i="3"/>
  <c r="AE236" i="3" s="1"/>
  <c r="N236" i="3"/>
  <c r="M236" i="3"/>
  <c r="L236" i="3" s="1"/>
  <c r="P236" i="3" s="1"/>
  <c r="U235" i="3"/>
  <c r="AE235" i="3" s="1"/>
  <c r="N235" i="3"/>
  <c r="T235" i="3" s="1"/>
  <c r="M235" i="3"/>
  <c r="L235" i="3" s="1"/>
  <c r="P235" i="3" s="1"/>
  <c r="U234" i="3"/>
  <c r="AE234" i="3" s="1"/>
  <c r="Q234" i="3"/>
  <c r="N234" i="3"/>
  <c r="M234" i="3"/>
  <c r="L234" i="3"/>
  <c r="P234" i="3" s="1"/>
  <c r="U233" i="3"/>
  <c r="AE233" i="3" s="1"/>
  <c r="Z233" i="3"/>
  <c r="N233" i="3"/>
  <c r="T233" i="3" s="1"/>
  <c r="M233" i="3"/>
  <c r="L233" i="3" s="1"/>
  <c r="U232" i="3"/>
  <c r="N232" i="3"/>
  <c r="T232" i="3" s="1"/>
  <c r="M232" i="3"/>
  <c r="L232" i="3" s="1"/>
  <c r="U231" i="3"/>
  <c r="AE231" i="3" s="1"/>
  <c r="N231" i="3"/>
  <c r="M231" i="3"/>
  <c r="L231" i="3" s="1"/>
  <c r="U230" i="3"/>
  <c r="AE230" i="3" s="1"/>
  <c r="N230" i="3"/>
  <c r="M230" i="3"/>
  <c r="L230" i="3"/>
  <c r="U229" i="3"/>
  <c r="AE229" i="3" s="1"/>
  <c r="N229" i="3"/>
  <c r="T229" i="3" s="1"/>
  <c r="M229" i="3"/>
  <c r="L229" i="3" s="1"/>
  <c r="P229" i="3" s="1"/>
  <c r="U228" i="3"/>
  <c r="AE228" i="3" s="1"/>
  <c r="N228" i="3"/>
  <c r="T228" i="3" s="1"/>
  <c r="M228" i="3"/>
  <c r="L228" i="3" s="1"/>
  <c r="U227" i="3"/>
  <c r="N227" i="3"/>
  <c r="M227" i="3"/>
  <c r="L227" i="3" s="1"/>
  <c r="P227" i="3" s="1"/>
  <c r="U226" i="3"/>
  <c r="N226" i="3"/>
  <c r="T226" i="3" s="1"/>
  <c r="Z226" i="3" s="1"/>
  <c r="M226" i="3"/>
  <c r="L226" i="3" s="1"/>
  <c r="U225" i="3"/>
  <c r="AE225" i="3" s="1"/>
  <c r="N225" i="3"/>
  <c r="M225" i="3"/>
  <c r="L225" i="3"/>
  <c r="U224" i="3"/>
  <c r="AE224" i="3" s="1"/>
  <c r="N224" i="3"/>
  <c r="M224" i="3"/>
  <c r="L224" i="3"/>
  <c r="U223" i="3"/>
  <c r="AE223" i="3" s="1"/>
  <c r="N223" i="3"/>
  <c r="T223" i="3" s="1"/>
  <c r="Z223" i="3" s="1"/>
  <c r="M223" i="3"/>
  <c r="L223" i="3" s="1"/>
  <c r="U222" i="3"/>
  <c r="AE222" i="3" s="1"/>
  <c r="N222" i="3"/>
  <c r="M222" i="3"/>
  <c r="L222" i="3" s="1"/>
  <c r="P222" i="3" s="1"/>
  <c r="U221" i="3"/>
  <c r="AE221" i="3" s="1"/>
  <c r="N221" i="3"/>
  <c r="M221" i="3"/>
  <c r="L221" i="3"/>
  <c r="U220" i="3"/>
  <c r="AE220" i="3" s="1"/>
  <c r="N220" i="3"/>
  <c r="M220" i="3"/>
  <c r="L220" i="3" s="1"/>
  <c r="U219" i="3"/>
  <c r="N219" i="3"/>
  <c r="T219" i="3" s="1"/>
  <c r="M219" i="3"/>
  <c r="L219" i="3" s="1"/>
  <c r="U218" i="3"/>
  <c r="AE218" i="3" s="1"/>
  <c r="N218" i="3"/>
  <c r="M218" i="3"/>
  <c r="L218" i="3" s="1"/>
  <c r="U217" i="3"/>
  <c r="AE217" i="3" s="1"/>
  <c r="N217" i="3"/>
  <c r="M217" i="3"/>
  <c r="L217" i="3" s="1"/>
  <c r="U216" i="3"/>
  <c r="AE216" i="3" s="1"/>
  <c r="N216" i="3"/>
  <c r="M216" i="3"/>
  <c r="L216" i="3" s="1"/>
  <c r="P216" i="3" s="1"/>
  <c r="U215" i="3"/>
  <c r="AE215" i="3" s="1"/>
  <c r="N215" i="3"/>
  <c r="M215" i="3"/>
  <c r="L215" i="3" s="1"/>
  <c r="U214" i="3"/>
  <c r="AE214" i="3" s="1"/>
  <c r="N214" i="3"/>
  <c r="M214" i="3"/>
  <c r="L214" i="3" s="1"/>
  <c r="U213" i="3"/>
  <c r="AE213" i="3" s="1"/>
  <c r="N213" i="3"/>
  <c r="M213" i="3"/>
  <c r="L213" i="3"/>
  <c r="U212" i="3"/>
  <c r="AB212" i="3"/>
  <c r="N212" i="3"/>
  <c r="M212" i="3"/>
  <c r="L212" i="3" s="1"/>
  <c r="P212" i="3" s="1"/>
  <c r="U211" i="3"/>
  <c r="AE211" i="3" s="1"/>
  <c r="N211" i="3"/>
  <c r="M211" i="3"/>
  <c r="L211" i="3"/>
  <c r="U210" i="3"/>
  <c r="N210" i="3"/>
  <c r="M210" i="3"/>
  <c r="L210" i="3"/>
  <c r="U209" i="3"/>
  <c r="AE209" i="3" s="1"/>
  <c r="N209" i="3"/>
  <c r="M209" i="3"/>
  <c r="L209" i="3" s="1"/>
  <c r="U208" i="3"/>
  <c r="AE208" i="3" s="1"/>
  <c r="N208" i="3"/>
  <c r="M208" i="3"/>
  <c r="L208" i="3" s="1"/>
  <c r="P208" i="3" s="1"/>
  <c r="U207" i="3"/>
  <c r="AE207" i="3" s="1"/>
  <c r="N207" i="3"/>
  <c r="M207" i="3"/>
  <c r="L207" i="3" s="1"/>
  <c r="U206" i="3"/>
  <c r="AE206" i="3" s="1"/>
  <c r="N206" i="3"/>
  <c r="M206" i="3"/>
  <c r="L206" i="3"/>
  <c r="P206" i="3" s="1"/>
  <c r="U205" i="3"/>
  <c r="N205" i="3"/>
  <c r="M205" i="3"/>
  <c r="L205" i="3" s="1"/>
  <c r="U204" i="3"/>
  <c r="AE204" i="3" s="1"/>
  <c r="S204" i="3"/>
  <c r="Y204" i="3" s="1"/>
  <c r="N204" i="3"/>
  <c r="M204" i="3"/>
  <c r="L204" i="3" s="1"/>
  <c r="P204" i="3" s="1"/>
  <c r="V204" i="3" s="1"/>
  <c r="U203" i="3"/>
  <c r="AE203" i="3" s="1"/>
  <c r="S203" i="3"/>
  <c r="Y203" i="3" s="1"/>
  <c r="N203" i="3"/>
  <c r="M203" i="3"/>
  <c r="L203" i="3" s="1"/>
  <c r="U202" i="3"/>
  <c r="AE202" i="3" s="1"/>
  <c r="N202" i="3"/>
  <c r="M202" i="3"/>
  <c r="L202" i="3" s="1"/>
  <c r="P202" i="3" s="1"/>
  <c r="U201" i="3"/>
  <c r="AE201" i="3" s="1"/>
  <c r="N201" i="3"/>
  <c r="M201" i="3"/>
  <c r="L201" i="3" s="1"/>
  <c r="U200" i="3"/>
  <c r="AE200" i="3" s="1"/>
  <c r="S200" i="3"/>
  <c r="N200" i="3"/>
  <c r="M200" i="3"/>
  <c r="L200" i="3" s="1"/>
  <c r="P200" i="3" s="1"/>
  <c r="U199" i="3"/>
  <c r="AE199" i="3" s="1"/>
  <c r="N199" i="3"/>
  <c r="M199" i="3"/>
  <c r="L199" i="3" s="1"/>
  <c r="P199" i="3" s="1"/>
  <c r="U198" i="3"/>
  <c r="AE198" i="3" s="1"/>
  <c r="N198" i="3"/>
  <c r="M198" i="3"/>
  <c r="L198" i="3" s="1"/>
  <c r="P198" i="3" s="1"/>
  <c r="U197" i="3"/>
  <c r="AE197" i="3" s="1"/>
  <c r="N197" i="3"/>
  <c r="M197" i="3"/>
  <c r="L197" i="3"/>
  <c r="U196" i="3"/>
  <c r="AE196" i="3" s="1"/>
  <c r="N196" i="3"/>
  <c r="M196" i="3"/>
  <c r="L196" i="3"/>
  <c r="U195" i="3"/>
  <c r="AE195" i="3" s="1"/>
  <c r="N195" i="3"/>
  <c r="T195" i="3" s="1"/>
  <c r="M195" i="3"/>
  <c r="L195" i="3" s="1"/>
  <c r="U194" i="3"/>
  <c r="AE194" i="3" s="1"/>
  <c r="N194" i="3"/>
  <c r="M194" i="3"/>
  <c r="L194" i="3" s="1"/>
  <c r="U193" i="3"/>
  <c r="AE193" i="3" s="1"/>
  <c r="N193" i="3"/>
  <c r="M193" i="3"/>
  <c r="L193" i="3" s="1"/>
  <c r="U192" i="3"/>
  <c r="N192" i="3"/>
  <c r="M192" i="3"/>
  <c r="L192" i="3" s="1"/>
  <c r="U191" i="3"/>
  <c r="AE191" i="3" s="1"/>
  <c r="O191" i="3"/>
  <c r="N191" i="3"/>
  <c r="T191" i="3" s="1"/>
  <c r="M191" i="3"/>
  <c r="L191" i="3" s="1"/>
  <c r="U190" i="3"/>
  <c r="N190" i="3"/>
  <c r="T190" i="3" s="1"/>
  <c r="M190" i="3"/>
  <c r="L190" i="3" s="1"/>
  <c r="U189" i="3"/>
  <c r="N189" i="3"/>
  <c r="M189" i="3"/>
  <c r="L189" i="3" s="1"/>
  <c r="U188" i="3"/>
  <c r="AE188" i="3" s="1"/>
  <c r="N188" i="3"/>
  <c r="T188" i="3" s="1"/>
  <c r="M188" i="3"/>
  <c r="L188" i="3" s="1"/>
  <c r="U187" i="3"/>
  <c r="AE187" i="3" s="1"/>
  <c r="N187" i="3"/>
  <c r="M187" i="3"/>
  <c r="L187" i="3" s="1"/>
  <c r="P187" i="3" s="1"/>
  <c r="U186" i="3"/>
  <c r="N186" i="3"/>
  <c r="M186" i="3"/>
  <c r="L186" i="3"/>
  <c r="P186" i="3" s="1"/>
  <c r="U185" i="3"/>
  <c r="AE185" i="3" s="1"/>
  <c r="N185" i="3"/>
  <c r="M185" i="3"/>
  <c r="L185" i="3" s="1"/>
  <c r="P185" i="3" s="1"/>
  <c r="U184" i="3"/>
  <c r="AE184" i="3" s="1"/>
  <c r="N184" i="3"/>
  <c r="T184" i="3" s="1"/>
  <c r="M184" i="3"/>
  <c r="L184" i="3" s="1"/>
  <c r="U183" i="3"/>
  <c r="AE183" i="3" s="1"/>
  <c r="N183" i="3"/>
  <c r="T183" i="3" s="1"/>
  <c r="M183" i="3"/>
  <c r="L183" i="3" s="1"/>
  <c r="U182" i="3"/>
  <c r="AE182" i="3" s="1"/>
  <c r="X182" i="3"/>
  <c r="N182" i="3"/>
  <c r="M182" i="3"/>
  <c r="L182" i="3"/>
  <c r="U181" i="3"/>
  <c r="AE181" i="3" s="1"/>
  <c r="N181" i="3"/>
  <c r="M181" i="3"/>
  <c r="L181" i="3"/>
  <c r="U180" i="3"/>
  <c r="AE180" i="3" s="1"/>
  <c r="N180" i="3"/>
  <c r="T180" i="3" s="1"/>
  <c r="M180" i="3"/>
  <c r="L180" i="3" s="1"/>
  <c r="U179" i="3"/>
  <c r="AE179" i="3" s="1"/>
  <c r="N179" i="3"/>
  <c r="M179" i="3"/>
  <c r="L179" i="3" s="1"/>
  <c r="U178" i="3"/>
  <c r="N178" i="3"/>
  <c r="M178" i="3"/>
  <c r="L178" i="3"/>
  <c r="P178" i="3" s="1"/>
  <c r="U177" i="3"/>
  <c r="AE177" i="3" s="1"/>
  <c r="N177" i="3"/>
  <c r="M177" i="3"/>
  <c r="L177" i="3"/>
  <c r="U176" i="3"/>
  <c r="AE176" i="3" s="1"/>
  <c r="N176" i="3"/>
  <c r="T176" i="3" s="1"/>
  <c r="M176" i="3"/>
  <c r="L176" i="3" s="1"/>
  <c r="P176" i="3" s="1"/>
  <c r="U175" i="3"/>
  <c r="AE175" i="3" s="1"/>
  <c r="N175" i="3"/>
  <c r="T175" i="3" s="1"/>
  <c r="M175" i="3"/>
  <c r="L175" i="3" s="1"/>
  <c r="P175" i="3" s="1"/>
  <c r="V175" i="3" s="1"/>
  <c r="U174" i="3"/>
  <c r="AE174" i="3" s="1"/>
  <c r="X174" i="3"/>
  <c r="N174" i="3"/>
  <c r="M174" i="3"/>
  <c r="L174" i="3"/>
  <c r="P174" i="3" s="1"/>
  <c r="V174" i="3" s="1"/>
  <c r="U173" i="3"/>
  <c r="AE173" i="3" s="1"/>
  <c r="N173" i="3"/>
  <c r="M173" i="3"/>
  <c r="L173" i="3"/>
  <c r="U172" i="3"/>
  <c r="AE172" i="3" s="1"/>
  <c r="N172" i="3"/>
  <c r="T172" i="3" s="1"/>
  <c r="M172" i="3"/>
  <c r="L172" i="3" s="1"/>
  <c r="U171" i="3"/>
  <c r="AE171" i="3" s="1"/>
  <c r="N171" i="3"/>
  <c r="M171" i="3"/>
  <c r="L171" i="3" s="1"/>
  <c r="P171" i="3" s="1"/>
  <c r="V171" i="3" s="1"/>
  <c r="U170" i="3"/>
  <c r="N170" i="3"/>
  <c r="M170" i="3"/>
  <c r="L170" i="3" s="1"/>
  <c r="U169" i="3"/>
  <c r="AE169" i="3" s="1"/>
  <c r="O169" i="3"/>
  <c r="N169" i="3"/>
  <c r="M169" i="3"/>
  <c r="L169" i="3" s="1"/>
  <c r="U168" i="3"/>
  <c r="AE168" i="3" s="1"/>
  <c r="N168" i="3"/>
  <c r="M168" i="3"/>
  <c r="L168" i="3" s="1"/>
  <c r="U167" i="3"/>
  <c r="AE167" i="3" s="1"/>
  <c r="N167" i="3"/>
  <c r="M167" i="3"/>
  <c r="L167" i="3" s="1"/>
  <c r="U166" i="3"/>
  <c r="AE166" i="3" s="1"/>
  <c r="N166" i="3"/>
  <c r="M166" i="3"/>
  <c r="L166" i="3" s="1"/>
  <c r="U165" i="3"/>
  <c r="AE165" i="3" s="1"/>
  <c r="N165" i="3"/>
  <c r="M165" i="3"/>
  <c r="L165" i="3" s="1"/>
  <c r="U164" i="3"/>
  <c r="AE164" i="3" s="1"/>
  <c r="N164" i="3"/>
  <c r="M164" i="3"/>
  <c r="L164" i="3" s="1"/>
  <c r="U163" i="3"/>
  <c r="AE163" i="3" s="1"/>
  <c r="N163" i="3"/>
  <c r="M163" i="3"/>
  <c r="L163" i="3" s="1"/>
  <c r="U162" i="3"/>
  <c r="AE162" i="3" s="1"/>
  <c r="N162" i="3"/>
  <c r="M162" i="3"/>
  <c r="L162" i="3" s="1"/>
  <c r="P162" i="3" s="1"/>
  <c r="U161" i="3"/>
  <c r="AE161" i="3" s="1"/>
  <c r="N161" i="3"/>
  <c r="M161" i="3"/>
  <c r="L161" i="3" s="1"/>
  <c r="U160" i="3"/>
  <c r="AE160" i="3" s="1"/>
  <c r="N160" i="3"/>
  <c r="M160" i="3"/>
  <c r="L160" i="3" s="1"/>
  <c r="U159" i="3"/>
  <c r="AE159" i="3" s="1"/>
  <c r="N159" i="3"/>
  <c r="M159" i="3"/>
  <c r="L159" i="3" s="1"/>
  <c r="U158" i="3"/>
  <c r="AE158" i="3" s="1"/>
  <c r="N158" i="3"/>
  <c r="M158" i="3"/>
  <c r="L158" i="3" s="1"/>
  <c r="U157" i="3"/>
  <c r="AE157" i="3" s="1"/>
  <c r="N157" i="3"/>
  <c r="M157" i="3"/>
  <c r="L157" i="3" s="1"/>
  <c r="U156" i="3"/>
  <c r="AE156" i="3" s="1"/>
  <c r="N156" i="3"/>
  <c r="M156" i="3"/>
  <c r="L156" i="3" s="1"/>
  <c r="U155" i="3"/>
  <c r="AE155" i="3" s="1"/>
  <c r="N155" i="3"/>
  <c r="M155" i="3"/>
  <c r="L155" i="3" s="1"/>
  <c r="P155" i="3" s="1"/>
  <c r="U154" i="3"/>
  <c r="AE154" i="3" s="1"/>
  <c r="N154" i="3"/>
  <c r="M154" i="3"/>
  <c r="L154" i="3" s="1"/>
  <c r="P154" i="3" s="1"/>
  <c r="U153" i="3"/>
  <c r="AE153" i="3" s="1"/>
  <c r="N153" i="3"/>
  <c r="M153" i="3"/>
  <c r="L153" i="3" s="1"/>
  <c r="U152" i="3"/>
  <c r="AE152" i="3" s="1"/>
  <c r="N152" i="3"/>
  <c r="M152" i="3"/>
  <c r="L152" i="3" s="1"/>
  <c r="U151" i="3"/>
  <c r="AE151" i="3" s="1"/>
  <c r="N151" i="3"/>
  <c r="M151" i="3"/>
  <c r="L151" i="3" s="1"/>
  <c r="U150" i="3"/>
  <c r="AE150" i="3" s="1"/>
  <c r="N150" i="3"/>
  <c r="M150" i="3"/>
  <c r="L150" i="3" s="1"/>
  <c r="U149" i="3"/>
  <c r="AE149" i="3" s="1"/>
  <c r="N149" i="3"/>
  <c r="M149" i="3"/>
  <c r="L149" i="3" s="1"/>
  <c r="U148" i="3"/>
  <c r="AE148" i="3" s="1"/>
  <c r="N148" i="3"/>
  <c r="M148" i="3"/>
  <c r="L148" i="3" s="1"/>
  <c r="U147" i="3"/>
  <c r="AE147" i="3" s="1"/>
  <c r="N147" i="3"/>
  <c r="M147" i="3"/>
  <c r="L147" i="3" s="1"/>
  <c r="P147" i="3" s="1"/>
  <c r="U146" i="3"/>
  <c r="AE146" i="3" s="1"/>
  <c r="N146" i="3"/>
  <c r="M146" i="3"/>
  <c r="L146" i="3" s="1"/>
  <c r="P146" i="3" s="1"/>
  <c r="U145" i="3"/>
  <c r="AE145" i="3" s="1"/>
  <c r="N145" i="3"/>
  <c r="M145" i="3"/>
  <c r="L145" i="3" s="1"/>
  <c r="U144" i="3"/>
  <c r="AE144" i="3" s="1"/>
  <c r="N144" i="3"/>
  <c r="M144" i="3"/>
  <c r="L144" i="3" s="1"/>
  <c r="P144" i="3" s="1"/>
  <c r="U143" i="3"/>
  <c r="AE143" i="3" s="1"/>
  <c r="N143" i="3"/>
  <c r="M143" i="3"/>
  <c r="L143" i="3" s="1"/>
  <c r="U142" i="3"/>
  <c r="AE142" i="3" s="1"/>
  <c r="N142" i="3"/>
  <c r="M142" i="3"/>
  <c r="U141" i="3"/>
  <c r="AE141" i="3" s="1"/>
  <c r="N141" i="3"/>
  <c r="M141" i="3"/>
  <c r="U140" i="3"/>
  <c r="AE140" i="3" s="1"/>
  <c r="N140" i="3"/>
  <c r="M140" i="3"/>
  <c r="L140" i="3"/>
  <c r="U139" i="3"/>
  <c r="AE139" i="3" s="1"/>
  <c r="N139" i="3"/>
  <c r="M139" i="3"/>
  <c r="L139" i="3" s="1"/>
  <c r="U138" i="3"/>
  <c r="N138" i="3"/>
  <c r="M138" i="3"/>
  <c r="L138" i="3" s="1"/>
  <c r="U137" i="3"/>
  <c r="AE137" i="3" s="1"/>
  <c r="N137" i="3"/>
  <c r="M137" i="3"/>
  <c r="L137" i="3" s="1"/>
  <c r="U136" i="3"/>
  <c r="AE136" i="3" s="1"/>
  <c r="N136" i="3"/>
  <c r="O136" i="3" s="1"/>
  <c r="M136" i="3"/>
  <c r="L136" i="3" s="1"/>
  <c r="U135" i="3"/>
  <c r="AE135" i="3" s="1"/>
  <c r="N135" i="3"/>
  <c r="M135" i="3"/>
  <c r="L135" i="3" s="1"/>
  <c r="P135" i="3" s="1"/>
  <c r="U134" i="3"/>
  <c r="AE134" i="3" s="1"/>
  <c r="N134" i="3"/>
  <c r="M134" i="3"/>
  <c r="U133" i="3"/>
  <c r="AE133" i="3" s="1"/>
  <c r="N133" i="3"/>
  <c r="M133" i="3"/>
  <c r="U132" i="3"/>
  <c r="AE132" i="3" s="1"/>
  <c r="N132" i="3"/>
  <c r="M132" i="3"/>
  <c r="L132" i="3" s="1"/>
  <c r="U131" i="3"/>
  <c r="AE131" i="3" s="1"/>
  <c r="N131" i="3"/>
  <c r="M131" i="3"/>
  <c r="L131" i="3" s="1"/>
  <c r="P131" i="3" s="1"/>
  <c r="U130" i="3"/>
  <c r="N130" i="3"/>
  <c r="M130" i="3"/>
  <c r="L130" i="3" s="1"/>
  <c r="U129" i="3"/>
  <c r="AE129" i="3" s="1"/>
  <c r="N129" i="3"/>
  <c r="O129" i="3" s="1"/>
  <c r="M129" i="3"/>
  <c r="L129" i="3" s="1"/>
  <c r="P129" i="3" s="1"/>
  <c r="U128" i="3"/>
  <c r="AE128" i="3" s="1"/>
  <c r="N128" i="3"/>
  <c r="M128" i="3"/>
  <c r="L128" i="3" s="1"/>
  <c r="P128" i="3" s="1"/>
  <c r="U127" i="3"/>
  <c r="AE127" i="3" s="1"/>
  <c r="N127" i="3"/>
  <c r="M127" i="3"/>
  <c r="L127" i="3" s="1"/>
  <c r="P127" i="3" s="1"/>
  <c r="U126" i="3"/>
  <c r="AE126" i="3" s="1"/>
  <c r="N126" i="3"/>
  <c r="M126" i="3"/>
  <c r="L126" i="3"/>
  <c r="U125" i="3"/>
  <c r="AE125" i="3" s="1"/>
  <c r="N125" i="3"/>
  <c r="M125" i="3"/>
  <c r="L125" i="3"/>
  <c r="P125" i="3" s="1"/>
  <c r="U124" i="3"/>
  <c r="AE124" i="3" s="1"/>
  <c r="N124" i="3"/>
  <c r="M124" i="3"/>
  <c r="L124" i="3" s="1"/>
  <c r="U123" i="3"/>
  <c r="AE123" i="3" s="1"/>
  <c r="N123" i="3"/>
  <c r="M123" i="3"/>
  <c r="L123" i="3" s="1"/>
  <c r="U122" i="3"/>
  <c r="N122" i="3"/>
  <c r="M122" i="3"/>
  <c r="L122" i="3" s="1"/>
  <c r="U121" i="3"/>
  <c r="AE121" i="3" s="1"/>
  <c r="N121" i="3"/>
  <c r="M121" i="3"/>
  <c r="L121" i="3"/>
  <c r="U120" i="3"/>
  <c r="AE120" i="3" s="1"/>
  <c r="N120" i="3"/>
  <c r="M120" i="3"/>
  <c r="L120" i="3" s="1"/>
  <c r="U119" i="3"/>
  <c r="AE119" i="3" s="1"/>
  <c r="N119" i="3"/>
  <c r="M119" i="3"/>
  <c r="L119" i="3" s="1"/>
  <c r="P119" i="3" s="1"/>
  <c r="U118" i="3"/>
  <c r="AE118" i="3" s="1"/>
  <c r="N118" i="3"/>
  <c r="M118" i="3"/>
  <c r="L118" i="3" s="1"/>
  <c r="U117" i="3"/>
  <c r="AE117" i="3" s="1"/>
  <c r="N117" i="3"/>
  <c r="M117" i="3"/>
  <c r="L117" i="3" s="1"/>
  <c r="P117" i="3" s="1"/>
  <c r="U116" i="3"/>
  <c r="AE116" i="3" s="1"/>
  <c r="N116" i="3"/>
  <c r="M116" i="3"/>
  <c r="L116" i="3" s="1"/>
  <c r="U115" i="3"/>
  <c r="AE115" i="3" s="1"/>
  <c r="N115" i="3"/>
  <c r="M115" i="3"/>
  <c r="L115" i="3" s="1"/>
  <c r="U114" i="3"/>
  <c r="N114" i="3"/>
  <c r="M114" i="3"/>
  <c r="L114" i="3"/>
  <c r="U113" i="3"/>
  <c r="AE113" i="3" s="1"/>
  <c r="N113" i="3"/>
  <c r="M113" i="3"/>
  <c r="L113" i="3"/>
  <c r="P113" i="3" s="1"/>
  <c r="U112" i="3"/>
  <c r="AE112" i="3" s="1"/>
  <c r="N112" i="3"/>
  <c r="M112" i="3"/>
  <c r="L112" i="3" s="1"/>
  <c r="U111" i="3"/>
  <c r="AE111" i="3" s="1"/>
  <c r="N111" i="3"/>
  <c r="M111" i="3"/>
  <c r="L111" i="3" s="1"/>
  <c r="P111" i="3" s="1"/>
  <c r="U110" i="3"/>
  <c r="AE110" i="3" s="1"/>
  <c r="N110" i="3"/>
  <c r="M110" i="3"/>
  <c r="L110" i="3"/>
  <c r="P110" i="3" s="1"/>
  <c r="U109" i="3"/>
  <c r="AE109" i="3" s="1"/>
  <c r="O109" i="3"/>
  <c r="N109" i="3"/>
  <c r="M109" i="3"/>
  <c r="L109" i="3" s="1"/>
  <c r="P109" i="3" s="1"/>
  <c r="U108" i="3"/>
  <c r="AE108" i="3" s="1"/>
  <c r="N108" i="3"/>
  <c r="M108" i="3"/>
  <c r="L108" i="3" s="1"/>
  <c r="U107" i="3"/>
  <c r="AE107" i="3" s="1"/>
  <c r="N107" i="3"/>
  <c r="M107" i="3"/>
  <c r="L107" i="3" s="1"/>
  <c r="U106" i="3"/>
  <c r="N106" i="3"/>
  <c r="O106" i="3" s="1"/>
  <c r="M106" i="3"/>
  <c r="L106" i="3" s="1"/>
  <c r="U105" i="3"/>
  <c r="AE105" i="3" s="1"/>
  <c r="N105" i="3"/>
  <c r="M105" i="3"/>
  <c r="L105" i="3" s="1"/>
  <c r="P105" i="3" s="1"/>
  <c r="U104" i="3"/>
  <c r="AE104" i="3" s="1"/>
  <c r="N104" i="3"/>
  <c r="M104" i="3"/>
  <c r="L104" i="3" s="1"/>
  <c r="P104" i="3" s="1"/>
  <c r="U103" i="3"/>
  <c r="AE103" i="3" s="1"/>
  <c r="N103" i="3"/>
  <c r="M103" i="3"/>
  <c r="L103" i="3"/>
  <c r="P103" i="3" s="1"/>
  <c r="U102" i="3"/>
  <c r="AE102" i="3" s="1"/>
  <c r="V102" i="3"/>
  <c r="N102" i="3"/>
  <c r="M102" i="3"/>
  <c r="L102" i="3" s="1"/>
  <c r="P102" i="3" s="1"/>
  <c r="U101" i="3"/>
  <c r="AE101" i="3" s="1"/>
  <c r="N101" i="3"/>
  <c r="M101" i="3"/>
  <c r="L101" i="3" s="1"/>
  <c r="U100" i="3"/>
  <c r="AE100" i="3" s="1"/>
  <c r="N100" i="3"/>
  <c r="M100" i="3"/>
  <c r="L100" i="3" s="1"/>
  <c r="P100" i="3" s="1"/>
  <c r="U99" i="3"/>
  <c r="AE99" i="3" s="1"/>
  <c r="N99" i="3"/>
  <c r="M99" i="3"/>
  <c r="L99" i="3" s="1"/>
  <c r="U98" i="3"/>
  <c r="N98" i="3"/>
  <c r="M98" i="3"/>
  <c r="L98" i="3" s="1"/>
  <c r="U97" i="3"/>
  <c r="AE97" i="3" s="1"/>
  <c r="V97" i="3"/>
  <c r="N97" i="3"/>
  <c r="M97" i="3"/>
  <c r="L97" i="3" s="1"/>
  <c r="P97" i="3" s="1"/>
  <c r="U96" i="3"/>
  <c r="AE96" i="3" s="1"/>
  <c r="N96" i="3"/>
  <c r="M96" i="3"/>
  <c r="L96" i="3" s="1"/>
  <c r="U95" i="3"/>
  <c r="AE95" i="3" s="1"/>
  <c r="O95" i="3"/>
  <c r="N95" i="3"/>
  <c r="M95" i="3"/>
  <c r="U94" i="3"/>
  <c r="AE94" i="3" s="1"/>
  <c r="N94" i="3"/>
  <c r="M94" i="3"/>
  <c r="U93" i="3"/>
  <c r="AE93" i="3" s="1"/>
  <c r="N93" i="3"/>
  <c r="M93" i="3"/>
  <c r="L93" i="3" s="1"/>
  <c r="U92" i="3"/>
  <c r="AE92" i="3" s="1"/>
  <c r="N92" i="3"/>
  <c r="M92" i="3"/>
  <c r="L92" i="3" s="1"/>
  <c r="U91" i="3"/>
  <c r="AE91" i="3" s="1"/>
  <c r="O91" i="3"/>
  <c r="N91" i="3"/>
  <c r="M91" i="3"/>
  <c r="L91" i="3" s="1"/>
  <c r="U90" i="3"/>
  <c r="V90" i="3"/>
  <c r="N90" i="3"/>
  <c r="M90" i="3"/>
  <c r="L90" i="3"/>
  <c r="P90" i="3" s="1"/>
  <c r="U89" i="3"/>
  <c r="AE89" i="3" s="1"/>
  <c r="N89" i="3"/>
  <c r="M89" i="3"/>
  <c r="L89" i="3"/>
  <c r="P89" i="3" s="1"/>
  <c r="U88" i="3"/>
  <c r="AE88" i="3" s="1"/>
  <c r="N88" i="3"/>
  <c r="M88" i="3"/>
  <c r="L88" i="3" s="1"/>
  <c r="U87" i="3"/>
  <c r="AE87" i="3" s="1"/>
  <c r="N87" i="3"/>
  <c r="M87" i="3"/>
  <c r="L87" i="3"/>
  <c r="U86" i="3"/>
  <c r="AE86" i="3" s="1"/>
  <c r="N86" i="3"/>
  <c r="M86" i="3"/>
  <c r="L86" i="3"/>
  <c r="P86" i="3" s="1"/>
  <c r="U85" i="3"/>
  <c r="AE85" i="3" s="1"/>
  <c r="N85" i="3"/>
  <c r="M85" i="3"/>
  <c r="L85" i="3"/>
  <c r="U84" i="3"/>
  <c r="AE84" i="3" s="1"/>
  <c r="N84" i="3"/>
  <c r="M84" i="3"/>
  <c r="L84" i="3"/>
  <c r="U83" i="3"/>
  <c r="AE83" i="3" s="1"/>
  <c r="N83" i="3"/>
  <c r="M83" i="3"/>
  <c r="L83" i="3"/>
  <c r="U82" i="3"/>
  <c r="AE82" i="3" s="1"/>
  <c r="N82" i="3"/>
  <c r="M82" i="3"/>
  <c r="L82" i="3" s="1"/>
  <c r="P82" i="3" s="1"/>
  <c r="U81" i="3"/>
  <c r="N81" i="3"/>
  <c r="M81" i="3"/>
  <c r="L81" i="3" s="1"/>
  <c r="P81" i="3" s="1"/>
  <c r="U80" i="3"/>
  <c r="AE80" i="3" s="1"/>
  <c r="N80" i="3"/>
  <c r="M80" i="3"/>
  <c r="L80" i="3" s="1"/>
  <c r="U79" i="3"/>
  <c r="AE79" i="3" s="1"/>
  <c r="N79" i="3"/>
  <c r="M79" i="3"/>
  <c r="L79" i="3" s="1"/>
  <c r="U78" i="3"/>
  <c r="AE78" i="3" s="1"/>
  <c r="N78" i="3"/>
  <c r="M78" i="3"/>
  <c r="L78" i="3" s="1"/>
  <c r="P78" i="3" s="1"/>
  <c r="V78" i="3" s="1"/>
  <c r="U77" i="3"/>
  <c r="N77" i="3"/>
  <c r="M77" i="3"/>
  <c r="L77" i="3" s="1"/>
  <c r="P77" i="3" s="1"/>
  <c r="U76" i="3"/>
  <c r="V76" i="3" s="1"/>
  <c r="N76" i="3"/>
  <c r="M76" i="3"/>
  <c r="L76" i="3" s="1"/>
  <c r="P76" i="3" s="1"/>
  <c r="U75" i="3"/>
  <c r="AE75" i="3" s="1"/>
  <c r="N75" i="3"/>
  <c r="M75" i="3"/>
  <c r="L75" i="3" s="1"/>
  <c r="P75" i="3" s="1"/>
  <c r="U74" i="3"/>
  <c r="AE74" i="3" s="1"/>
  <c r="V74" i="3"/>
  <c r="N74" i="3"/>
  <c r="M74" i="3"/>
  <c r="L74" i="3" s="1"/>
  <c r="P74" i="3" s="1"/>
  <c r="U73" i="3"/>
  <c r="AE73" i="3" s="1"/>
  <c r="N73" i="3"/>
  <c r="M73" i="3"/>
  <c r="L73" i="3" s="1"/>
  <c r="P73" i="3" s="1"/>
  <c r="U72" i="3"/>
  <c r="AE72" i="3" s="1"/>
  <c r="N72" i="3"/>
  <c r="M72" i="3"/>
  <c r="L72" i="3" s="1"/>
  <c r="U71" i="3"/>
  <c r="AE71" i="3" s="1"/>
  <c r="N71" i="3"/>
  <c r="M71" i="3"/>
  <c r="L71" i="3" s="1"/>
  <c r="U70" i="3"/>
  <c r="AE70" i="3" s="1"/>
  <c r="N70" i="3"/>
  <c r="M70" i="3"/>
  <c r="L70" i="3"/>
  <c r="U69" i="3"/>
  <c r="N69" i="3"/>
  <c r="M69" i="3"/>
  <c r="L69" i="3" s="1"/>
  <c r="U68" i="3"/>
  <c r="AE68" i="3" s="1"/>
  <c r="N68" i="3"/>
  <c r="M68" i="3"/>
  <c r="L68" i="3"/>
  <c r="P68" i="3" s="1"/>
  <c r="U67" i="3"/>
  <c r="AE67" i="3" s="1"/>
  <c r="N67" i="3"/>
  <c r="M67" i="3"/>
  <c r="L67" i="3" s="1"/>
  <c r="P67" i="3" s="1"/>
  <c r="U66" i="3"/>
  <c r="AE66" i="3" s="1"/>
  <c r="N66" i="3"/>
  <c r="M66" i="3"/>
  <c r="L66" i="3" s="1"/>
  <c r="P66" i="3" s="1"/>
  <c r="U65" i="3"/>
  <c r="AE65" i="3" s="1"/>
  <c r="N65" i="3"/>
  <c r="M65" i="3"/>
  <c r="L65" i="3" s="1"/>
  <c r="P65" i="3" s="1"/>
  <c r="U64" i="3"/>
  <c r="AE64" i="3" s="1"/>
  <c r="N64" i="3"/>
  <c r="M64" i="3"/>
  <c r="L64" i="3" s="1"/>
  <c r="P64" i="3" s="1"/>
  <c r="U63" i="3"/>
  <c r="AE63" i="3" s="1"/>
  <c r="N63" i="3"/>
  <c r="M63" i="3"/>
  <c r="L63" i="3" s="1"/>
  <c r="U62" i="3"/>
  <c r="AE62" i="3" s="1"/>
  <c r="N62" i="3"/>
  <c r="M62" i="3"/>
  <c r="L62" i="3" s="1"/>
  <c r="P62" i="3" s="1"/>
  <c r="U61" i="3"/>
  <c r="N61" i="3"/>
  <c r="M61" i="3"/>
  <c r="L61" i="3" s="1"/>
  <c r="U60" i="3"/>
  <c r="AE60" i="3" s="1"/>
  <c r="N60" i="3"/>
  <c r="M60" i="3"/>
  <c r="L60" i="3" s="1"/>
  <c r="P60" i="3" s="1"/>
  <c r="U59" i="3"/>
  <c r="AE59" i="3" s="1"/>
  <c r="N59" i="3"/>
  <c r="M59" i="3"/>
  <c r="L59" i="3" s="1"/>
  <c r="P59" i="3" s="1"/>
  <c r="U58" i="3"/>
  <c r="AE58" i="3" s="1"/>
  <c r="N58" i="3"/>
  <c r="M58" i="3"/>
  <c r="L58" i="3"/>
  <c r="P58" i="3" s="1"/>
  <c r="U57" i="3"/>
  <c r="AE57" i="3" s="1"/>
  <c r="N57" i="3"/>
  <c r="M57" i="3"/>
  <c r="L57" i="3" s="1"/>
  <c r="P57" i="3" s="1"/>
  <c r="U56" i="3"/>
  <c r="AE56" i="3" s="1"/>
  <c r="N56" i="3"/>
  <c r="M56" i="3"/>
  <c r="L56" i="3"/>
  <c r="P56" i="3" s="1"/>
  <c r="U55" i="3"/>
  <c r="N55" i="3"/>
  <c r="M55" i="3"/>
  <c r="L55" i="3"/>
  <c r="U54" i="3"/>
  <c r="AE54" i="3" s="1"/>
  <c r="N54" i="3"/>
  <c r="M54" i="3"/>
  <c r="L54" i="3" s="1"/>
  <c r="P54" i="3" s="1"/>
  <c r="U53" i="3"/>
  <c r="AE53" i="3" s="1"/>
  <c r="N53" i="3"/>
  <c r="M53" i="3"/>
  <c r="L53" i="3" s="1"/>
  <c r="U52" i="3"/>
  <c r="AE52" i="3" s="1"/>
  <c r="N52" i="3"/>
  <c r="M52" i="3"/>
  <c r="L52" i="3" s="1"/>
  <c r="P52" i="3" s="1"/>
  <c r="U51" i="3"/>
  <c r="AE51" i="3" s="1"/>
  <c r="N51" i="3"/>
  <c r="M51" i="3"/>
  <c r="L51" i="3" s="1"/>
  <c r="U50" i="3"/>
  <c r="AE50" i="3" s="1"/>
  <c r="N50" i="3"/>
  <c r="M50" i="3"/>
  <c r="L50" i="3" s="1"/>
  <c r="P50" i="3" s="1"/>
  <c r="U49" i="3"/>
  <c r="AE49" i="3" s="1"/>
  <c r="N49" i="3"/>
  <c r="M49" i="3"/>
  <c r="L49" i="3" s="1"/>
  <c r="P49" i="3" s="1"/>
  <c r="U48" i="3"/>
  <c r="V48" i="3" s="1"/>
  <c r="N48" i="3"/>
  <c r="M48" i="3"/>
  <c r="L48" i="3" s="1"/>
  <c r="P48" i="3" s="1"/>
  <c r="U47" i="3"/>
  <c r="AE47" i="3" s="1"/>
  <c r="N47" i="3"/>
  <c r="M47" i="3"/>
  <c r="L47" i="3" s="1"/>
  <c r="P47" i="3" s="1"/>
  <c r="U46" i="3"/>
  <c r="N46" i="3"/>
  <c r="M46" i="3"/>
  <c r="L46" i="3" s="1"/>
  <c r="P46" i="3" s="1"/>
  <c r="U45" i="3"/>
  <c r="AE45" i="3" s="1"/>
  <c r="N45" i="3"/>
  <c r="M45" i="3"/>
  <c r="L45" i="3" s="1"/>
  <c r="P45" i="3" s="1"/>
  <c r="U44" i="3"/>
  <c r="V44" i="3" s="1"/>
  <c r="N44" i="3"/>
  <c r="M44" i="3"/>
  <c r="L44" i="3" s="1"/>
  <c r="P44" i="3" s="1"/>
  <c r="U43" i="3"/>
  <c r="AE43" i="3" s="1"/>
  <c r="N43" i="3"/>
  <c r="M43" i="3"/>
  <c r="L43" i="3" s="1"/>
  <c r="U42" i="3"/>
  <c r="AE42" i="3" s="1"/>
  <c r="AF42" i="3" s="1"/>
  <c r="N42" i="3"/>
  <c r="T42" i="3" s="1"/>
  <c r="M42" i="3"/>
  <c r="L42" i="3" s="1"/>
  <c r="P42" i="3" s="1"/>
  <c r="U41" i="3"/>
  <c r="AE41" i="3" s="1"/>
  <c r="N41" i="3"/>
  <c r="M41" i="3"/>
  <c r="L41" i="3" s="1"/>
  <c r="P41" i="3" s="1"/>
  <c r="U40" i="3"/>
  <c r="AE40" i="3" s="1"/>
  <c r="N40" i="3"/>
  <c r="M40" i="3"/>
  <c r="L40" i="3" s="1"/>
  <c r="P40" i="3" s="1"/>
  <c r="U39" i="3"/>
  <c r="AE39" i="3" s="1"/>
  <c r="N39" i="3"/>
  <c r="M39" i="3"/>
  <c r="L39" i="3" s="1"/>
  <c r="P39" i="3" s="1"/>
  <c r="U38" i="3"/>
  <c r="N38" i="3"/>
  <c r="M38" i="3"/>
  <c r="L38" i="3"/>
  <c r="U37" i="3"/>
  <c r="AE37" i="3" s="1"/>
  <c r="N37" i="3"/>
  <c r="M37" i="3"/>
  <c r="L37" i="3" s="1"/>
  <c r="P37" i="3" s="1"/>
  <c r="U36" i="3"/>
  <c r="AE36" i="3" s="1"/>
  <c r="N36" i="3"/>
  <c r="M36" i="3"/>
  <c r="L36" i="3" s="1"/>
  <c r="P36" i="3" s="1"/>
  <c r="U35" i="3"/>
  <c r="AE35" i="3" s="1"/>
  <c r="N35" i="3"/>
  <c r="M35" i="3"/>
  <c r="L35" i="3"/>
  <c r="U34" i="3"/>
  <c r="AE34" i="3" s="1"/>
  <c r="N34" i="3"/>
  <c r="M34" i="3"/>
  <c r="L34" i="3"/>
  <c r="P34" i="3" s="1"/>
  <c r="U33" i="3"/>
  <c r="AE33" i="3" s="1"/>
  <c r="N33" i="3"/>
  <c r="M33" i="3"/>
  <c r="L33" i="3" s="1"/>
  <c r="U32" i="3"/>
  <c r="AE32" i="3" s="1"/>
  <c r="N32" i="3"/>
  <c r="M32" i="3"/>
  <c r="L32" i="3" s="1"/>
  <c r="P32" i="3" s="1"/>
  <c r="U31" i="3"/>
  <c r="N31" i="3"/>
  <c r="M31" i="3"/>
  <c r="L31" i="3" s="1"/>
  <c r="U30" i="3"/>
  <c r="AE30" i="3" s="1"/>
  <c r="N30" i="3"/>
  <c r="M30" i="3"/>
  <c r="L30" i="3"/>
  <c r="P30" i="3" s="1"/>
  <c r="U29" i="3"/>
  <c r="AE29" i="3" s="1"/>
  <c r="N29" i="3"/>
  <c r="M29" i="3"/>
  <c r="L29" i="3" s="1"/>
  <c r="U28" i="3"/>
  <c r="AE28" i="3" s="1"/>
  <c r="V28" i="3"/>
  <c r="N28" i="3"/>
  <c r="M28" i="3"/>
  <c r="L28" i="3"/>
  <c r="P28" i="3" s="1"/>
  <c r="U27" i="3"/>
  <c r="AE27" i="3" s="1"/>
  <c r="N27" i="3"/>
  <c r="M27" i="3"/>
  <c r="L27" i="3"/>
  <c r="U26" i="3"/>
  <c r="AE26" i="3" s="1"/>
  <c r="N26" i="3"/>
  <c r="M26" i="3"/>
  <c r="L26" i="3"/>
  <c r="P26" i="3" s="1"/>
  <c r="U25" i="3"/>
  <c r="AE25" i="3" s="1"/>
  <c r="N25" i="3"/>
  <c r="M25" i="3"/>
  <c r="L25" i="3"/>
  <c r="U24" i="3"/>
  <c r="N24" i="3"/>
  <c r="M24" i="3"/>
  <c r="L24" i="3" s="1"/>
  <c r="P24" i="3" s="1"/>
  <c r="V24" i="3" s="1"/>
  <c r="U23" i="3"/>
  <c r="AE23" i="3" s="1"/>
  <c r="N23" i="3"/>
  <c r="M23" i="3"/>
  <c r="L23" i="3"/>
  <c r="U22" i="3"/>
  <c r="AE22" i="3" s="1"/>
  <c r="N22" i="3"/>
  <c r="M22" i="3"/>
  <c r="L22" i="3" s="1"/>
  <c r="P22" i="3" s="1"/>
  <c r="U21" i="3"/>
  <c r="AE21" i="3" s="1"/>
  <c r="N21" i="3"/>
  <c r="M21" i="3"/>
  <c r="L21" i="3"/>
  <c r="U20" i="3"/>
  <c r="N20" i="3"/>
  <c r="M20" i="3"/>
  <c r="L20" i="3" s="1"/>
  <c r="P20" i="3" s="1"/>
  <c r="U19" i="3"/>
  <c r="AE19" i="3" s="1"/>
  <c r="N19" i="3"/>
  <c r="M19" i="3"/>
  <c r="L19" i="3" s="1"/>
  <c r="U18" i="3"/>
  <c r="AE18" i="3" s="1"/>
  <c r="N18" i="3"/>
  <c r="M18" i="3"/>
  <c r="L18" i="3" s="1"/>
  <c r="U17" i="3"/>
  <c r="N17" i="3"/>
  <c r="M17" i="3"/>
  <c r="L17" i="3" s="1"/>
  <c r="U16" i="3"/>
  <c r="AE16" i="3" s="1"/>
  <c r="N16" i="3"/>
  <c r="M16" i="3"/>
  <c r="L16" i="3" s="1"/>
  <c r="U15" i="3"/>
  <c r="AE15" i="3" s="1"/>
  <c r="N15" i="3"/>
  <c r="M15" i="3"/>
  <c r="L15" i="3" s="1"/>
  <c r="P15" i="3" s="1"/>
  <c r="U14" i="3"/>
  <c r="AE14" i="3" s="1"/>
  <c r="N14" i="3"/>
  <c r="M14" i="3"/>
  <c r="L14" i="3" s="1"/>
  <c r="U13" i="3"/>
  <c r="N13" i="3"/>
  <c r="M13" i="3"/>
  <c r="L13" i="3" s="1"/>
  <c r="P13" i="3" s="1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P189" i="3" l="1"/>
  <c r="V189" i="3" s="1"/>
  <c r="P194" i="3"/>
  <c r="V194" i="3" s="1"/>
  <c r="V220" i="3"/>
  <c r="P220" i="3"/>
  <c r="P16" i="3"/>
  <c r="V16" i="3" s="1"/>
  <c r="P93" i="3"/>
  <c r="V93" i="3" s="1"/>
  <c r="P122" i="3"/>
  <c r="V122" i="3" s="1"/>
  <c r="V192" i="3"/>
  <c r="P192" i="3"/>
  <c r="P218" i="3"/>
  <c r="V218" i="3" s="1"/>
  <c r="P14" i="3"/>
  <c r="V14" i="3" s="1"/>
  <c r="P63" i="3"/>
  <c r="V63" i="3" s="1"/>
  <c r="V138" i="3"/>
  <c r="P138" i="3"/>
  <c r="P193" i="3"/>
  <c r="V193" i="3" s="1"/>
  <c r="P207" i="3"/>
  <c r="V207" i="3" s="1"/>
  <c r="P231" i="3"/>
  <c r="V231" i="3" s="1"/>
  <c r="V61" i="3"/>
  <c r="P61" i="3"/>
  <c r="P18" i="3"/>
  <c r="V18" i="3" s="1"/>
  <c r="P79" i="3"/>
  <c r="V79" i="3" s="1"/>
  <c r="O14" i="3"/>
  <c r="T14" i="3"/>
  <c r="R14" i="3"/>
  <c r="O16" i="3"/>
  <c r="T16" i="3"/>
  <c r="R16" i="3"/>
  <c r="O18" i="3"/>
  <c r="T18" i="3"/>
  <c r="R18" i="3"/>
  <c r="O20" i="3"/>
  <c r="T20" i="3"/>
  <c r="R20" i="3"/>
  <c r="O22" i="3"/>
  <c r="T22" i="3"/>
  <c r="Z22" i="3" s="1"/>
  <c r="R22" i="3"/>
  <c r="O24" i="3"/>
  <c r="T24" i="3"/>
  <c r="R24" i="3"/>
  <c r="V35" i="3"/>
  <c r="P35" i="3"/>
  <c r="T37" i="3"/>
  <c r="R37" i="3"/>
  <c r="T50" i="3"/>
  <c r="R50" i="3"/>
  <c r="P53" i="3"/>
  <c r="V53" i="3" s="1"/>
  <c r="O57" i="3"/>
  <c r="T57" i="3"/>
  <c r="R57" i="3"/>
  <c r="S57" i="3" s="1"/>
  <c r="O59" i="3"/>
  <c r="T59" i="3"/>
  <c r="R59" i="3"/>
  <c r="O77" i="3"/>
  <c r="T77" i="3"/>
  <c r="R77" i="3"/>
  <c r="O79" i="3"/>
  <c r="T79" i="3"/>
  <c r="R79" i="3"/>
  <c r="S79" i="3" s="1"/>
  <c r="Y79" i="3" s="1"/>
  <c r="O115" i="3"/>
  <c r="T115" i="3"/>
  <c r="R115" i="3"/>
  <c r="T120" i="3"/>
  <c r="R120" i="3"/>
  <c r="O122" i="3"/>
  <c r="T122" i="3"/>
  <c r="R122" i="3"/>
  <c r="X122" i="3" s="1"/>
  <c r="T134" i="3"/>
  <c r="R134" i="3"/>
  <c r="T151" i="3"/>
  <c r="R151" i="3"/>
  <c r="T159" i="3"/>
  <c r="R159" i="3"/>
  <c r="T167" i="3"/>
  <c r="R167" i="3"/>
  <c r="X167" i="3" s="1"/>
  <c r="P182" i="3"/>
  <c r="V182" i="3" s="1"/>
  <c r="W182" i="3" s="1"/>
  <c r="O183" i="3"/>
  <c r="O185" i="3"/>
  <c r="T185" i="3"/>
  <c r="O195" i="3"/>
  <c r="O205" i="3"/>
  <c r="T205" i="3"/>
  <c r="O207" i="3"/>
  <c r="T207" i="3"/>
  <c r="P210" i="3"/>
  <c r="V210" i="3" s="1"/>
  <c r="V214" i="3"/>
  <c r="P214" i="3"/>
  <c r="O216" i="3"/>
  <c r="T216" i="3"/>
  <c r="O220" i="3"/>
  <c r="T220" i="3"/>
  <c r="O222" i="3"/>
  <c r="T222" i="3"/>
  <c r="O227" i="3"/>
  <c r="T227" i="3"/>
  <c r="O229" i="3"/>
  <c r="O231" i="3"/>
  <c r="T231" i="3"/>
  <c r="O236" i="3"/>
  <c r="T236" i="3"/>
  <c r="V20" i="3"/>
  <c r="O26" i="3"/>
  <c r="T26" i="3"/>
  <c r="R26" i="3"/>
  <c r="S26" i="3" s="1"/>
  <c r="Y26" i="3" s="1"/>
  <c r="O28" i="3"/>
  <c r="T28" i="3"/>
  <c r="R28" i="3"/>
  <c r="O30" i="3"/>
  <c r="T30" i="3"/>
  <c r="R30" i="3"/>
  <c r="P33" i="3"/>
  <c r="V33" i="3" s="1"/>
  <c r="R42" i="3"/>
  <c r="T45" i="3"/>
  <c r="R45" i="3"/>
  <c r="O53" i="3"/>
  <c r="T53" i="3"/>
  <c r="R53" i="3"/>
  <c r="O55" i="3"/>
  <c r="T55" i="3"/>
  <c r="Z55" i="3" s="1"/>
  <c r="R55" i="3"/>
  <c r="O70" i="3"/>
  <c r="T70" i="3"/>
  <c r="R70" i="3"/>
  <c r="Z77" i="3"/>
  <c r="O82" i="3"/>
  <c r="T82" i="3"/>
  <c r="R82" i="3"/>
  <c r="AB82" i="3" s="1"/>
  <c r="O84" i="3"/>
  <c r="T84" i="3"/>
  <c r="R84" i="3"/>
  <c r="X84" i="3" s="1"/>
  <c r="P88" i="3"/>
  <c r="V88" i="3" s="1"/>
  <c r="V92" i="3"/>
  <c r="P92" i="3"/>
  <c r="V96" i="3"/>
  <c r="P96" i="3"/>
  <c r="V98" i="3"/>
  <c r="P98" i="3"/>
  <c r="O102" i="3"/>
  <c r="T102" i="3"/>
  <c r="R102" i="3"/>
  <c r="O104" i="3"/>
  <c r="T104" i="3"/>
  <c r="R104" i="3"/>
  <c r="T109" i="3"/>
  <c r="R109" i="3"/>
  <c r="O111" i="3"/>
  <c r="T111" i="3"/>
  <c r="R111" i="3"/>
  <c r="O113" i="3"/>
  <c r="T113" i="3"/>
  <c r="Z113" i="3" s="1"/>
  <c r="R113" i="3"/>
  <c r="V118" i="3"/>
  <c r="P118" i="3"/>
  <c r="O127" i="3"/>
  <c r="T127" i="3"/>
  <c r="R127" i="3"/>
  <c r="P132" i="3"/>
  <c r="V132" i="3" s="1"/>
  <c r="O134" i="3"/>
  <c r="V139" i="3"/>
  <c r="P139" i="3"/>
  <c r="O141" i="3"/>
  <c r="T141" i="3"/>
  <c r="R141" i="3"/>
  <c r="T146" i="3"/>
  <c r="R146" i="3"/>
  <c r="AB146" i="3" s="1"/>
  <c r="V149" i="3"/>
  <c r="P149" i="3"/>
  <c r="T154" i="3"/>
  <c r="R154" i="3"/>
  <c r="V157" i="3"/>
  <c r="P157" i="3"/>
  <c r="T162" i="3"/>
  <c r="R162" i="3"/>
  <c r="AB162" i="3" s="1"/>
  <c r="V165" i="3"/>
  <c r="P165" i="3"/>
  <c r="P170" i="3"/>
  <c r="V170" i="3" s="1"/>
  <c r="O173" i="3"/>
  <c r="T173" i="3"/>
  <c r="Z173" i="3" s="1"/>
  <c r="O176" i="3"/>
  <c r="O180" i="3"/>
  <c r="V188" i="3"/>
  <c r="P188" i="3"/>
  <c r="P190" i="3"/>
  <c r="V190" i="3" s="1"/>
  <c r="O197" i="3"/>
  <c r="T197" i="3"/>
  <c r="O212" i="3"/>
  <c r="T212" i="3"/>
  <c r="Z212" i="3" s="1"/>
  <c r="O214" i="3"/>
  <c r="T214" i="3"/>
  <c r="O224" i="3"/>
  <c r="T224" i="3"/>
  <c r="Z224" i="3" s="1"/>
  <c r="V226" i="3"/>
  <c r="P226" i="3"/>
  <c r="Z227" i="3"/>
  <c r="AB231" i="3"/>
  <c r="O233" i="3"/>
  <c r="AB216" i="3"/>
  <c r="P17" i="3"/>
  <c r="V17" i="3" s="1"/>
  <c r="W17" i="3" s="1"/>
  <c r="V19" i="3"/>
  <c r="P19" i="3"/>
  <c r="P21" i="3"/>
  <c r="Q21" i="3" s="1"/>
  <c r="V23" i="3"/>
  <c r="P23" i="3"/>
  <c r="O33" i="3"/>
  <c r="T33" i="3"/>
  <c r="R33" i="3"/>
  <c r="AB33" i="3" s="1"/>
  <c r="O35" i="3"/>
  <c r="T35" i="3"/>
  <c r="R35" i="3"/>
  <c r="V38" i="3"/>
  <c r="P38" i="3"/>
  <c r="T40" i="3"/>
  <c r="R40" i="3"/>
  <c r="V43" i="3"/>
  <c r="P43" i="3"/>
  <c r="T48" i="3"/>
  <c r="R48" i="3"/>
  <c r="V51" i="3"/>
  <c r="P51" i="3"/>
  <c r="O62" i="3"/>
  <c r="T62" i="3"/>
  <c r="R62" i="3"/>
  <c r="AB62" i="3" s="1"/>
  <c r="O68" i="3"/>
  <c r="T68" i="3"/>
  <c r="Z68" i="3" s="1"/>
  <c r="R68" i="3"/>
  <c r="O75" i="3"/>
  <c r="T75" i="3"/>
  <c r="R75" i="3"/>
  <c r="V80" i="3"/>
  <c r="P80" i="3"/>
  <c r="O86" i="3"/>
  <c r="T86" i="3"/>
  <c r="R86" i="3"/>
  <c r="O88" i="3"/>
  <c r="T88" i="3"/>
  <c r="R88" i="3"/>
  <c r="O90" i="3"/>
  <c r="T90" i="3"/>
  <c r="R90" i="3"/>
  <c r="T92" i="3"/>
  <c r="Z92" i="3" s="1"/>
  <c r="R92" i="3"/>
  <c r="T94" i="3"/>
  <c r="R94" i="3"/>
  <c r="T96" i="3"/>
  <c r="R96" i="3"/>
  <c r="T98" i="3"/>
  <c r="R98" i="3"/>
  <c r="V107" i="3"/>
  <c r="P107" i="3"/>
  <c r="V116" i="3"/>
  <c r="P116" i="3"/>
  <c r="O118" i="3"/>
  <c r="T118" i="3"/>
  <c r="R118" i="3"/>
  <c r="P121" i="3"/>
  <c r="Q121" i="3" s="1"/>
  <c r="V123" i="3"/>
  <c r="P123" i="3"/>
  <c r="O125" i="3"/>
  <c r="T125" i="3"/>
  <c r="R125" i="3"/>
  <c r="V130" i="3"/>
  <c r="P130" i="3"/>
  <c r="T132" i="3"/>
  <c r="R132" i="3"/>
  <c r="V137" i="3"/>
  <c r="P137" i="3"/>
  <c r="O139" i="3"/>
  <c r="T139" i="3"/>
  <c r="R139" i="3"/>
  <c r="T149" i="3"/>
  <c r="R149" i="3"/>
  <c r="Q149" i="3" s="1"/>
  <c r="V152" i="3"/>
  <c r="P152" i="3"/>
  <c r="T157" i="3"/>
  <c r="R157" i="3"/>
  <c r="V160" i="3"/>
  <c r="P160" i="3"/>
  <c r="T165" i="3"/>
  <c r="R165" i="3"/>
  <c r="Q165" i="3" s="1"/>
  <c r="V168" i="3"/>
  <c r="P168" i="3"/>
  <c r="T170" i="3"/>
  <c r="R170" i="3"/>
  <c r="V172" i="3"/>
  <c r="P172" i="3"/>
  <c r="O178" i="3"/>
  <c r="T178" i="3"/>
  <c r="Z178" i="3" s="1"/>
  <c r="O182" i="3"/>
  <c r="T182" i="3"/>
  <c r="Z182" i="3" s="1"/>
  <c r="P184" i="3"/>
  <c r="V184" i="3" s="1"/>
  <c r="V196" i="3"/>
  <c r="P196" i="3"/>
  <c r="O210" i="3"/>
  <c r="T210" i="3"/>
  <c r="Z210" i="3" s="1"/>
  <c r="V217" i="3"/>
  <c r="P217" i="3"/>
  <c r="P219" i="3"/>
  <c r="V219" i="3" s="1"/>
  <c r="V221" i="3"/>
  <c r="P221" i="3"/>
  <c r="P223" i="3"/>
  <c r="Q223" i="3" s="1"/>
  <c r="V228" i="3"/>
  <c r="P228" i="3"/>
  <c r="P230" i="3"/>
  <c r="V230" i="3" s="1"/>
  <c r="T13" i="3"/>
  <c r="R13" i="3"/>
  <c r="T15" i="3"/>
  <c r="R15" i="3"/>
  <c r="AB15" i="3" s="1"/>
  <c r="T17" i="3"/>
  <c r="R17" i="3"/>
  <c r="T19" i="3"/>
  <c r="R19" i="3"/>
  <c r="V25" i="3"/>
  <c r="P25" i="3"/>
  <c r="P27" i="3"/>
  <c r="Q27" i="3" s="1"/>
  <c r="V31" i="3"/>
  <c r="P31" i="3"/>
  <c r="T43" i="3"/>
  <c r="R43" i="3"/>
  <c r="T51" i="3"/>
  <c r="R51" i="3"/>
  <c r="O60" i="3"/>
  <c r="T60" i="3"/>
  <c r="R60" i="3"/>
  <c r="O64" i="3"/>
  <c r="T64" i="3"/>
  <c r="R64" i="3"/>
  <c r="O66" i="3"/>
  <c r="T66" i="3"/>
  <c r="R66" i="3"/>
  <c r="V71" i="3"/>
  <c r="P71" i="3"/>
  <c r="O73" i="3"/>
  <c r="T73" i="3"/>
  <c r="R73" i="3"/>
  <c r="O78" i="3"/>
  <c r="T78" i="3"/>
  <c r="R78" i="3"/>
  <c r="O80" i="3"/>
  <c r="T80" i="3"/>
  <c r="R80" i="3"/>
  <c r="P83" i="3"/>
  <c r="V83" i="3" s="1"/>
  <c r="O92" i="3"/>
  <c r="O94" i="3"/>
  <c r="O96" i="3"/>
  <c r="O98" i="3"/>
  <c r="O100" i="3"/>
  <c r="T100" i="3"/>
  <c r="R100" i="3"/>
  <c r="T107" i="3"/>
  <c r="R107" i="3"/>
  <c r="V112" i="3"/>
  <c r="P112" i="3"/>
  <c r="V114" i="3"/>
  <c r="P114" i="3"/>
  <c r="O116" i="3"/>
  <c r="T116" i="3"/>
  <c r="R116" i="3"/>
  <c r="O123" i="3"/>
  <c r="T123" i="3"/>
  <c r="R123" i="3"/>
  <c r="O130" i="3"/>
  <c r="T130" i="3"/>
  <c r="R130" i="3"/>
  <c r="O137" i="3"/>
  <c r="T137" i="3"/>
  <c r="R137" i="3"/>
  <c r="T144" i="3"/>
  <c r="R144" i="3"/>
  <c r="T152" i="3"/>
  <c r="Z152" i="3" s="1"/>
  <c r="R152" i="3"/>
  <c r="T160" i="3"/>
  <c r="R160" i="3"/>
  <c r="V163" i="3"/>
  <c r="P163" i="3"/>
  <c r="O168" i="3"/>
  <c r="T168" i="3"/>
  <c r="R168" i="3"/>
  <c r="AB168" i="3" s="1"/>
  <c r="O170" i="3"/>
  <c r="V177" i="3"/>
  <c r="P177" i="3"/>
  <c r="V181" i="3"/>
  <c r="P181" i="3"/>
  <c r="O188" i="3"/>
  <c r="O190" i="3"/>
  <c r="O192" i="3"/>
  <c r="T192" i="3"/>
  <c r="O194" i="3"/>
  <c r="T194" i="3"/>
  <c r="O200" i="3"/>
  <c r="T200" i="3"/>
  <c r="O202" i="3"/>
  <c r="T202" i="3"/>
  <c r="Z202" i="3" s="1"/>
  <c r="O204" i="3"/>
  <c r="T204" i="3"/>
  <c r="O208" i="3"/>
  <c r="T208" i="3"/>
  <c r="P215" i="3"/>
  <c r="V215" i="3" s="1"/>
  <c r="O217" i="3"/>
  <c r="T217" i="3"/>
  <c r="O226" i="3"/>
  <c r="V232" i="3"/>
  <c r="P232" i="3"/>
  <c r="O13" i="3"/>
  <c r="O15" i="3"/>
  <c r="O17" i="3"/>
  <c r="O19" i="3"/>
  <c r="O21" i="3"/>
  <c r="T21" i="3"/>
  <c r="R21" i="3"/>
  <c r="O23" i="3"/>
  <c r="T23" i="3"/>
  <c r="R23" i="3"/>
  <c r="V29" i="3"/>
  <c r="P29" i="3"/>
  <c r="O31" i="3"/>
  <c r="T31" i="3"/>
  <c r="R31" i="3"/>
  <c r="T38" i="3"/>
  <c r="R38" i="3"/>
  <c r="T46" i="3"/>
  <c r="R46" i="3"/>
  <c r="O54" i="3"/>
  <c r="T54" i="3"/>
  <c r="R54" i="3"/>
  <c r="AB54" i="3" s="1"/>
  <c r="O58" i="3"/>
  <c r="T58" i="3"/>
  <c r="R58" i="3"/>
  <c r="X58" i="3" s="1"/>
  <c r="P69" i="3"/>
  <c r="V69" i="3" s="1"/>
  <c r="O71" i="3"/>
  <c r="T71" i="3"/>
  <c r="R71" i="3"/>
  <c r="V85" i="3"/>
  <c r="P85" i="3"/>
  <c r="V87" i="3"/>
  <c r="P87" i="3"/>
  <c r="T105" i="3"/>
  <c r="R105" i="3"/>
  <c r="T112" i="3"/>
  <c r="R112" i="3"/>
  <c r="O121" i="3"/>
  <c r="T121" i="3"/>
  <c r="R121" i="3"/>
  <c r="P126" i="3"/>
  <c r="V126" i="3" s="1"/>
  <c r="T128" i="3"/>
  <c r="R128" i="3"/>
  <c r="O135" i="3"/>
  <c r="T135" i="3"/>
  <c r="R135" i="3"/>
  <c r="V140" i="3"/>
  <c r="P140" i="3"/>
  <c r="O142" i="3"/>
  <c r="T142" i="3"/>
  <c r="R142" i="3"/>
  <c r="T147" i="3"/>
  <c r="R147" i="3"/>
  <c r="V150" i="3"/>
  <c r="P150" i="3"/>
  <c r="T155" i="3"/>
  <c r="R155" i="3"/>
  <c r="Q155" i="3" s="1"/>
  <c r="V158" i="3"/>
  <c r="P158" i="3"/>
  <c r="T163" i="3"/>
  <c r="R163" i="3"/>
  <c r="V166" i="3"/>
  <c r="P166" i="3"/>
  <c r="O172" i="3"/>
  <c r="O175" i="3"/>
  <c r="V179" i="3"/>
  <c r="P179" i="3"/>
  <c r="O184" i="3"/>
  <c r="O186" i="3"/>
  <c r="T186" i="3"/>
  <c r="Z190" i="3"/>
  <c r="O196" i="3"/>
  <c r="T196" i="3"/>
  <c r="Z196" i="3" s="1"/>
  <c r="O198" i="3"/>
  <c r="T198" i="3"/>
  <c r="O206" i="3"/>
  <c r="T206" i="3"/>
  <c r="V211" i="3"/>
  <c r="P211" i="3"/>
  <c r="P213" i="3"/>
  <c r="Q213" i="3" s="1"/>
  <c r="O215" i="3"/>
  <c r="T215" i="3"/>
  <c r="O219" i="3"/>
  <c r="O221" i="3"/>
  <c r="T221" i="3"/>
  <c r="O223" i="3"/>
  <c r="P225" i="3"/>
  <c r="Q225" i="3" s="1"/>
  <c r="O228" i="3"/>
  <c r="O230" i="3"/>
  <c r="T230" i="3"/>
  <c r="O235" i="3"/>
  <c r="O237" i="3"/>
  <c r="T237" i="3"/>
  <c r="AB229" i="3"/>
  <c r="X13" i="3"/>
  <c r="AG13" i="3" s="1"/>
  <c r="X17" i="3"/>
  <c r="O25" i="3"/>
  <c r="T25" i="3"/>
  <c r="R25" i="3"/>
  <c r="O27" i="3"/>
  <c r="T27" i="3"/>
  <c r="R27" i="3"/>
  <c r="O29" i="3"/>
  <c r="T29" i="3"/>
  <c r="R29" i="3"/>
  <c r="AB29" i="3" s="1"/>
  <c r="O36" i="3"/>
  <c r="T36" i="3"/>
  <c r="R36" i="3"/>
  <c r="T41" i="3"/>
  <c r="R41" i="3"/>
  <c r="V46" i="3"/>
  <c r="T49" i="3"/>
  <c r="R49" i="3"/>
  <c r="O56" i="3"/>
  <c r="T56" i="3"/>
  <c r="R56" i="3"/>
  <c r="O69" i="3"/>
  <c r="T69" i="3"/>
  <c r="R69" i="3"/>
  <c r="AB69" i="3" s="1"/>
  <c r="O76" i="3"/>
  <c r="T76" i="3"/>
  <c r="R76" i="3"/>
  <c r="O83" i="3"/>
  <c r="T83" i="3"/>
  <c r="R83" i="3"/>
  <c r="P91" i="3"/>
  <c r="V91" i="3" s="1"/>
  <c r="P99" i="3"/>
  <c r="V99" i="3" s="1"/>
  <c r="P101" i="3"/>
  <c r="V101" i="3" s="1"/>
  <c r="V108" i="3"/>
  <c r="P108" i="3"/>
  <c r="O112" i="3"/>
  <c r="O114" i="3"/>
  <c r="T114" i="3"/>
  <c r="R114" i="3"/>
  <c r="O119" i="3"/>
  <c r="T119" i="3"/>
  <c r="R119" i="3"/>
  <c r="V124" i="3"/>
  <c r="P124" i="3"/>
  <c r="O133" i="3"/>
  <c r="T133" i="3"/>
  <c r="R133" i="3"/>
  <c r="P145" i="3"/>
  <c r="V145" i="3" s="1"/>
  <c r="T150" i="3"/>
  <c r="R150" i="3"/>
  <c r="P153" i="3"/>
  <c r="Q153" i="3" s="1"/>
  <c r="T158" i="3"/>
  <c r="R158" i="3"/>
  <c r="P161" i="3"/>
  <c r="V161" i="3" s="1"/>
  <c r="T166" i="3"/>
  <c r="R166" i="3"/>
  <c r="P169" i="3"/>
  <c r="V169" i="3" s="1"/>
  <c r="AB172" i="3"/>
  <c r="O177" i="3"/>
  <c r="T177" i="3"/>
  <c r="Z177" i="3" s="1"/>
  <c r="O179" i="3"/>
  <c r="T179" i="3"/>
  <c r="O181" i="3"/>
  <c r="T181" i="3"/>
  <c r="Z181" i="3" s="1"/>
  <c r="Z186" i="3"/>
  <c r="P191" i="3"/>
  <c r="V191" i="3" s="1"/>
  <c r="AB194" i="3"/>
  <c r="V203" i="3"/>
  <c r="P203" i="3"/>
  <c r="V209" i="3"/>
  <c r="P209" i="3"/>
  <c r="Z219" i="3"/>
  <c r="O232" i="3"/>
  <c r="O34" i="3"/>
  <c r="T34" i="3"/>
  <c r="R34" i="3"/>
  <c r="T44" i="3"/>
  <c r="R44" i="3"/>
  <c r="T52" i="3"/>
  <c r="R52" i="3"/>
  <c r="O65" i="3"/>
  <c r="T65" i="3"/>
  <c r="Z65" i="3" s="1"/>
  <c r="R65" i="3"/>
  <c r="O67" i="3"/>
  <c r="T67" i="3"/>
  <c r="R67" i="3"/>
  <c r="P72" i="3"/>
  <c r="Q72" i="3" s="1"/>
  <c r="O74" i="3"/>
  <c r="T74" i="3"/>
  <c r="R74" i="3"/>
  <c r="O81" i="3"/>
  <c r="T81" i="3"/>
  <c r="Z81" i="3" s="1"/>
  <c r="R81" i="3"/>
  <c r="O85" i="3"/>
  <c r="T85" i="3"/>
  <c r="Z85" i="3" s="1"/>
  <c r="R85" i="3"/>
  <c r="AB85" i="3" s="1"/>
  <c r="O87" i="3"/>
  <c r="T87" i="3"/>
  <c r="R87" i="3"/>
  <c r="AB87" i="3" s="1"/>
  <c r="O89" i="3"/>
  <c r="T89" i="3"/>
  <c r="R89" i="3"/>
  <c r="T91" i="3"/>
  <c r="Z91" i="3" s="1"/>
  <c r="R91" i="3"/>
  <c r="T95" i="3"/>
  <c r="R95" i="3"/>
  <c r="O97" i="3"/>
  <c r="T97" i="3"/>
  <c r="R97" i="3"/>
  <c r="O99" i="3"/>
  <c r="T99" i="3"/>
  <c r="Z99" i="3" s="1"/>
  <c r="R99" i="3"/>
  <c r="S99" i="3" s="1"/>
  <c r="Y99" i="3" s="1"/>
  <c r="T101" i="3"/>
  <c r="R101" i="3"/>
  <c r="O103" i="3"/>
  <c r="T103" i="3"/>
  <c r="R103" i="3"/>
  <c r="P106" i="3"/>
  <c r="Q106" i="3" s="1"/>
  <c r="T108" i="3"/>
  <c r="R108" i="3"/>
  <c r="O110" i="3"/>
  <c r="T110" i="3"/>
  <c r="R110" i="3"/>
  <c r="T117" i="3"/>
  <c r="R117" i="3"/>
  <c r="T124" i="3"/>
  <c r="R124" i="3"/>
  <c r="O126" i="3"/>
  <c r="T126" i="3"/>
  <c r="R126" i="3"/>
  <c r="V136" i="3"/>
  <c r="P136" i="3"/>
  <c r="O140" i="3"/>
  <c r="T140" i="3"/>
  <c r="Z140" i="3" s="1"/>
  <c r="R140" i="3"/>
  <c r="V143" i="3"/>
  <c r="P143" i="3"/>
  <c r="T145" i="3"/>
  <c r="R145" i="3"/>
  <c r="Q145" i="3" s="1"/>
  <c r="V148" i="3"/>
  <c r="P148" i="3"/>
  <c r="T153" i="3"/>
  <c r="Z153" i="3" s="1"/>
  <c r="R153" i="3"/>
  <c r="V156" i="3"/>
  <c r="P156" i="3"/>
  <c r="T161" i="3"/>
  <c r="R161" i="3"/>
  <c r="V164" i="3"/>
  <c r="P164" i="3"/>
  <c r="T169" i="3"/>
  <c r="Z169" i="3" s="1"/>
  <c r="R169" i="3"/>
  <c r="X169" i="3" s="1"/>
  <c r="O174" i="3"/>
  <c r="T174" i="3"/>
  <c r="V183" i="3"/>
  <c r="P183" i="3"/>
  <c r="V195" i="3"/>
  <c r="P195" i="3"/>
  <c r="V201" i="3"/>
  <c r="P201" i="3"/>
  <c r="O203" i="3"/>
  <c r="T203" i="3"/>
  <c r="O209" i="3"/>
  <c r="T209" i="3"/>
  <c r="O211" i="3"/>
  <c r="T211" i="3"/>
  <c r="O213" i="3"/>
  <c r="T213" i="3"/>
  <c r="O225" i="3"/>
  <c r="T225" i="3"/>
  <c r="Z225" i="3" s="1"/>
  <c r="O234" i="3"/>
  <c r="T234" i="3"/>
  <c r="Z234" i="3" s="1"/>
  <c r="AB204" i="3"/>
  <c r="O32" i="3"/>
  <c r="T32" i="3"/>
  <c r="Z32" i="3" s="1"/>
  <c r="R32" i="3"/>
  <c r="T39" i="3"/>
  <c r="R39" i="3"/>
  <c r="T47" i="3"/>
  <c r="R47" i="3"/>
  <c r="V55" i="3"/>
  <c r="P55" i="3"/>
  <c r="O61" i="3"/>
  <c r="T61" i="3"/>
  <c r="R61" i="3"/>
  <c r="O63" i="3"/>
  <c r="T63" i="3"/>
  <c r="R63" i="3"/>
  <c r="V70" i="3"/>
  <c r="P70" i="3"/>
  <c r="O72" i="3"/>
  <c r="T72" i="3"/>
  <c r="R72" i="3"/>
  <c r="S72" i="3" s="1"/>
  <c r="V84" i="3"/>
  <c r="W84" i="3" s="1"/>
  <c r="P84" i="3"/>
  <c r="O93" i="3"/>
  <c r="T93" i="3"/>
  <c r="R93" i="3"/>
  <c r="X93" i="3" s="1"/>
  <c r="T106" i="3"/>
  <c r="R106" i="3"/>
  <c r="P115" i="3"/>
  <c r="V115" i="3" s="1"/>
  <c r="O117" i="3"/>
  <c r="V120" i="3"/>
  <c r="P120" i="3"/>
  <c r="T129" i="3"/>
  <c r="Z129" i="3" s="1"/>
  <c r="R129" i="3"/>
  <c r="O131" i="3"/>
  <c r="T131" i="3"/>
  <c r="R131" i="3"/>
  <c r="T136" i="3"/>
  <c r="R136" i="3"/>
  <c r="Q136" i="3" s="1"/>
  <c r="O138" i="3"/>
  <c r="T138" i="3"/>
  <c r="Z138" i="3" s="1"/>
  <c r="R138" i="3"/>
  <c r="O143" i="3"/>
  <c r="T143" i="3"/>
  <c r="R143" i="3"/>
  <c r="Q143" i="3" s="1"/>
  <c r="T148" i="3"/>
  <c r="R148" i="3"/>
  <c r="P151" i="3"/>
  <c r="V151" i="3" s="1"/>
  <c r="T156" i="3"/>
  <c r="R156" i="3"/>
  <c r="Q156" i="3" s="1"/>
  <c r="P159" i="3"/>
  <c r="V159" i="3" s="1"/>
  <c r="T164" i="3"/>
  <c r="R164" i="3"/>
  <c r="P167" i="3"/>
  <c r="V167" i="3" s="1"/>
  <c r="O171" i="3"/>
  <c r="T171" i="3"/>
  <c r="R171" i="3"/>
  <c r="V173" i="3"/>
  <c r="P173" i="3"/>
  <c r="V180" i="3"/>
  <c r="P180" i="3"/>
  <c r="O187" i="3"/>
  <c r="T187" i="3"/>
  <c r="O189" i="3"/>
  <c r="T189" i="3"/>
  <c r="Z189" i="3" s="1"/>
  <c r="O193" i="3"/>
  <c r="T193" i="3"/>
  <c r="V197" i="3"/>
  <c r="P197" i="3"/>
  <c r="O199" i="3"/>
  <c r="T199" i="3"/>
  <c r="O201" i="3"/>
  <c r="T201" i="3"/>
  <c r="V205" i="3"/>
  <c r="P205" i="3"/>
  <c r="O218" i="3"/>
  <c r="T218" i="3"/>
  <c r="Z218" i="3" s="1"/>
  <c r="V224" i="3"/>
  <c r="P224" i="3"/>
  <c r="V233" i="3"/>
  <c r="P233" i="3"/>
  <c r="V40" i="3"/>
  <c r="V50" i="3"/>
  <c r="V67" i="3"/>
  <c r="V105" i="3"/>
  <c r="V128" i="3"/>
  <c r="V135" i="3"/>
  <c r="V147" i="3"/>
  <c r="V155" i="3"/>
  <c r="X178" i="3"/>
  <c r="AG178" i="3" s="1"/>
  <c r="Z185" i="3"/>
  <c r="V187" i="3"/>
  <c r="V199" i="3"/>
  <c r="V200" i="3"/>
  <c r="Z206" i="3"/>
  <c r="Z208" i="3"/>
  <c r="V216" i="3"/>
  <c r="Z222" i="3"/>
  <c r="V236" i="3"/>
  <c r="Z237" i="3"/>
  <c r="AE55" i="3"/>
  <c r="AE77" i="3"/>
  <c r="AE227" i="3"/>
  <c r="Z33" i="3"/>
  <c r="V59" i="3"/>
  <c r="V89" i="3"/>
  <c r="V103" i="3"/>
  <c r="V110" i="3"/>
  <c r="Z229" i="3"/>
  <c r="AE48" i="3"/>
  <c r="V186" i="3"/>
  <c r="AE13" i="3"/>
  <c r="AE189" i="3"/>
  <c r="Y194" i="3"/>
  <c r="V34" i="3"/>
  <c r="V41" i="3"/>
  <c r="Z59" i="3"/>
  <c r="Y72" i="3"/>
  <c r="V81" i="3"/>
  <c r="Z231" i="3"/>
  <c r="Z236" i="3"/>
  <c r="AE20" i="3"/>
  <c r="Y57" i="3"/>
  <c r="AE186" i="3"/>
  <c r="V22" i="3"/>
  <c r="V58" i="3"/>
  <c r="W58" i="3" s="1"/>
  <c r="V62" i="3"/>
  <c r="V64" i="3"/>
  <c r="V66" i="3"/>
  <c r="V75" i="3"/>
  <c r="V176" i="3"/>
  <c r="V202" i="3"/>
  <c r="V235" i="3"/>
  <c r="AE190" i="3"/>
  <c r="AE210" i="3"/>
  <c r="V26" i="3"/>
  <c r="V30" i="3"/>
  <c r="V39" i="3"/>
  <c r="V49" i="3"/>
  <c r="V56" i="3"/>
  <c r="V73" i="3"/>
  <c r="V82" i="3"/>
  <c r="V111" i="3"/>
  <c r="V146" i="3"/>
  <c r="V154" i="3"/>
  <c r="V162" i="3"/>
  <c r="V178" i="3"/>
  <c r="V185" i="3"/>
  <c r="X186" i="3"/>
  <c r="AC186" i="3" s="1"/>
  <c r="V198" i="3"/>
  <c r="V206" i="3"/>
  <c r="V212" i="3"/>
  <c r="V222" i="3"/>
  <c r="V237" i="3"/>
  <c r="AE44" i="3"/>
  <c r="AE81" i="3"/>
  <c r="V13" i="3"/>
  <c r="V15" i="3"/>
  <c r="V37" i="3"/>
  <c r="V42" i="3"/>
  <c r="V47" i="3"/>
  <c r="V52" i="3"/>
  <c r="Y200" i="3"/>
  <c r="V208" i="3"/>
  <c r="V227" i="3"/>
  <c r="V229" i="3"/>
  <c r="V234" i="3"/>
  <c r="Y197" i="3"/>
  <c r="S216" i="3"/>
  <c r="Y216" i="3" s="1"/>
  <c r="Q152" i="3"/>
  <c r="Q160" i="3"/>
  <c r="Q150" i="3"/>
  <c r="Q158" i="3"/>
  <c r="Q53" i="3"/>
  <c r="Q148" i="3"/>
  <c r="Q74" i="3"/>
  <c r="Q125" i="3"/>
  <c r="Q109" i="3"/>
  <c r="Q113" i="3"/>
  <c r="Q85" i="3"/>
  <c r="X85" i="3"/>
  <c r="AC85" i="3" s="1"/>
  <c r="AB89" i="3"/>
  <c r="X89" i="3"/>
  <c r="AC89" i="3" s="1"/>
  <c r="AB28" i="3"/>
  <c r="AB58" i="3"/>
  <c r="X74" i="3"/>
  <c r="W74" i="3" s="1"/>
  <c r="Z78" i="3"/>
  <c r="Q78" i="3"/>
  <c r="X14" i="3"/>
  <c r="X18" i="3"/>
  <c r="AG18" i="3" s="1"/>
  <c r="AB70" i="3"/>
  <c r="S110" i="3"/>
  <c r="Y110" i="3" s="1"/>
  <c r="AB114" i="3"/>
  <c r="X170" i="3"/>
  <c r="AB206" i="3"/>
  <c r="S206" i="3"/>
  <c r="Y206" i="3" s="1"/>
  <c r="Z63" i="3"/>
  <c r="Q92" i="3"/>
  <c r="AB92" i="3"/>
  <c r="S92" i="3"/>
  <c r="Y92" i="3" s="1"/>
  <c r="AB53" i="3"/>
  <c r="S60" i="3"/>
  <c r="Y60" i="3" s="1"/>
  <c r="X177" i="3"/>
  <c r="S177" i="3"/>
  <c r="Y177" i="3" s="1"/>
  <c r="X23" i="3"/>
  <c r="AC23" i="3" s="1"/>
  <c r="Q23" i="3"/>
  <c r="X27" i="3"/>
  <c r="AG27" i="3" s="1"/>
  <c r="X173" i="3"/>
  <c r="W173" i="3" s="1"/>
  <c r="S173" i="3"/>
  <c r="Y173" i="3" s="1"/>
  <c r="Q237" i="3"/>
  <c r="AB237" i="3"/>
  <c r="S237" i="3"/>
  <c r="Y237" i="3" s="1"/>
  <c r="S67" i="3"/>
  <c r="Y67" i="3" s="1"/>
  <c r="Z71" i="3"/>
  <c r="X75" i="3"/>
  <c r="X83" i="3"/>
  <c r="AC83" i="3" s="1"/>
  <c r="X19" i="3"/>
  <c r="AG19" i="3" s="1"/>
  <c r="Q88" i="3"/>
  <c r="S109" i="3"/>
  <c r="Y109" i="3" s="1"/>
  <c r="S65" i="3"/>
  <c r="Y65" i="3" s="1"/>
  <c r="X65" i="3"/>
  <c r="AG65" i="3" s="1"/>
  <c r="V45" i="3"/>
  <c r="Z84" i="3"/>
  <c r="AB84" i="3"/>
  <c r="L95" i="3"/>
  <c r="Q236" i="3"/>
  <c r="AB236" i="3"/>
  <c r="X16" i="3"/>
  <c r="AG16" i="3" s="1"/>
  <c r="X32" i="3"/>
  <c r="AC32" i="3" s="1"/>
  <c r="X36" i="3"/>
  <c r="AC36" i="3" s="1"/>
  <c r="S56" i="3"/>
  <c r="Y56" i="3" s="1"/>
  <c r="Q76" i="3"/>
  <c r="Z80" i="3"/>
  <c r="AB196" i="3"/>
  <c r="AB200" i="3"/>
  <c r="X21" i="3"/>
  <c r="AG21" i="3" s="1"/>
  <c r="X181" i="3"/>
  <c r="AG181" i="3" s="1"/>
  <c r="S181" i="3"/>
  <c r="Y181" i="3" s="1"/>
  <c r="Z87" i="3"/>
  <c r="X87" i="3"/>
  <c r="W87" i="3" s="1"/>
  <c r="O167" i="3"/>
  <c r="AB208" i="3"/>
  <c r="S208" i="3"/>
  <c r="Y208" i="3" s="1"/>
  <c r="X25" i="3"/>
  <c r="AG25" i="3" s="1"/>
  <c r="Q25" i="3"/>
  <c r="AB94" i="3"/>
  <c r="L94" i="3"/>
  <c r="Q61" i="3"/>
  <c r="Q73" i="3"/>
  <c r="AB117" i="3"/>
  <c r="X185" i="3"/>
  <c r="AG185" i="3" s="1"/>
  <c r="S185" i="3"/>
  <c r="Y185" i="3" s="1"/>
  <c r="Q98" i="3"/>
  <c r="Q154" i="3"/>
  <c r="Q159" i="3"/>
  <c r="Q164" i="3"/>
  <c r="Q166" i="3"/>
  <c r="Q157" i="3"/>
  <c r="S234" i="3"/>
  <c r="Y234" i="3" s="1"/>
  <c r="S91" i="3"/>
  <c r="Y91" i="3" s="1"/>
  <c r="AB218" i="3"/>
  <c r="Q30" i="3"/>
  <c r="X34" i="3"/>
  <c r="S112" i="3"/>
  <c r="Y112" i="3" s="1"/>
  <c r="Q163" i="3"/>
  <c r="AB234" i="3"/>
  <c r="Q161" i="3"/>
  <c r="AG58" i="3"/>
  <c r="AC58" i="3"/>
  <c r="Z93" i="3"/>
  <c r="AB198" i="3"/>
  <c r="S198" i="3"/>
  <c r="Y198" i="3" s="1"/>
  <c r="AB202" i="3"/>
  <c r="S202" i="3"/>
  <c r="Y202" i="3" s="1"/>
  <c r="AB214" i="3"/>
  <c r="S214" i="3"/>
  <c r="Y214" i="3" s="1"/>
  <c r="X57" i="3"/>
  <c r="S58" i="3"/>
  <c r="Y58" i="3" s="1"/>
  <c r="S62" i="3"/>
  <c r="Y62" i="3" s="1"/>
  <c r="AB65" i="3"/>
  <c r="Z66" i="3"/>
  <c r="Z70" i="3"/>
  <c r="X77" i="3"/>
  <c r="X78" i="3"/>
  <c r="X82" i="3"/>
  <c r="Q84" i="3"/>
  <c r="S169" i="3"/>
  <c r="Y169" i="3" s="1"/>
  <c r="Z198" i="3"/>
  <c r="Z214" i="3"/>
  <c r="AB228" i="3"/>
  <c r="Z228" i="3"/>
  <c r="Z90" i="3"/>
  <c r="X90" i="3"/>
  <c r="AC182" i="3"/>
  <c r="AG182" i="3"/>
  <c r="Z58" i="3"/>
  <c r="Z62" i="3"/>
  <c r="AB86" i="3"/>
  <c r="Z88" i="3"/>
  <c r="Q235" i="3"/>
  <c r="Z235" i="3"/>
  <c r="S235" i="3"/>
  <c r="Y235" i="3" s="1"/>
  <c r="AB235" i="3"/>
  <c r="AG17" i="3"/>
  <c r="Z19" i="3"/>
  <c r="Z83" i="3"/>
  <c r="Q183" i="3"/>
  <c r="X183" i="3"/>
  <c r="S66" i="3"/>
  <c r="Y66" i="3" s="1"/>
  <c r="X81" i="3"/>
  <c r="S54" i="3"/>
  <c r="Y54" i="3" s="1"/>
  <c r="AB57" i="3"/>
  <c r="X66" i="3"/>
  <c r="S84" i="3"/>
  <c r="Y84" i="3" s="1"/>
  <c r="S88" i="3"/>
  <c r="Y88" i="3" s="1"/>
  <c r="Z89" i="3"/>
  <c r="Q89" i="3"/>
  <c r="AB90" i="3"/>
  <c r="AC178" i="3"/>
  <c r="AC17" i="3"/>
  <c r="Q179" i="3"/>
  <c r="X179" i="3"/>
  <c r="Z57" i="3"/>
  <c r="AB191" i="3"/>
  <c r="X191" i="3"/>
  <c r="S90" i="3"/>
  <c r="Y90" i="3" s="1"/>
  <c r="Z170" i="3"/>
  <c r="X189" i="3"/>
  <c r="S189" i="3"/>
  <c r="Y189" i="3" s="1"/>
  <c r="AB210" i="3"/>
  <c r="S210" i="3"/>
  <c r="Y210" i="3" s="1"/>
  <c r="S29" i="3"/>
  <c r="Y29" i="3" s="1"/>
  <c r="Z54" i="3"/>
  <c r="S59" i="3"/>
  <c r="Y59" i="3" s="1"/>
  <c r="AB61" i="3"/>
  <c r="Z67" i="3"/>
  <c r="S85" i="3"/>
  <c r="Y85" i="3" s="1"/>
  <c r="S89" i="3"/>
  <c r="Y89" i="3" s="1"/>
  <c r="Q187" i="3"/>
  <c r="X187" i="3"/>
  <c r="W13" i="3"/>
  <c r="X190" i="3"/>
  <c r="S190" i="3"/>
  <c r="Y190" i="3" s="1"/>
  <c r="Q13" i="3"/>
  <c r="Q17" i="3"/>
  <c r="Q18" i="3"/>
  <c r="Q19" i="3"/>
  <c r="Z29" i="3"/>
  <c r="S33" i="3"/>
  <c r="Y33" i="3" s="1"/>
  <c r="AB68" i="3"/>
  <c r="Q81" i="3"/>
  <c r="AG84" i="3"/>
  <c r="AC84" i="3"/>
  <c r="X88" i="3"/>
  <c r="X92" i="3"/>
  <c r="Q147" i="3"/>
  <c r="W174" i="3"/>
  <c r="AC174" i="3"/>
  <c r="AG174" i="3"/>
  <c r="Q175" i="3"/>
  <c r="X175" i="3"/>
  <c r="AG85" i="3"/>
  <c r="AG89" i="3"/>
  <c r="Q90" i="3"/>
  <c r="X193" i="3"/>
  <c r="S193" i="3"/>
  <c r="Y193" i="3" s="1"/>
  <c r="AB230" i="3"/>
  <c r="Z230" i="3"/>
  <c r="Z204" i="3"/>
  <c r="S196" i="3"/>
  <c r="Y196" i="3" s="1"/>
  <c r="S212" i="3"/>
  <c r="Y212" i="3" s="1"/>
  <c r="S218" i="3"/>
  <c r="Y218" i="3" s="1"/>
  <c r="AC181" i="3"/>
  <c r="X171" i="3"/>
  <c r="AB193" i="3"/>
  <c r="Z200" i="3"/>
  <c r="Z216" i="3"/>
  <c r="Z232" i="3"/>
  <c r="S236" i="3"/>
  <c r="Y236" i="3" s="1"/>
  <c r="Z30" i="3"/>
  <c r="S30" i="3"/>
  <c r="Y30" i="3" s="1"/>
  <c r="AB30" i="3"/>
  <c r="Z34" i="3"/>
  <c r="Q34" i="3"/>
  <c r="V36" i="3"/>
  <c r="V32" i="3"/>
  <c r="Q32" i="3"/>
  <c r="O38" i="3"/>
  <c r="O44" i="3"/>
  <c r="Z122" i="3"/>
  <c r="O43" i="3"/>
  <c r="O101" i="3"/>
  <c r="X106" i="3"/>
  <c r="AB106" i="3"/>
  <c r="Z106" i="3"/>
  <c r="S106" i="3"/>
  <c r="Y106" i="3" s="1"/>
  <c r="S13" i="3"/>
  <c r="Y13" i="3" s="1"/>
  <c r="AB13" i="3"/>
  <c r="S15" i="3"/>
  <c r="Y15" i="3" s="1"/>
  <c r="S17" i="3"/>
  <c r="Y17" i="3" s="1"/>
  <c r="AB17" i="3"/>
  <c r="S18" i="3"/>
  <c r="Y18" i="3" s="1"/>
  <c r="AB18" i="3"/>
  <c r="S19" i="3"/>
  <c r="Y19" i="3" s="1"/>
  <c r="AB19" i="3"/>
  <c r="S20" i="3"/>
  <c r="Y20" i="3" s="1"/>
  <c r="AB20" i="3"/>
  <c r="S21" i="3"/>
  <c r="Y21" i="3" s="1"/>
  <c r="AB21" i="3"/>
  <c r="S23" i="3"/>
  <c r="Y23" i="3" s="1"/>
  <c r="AB23" i="3"/>
  <c r="AB24" i="3"/>
  <c r="S25" i="3"/>
  <c r="Y25" i="3" s="1"/>
  <c r="AB25" i="3"/>
  <c r="S27" i="3"/>
  <c r="Y27" i="3" s="1"/>
  <c r="AB27" i="3"/>
  <c r="S32" i="3"/>
  <c r="Y32" i="3" s="1"/>
  <c r="S36" i="3"/>
  <c r="Y36" i="3" s="1"/>
  <c r="O47" i="3"/>
  <c r="O50" i="3"/>
  <c r="V60" i="3"/>
  <c r="Q60" i="3"/>
  <c r="L142" i="3"/>
  <c r="Z20" i="3"/>
  <c r="Z21" i="3"/>
  <c r="Z23" i="3"/>
  <c r="Z24" i="3"/>
  <c r="Z25" i="3"/>
  <c r="Z26" i="3"/>
  <c r="Z27" i="3"/>
  <c r="Z28" i="3"/>
  <c r="Z36" i="3"/>
  <c r="O39" i="3"/>
  <c r="O52" i="3"/>
  <c r="X53" i="3"/>
  <c r="Z53" i="3"/>
  <c r="S53" i="3"/>
  <c r="Y53" i="3" s="1"/>
  <c r="V77" i="3"/>
  <c r="Q77" i="3"/>
  <c r="O48" i="3"/>
  <c r="AB36" i="3"/>
  <c r="Z69" i="3"/>
  <c r="S69" i="3"/>
  <c r="Y69" i="3" s="1"/>
  <c r="Z14" i="3"/>
  <c r="Z16" i="3"/>
  <c r="Z17" i="3"/>
  <c r="X29" i="3"/>
  <c r="X33" i="3"/>
  <c r="O37" i="3"/>
  <c r="O46" i="3"/>
  <c r="V57" i="3"/>
  <c r="Q57" i="3"/>
  <c r="X64" i="3"/>
  <c r="Z64" i="3"/>
  <c r="AB64" i="3"/>
  <c r="Q64" i="3"/>
  <c r="Q103" i="3"/>
  <c r="X103" i="3"/>
  <c r="Z103" i="3"/>
  <c r="AB103" i="3"/>
  <c r="V117" i="3"/>
  <c r="Q117" i="3"/>
  <c r="AB32" i="3"/>
  <c r="Z56" i="3"/>
  <c r="Q56" i="3"/>
  <c r="Q58" i="3"/>
  <c r="Z13" i="3"/>
  <c r="Z15" i="3"/>
  <c r="Z18" i="3"/>
  <c r="O40" i="3"/>
  <c r="S64" i="3"/>
  <c r="Y64" i="3" s="1"/>
  <c r="V68" i="3"/>
  <c r="Q68" i="3"/>
  <c r="S103" i="3"/>
  <c r="Y103" i="3" s="1"/>
  <c r="L134" i="3"/>
  <c r="AB137" i="3"/>
  <c r="S137" i="3"/>
  <c r="Y137" i="3" s="1"/>
  <c r="X137" i="3"/>
  <c r="Z137" i="3"/>
  <c r="Q137" i="3"/>
  <c r="O42" i="3"/>
  <c r="Q29" i="3"/>
  <c r="Q33" i="3"/>
  <c r="O45" i="3"/>
  <c r="O49" i="3"/>
  <c r="O51" i="3"/>
  <c r="V54" i="3"/>
  <c r="Q54" i="3"/>
  <c r="X61" i="3"/>
  <c r="Z61" i="3"/>
  <c r="S61" i="3"/>
  <c r="Y61" i="3" s="1"/>
  <c r="Z76" i="3"/>
  <c r="AB76" i="3"/>
  <c r="S76" i="3"/>
  <c r="Y76" i="3" s="1"/>
  <c r="X76" i="3"/>
  <c r="V86" i="3"/>
  <c r="Q86" i="3"/>
  <c r="O41" i="3"/>
  <c r="V65" i="3"/>
  <c r="Q65" i="3"/>
  <c r="Z72" i="3"/>
  <c r="AB72" i="3"/>
  <c r="X72" i="3"/>
  <c r="O108" i="3"/>
  <c r="X55" i="3"/>
  <c r="X63" i="3"/>
  <c r="X71" i="3"/>
  <c r="Z75" i="3"/>
  <c r="AB75" i="3"/>
  <c r="S75" i="3"/>
  <c r="Y75" i="3" s="1"/>
  <c r="Q99" i="3"/>
  <c r="X99" i="3"/>
  <c r="W178" i="3"/>
  <c r="X54" i="3"/>
  <c r="Q55" i="3"/>
  <c r="AB55" i="3"/>
  <c r="X62" i="3"/>
  <c r="Q63" i="3"/>
  <c r="AB63" i="3"/>
  <c r="AB71" i="3"/>
  <c r="AB99" i="3"/>
  <c r="O105" i="3"/>
  <c r="Z73" i="3"/>
  <c r="AB73" i="3"/>
  <c r="Z94" i="3"/>
  <c r="V100" i="3"/>
  <c r="Z121" i="3"/>
  <c r="S55" i="3"/>
  <c r="Y55" i="3" s="1"/>
  <c r="S63" i="3"/>
  <c r="Y63" i="3" s="1"/>
  <c r="S71" i="3"/>
  <c r="Y71" i="3" s="1"/>
  <c r="Z95" i="3"/>
  <c r="AB95" i="3"/>
  <c r="S95" i="3"/>
  <c r="Y95" i="3" s="1"/>
  <c r="V104" i="3"/>
  <c r="X126" i="3"/>
  <c r="Z126" i="3"/>
  <c r="Q126" i="3"/>
  <c r="AB126" i="3"/>
  <c r="S126" i="3"/>
  <c r="Y126" i="3" s="1"/>
  <c r="Z136" i="3"/>
  <c r="Q62" i="3"/>
  <c r="S68" i="3"/>
  <c r="Y68" i="3" s="1"/>
  <c r="X73" i="3"/>
  <c r="Z74" i="3"/>
  <c r="AB74" i="3"/>
  <c r="S74" i="3"/>
  <c r="Y74" i="3" s="1"/>
  <c r="Q87" i="3"/>
  <c r="Z98" i="3"/>
  <c r="O107" i="3"/>
  <c r="L133" i="3"/>
  <c r="L141" i="3"/>
  <c r="Q59" i="3"/>
  <c r="Q67" i="3"/>
  <c r="Q75" i="3"/>
  <c r="X110" i="3"/>
  <c r="Z110" i="3"/>
  <c r="V119" i="3"/>
  <c r="O124" i="3"/>
  <c r="Q180" i="3"/>
  <c r="X180" i="3"/>
  <c r="Z180" i="3"/>
  <c r="S180" i="3"/>
  <c r="Y180" i="3" s="1"/>
  <c r="AB180" i="3"/>
  <c r="V109" i="3"/>
  <c r="Q184" i="3"/>
  <c r="X184" i="3"/>
  <c r="Z184" i="3"/>
  <c r="S184" i="3"/>
  <c r="Y184" i="3" s="1"/>
  <c r="AB184" i="3"/>
  <c r="S77" i="3"/>
  <c r="Y77" i="3" s="1"/>
  <c r="AB77" i="3"/>
  <c r="S78" i="3"/>
  <c r="Y78" i="3" s="1"/>
  <c r="AB78" i="3"/>
  <c r="S81" i="3"/>
  <c r="Y81" i="3" s="1"/>
  <c r="AB81" i="3"/>
  <c r="X113" i="3"/>
  <c r="S113" i="3"/>
  <c r="Y113" i="3" s="1"/>
  <c r="V129" i="3"/>
  <c r="AB143" i="3"/>
  <c r="S143" i="3"/>
  <c r="Y143" i="3" s="1"/>
  <c r="X143" i="3"/>
  <c r="Z143" i="3"/>
  <c r="Q188" i="3"/>
  <c r="X188" i="3"/>
  <c r="Z188" i="3"/>
  <c r="S188" i="3"/>
  <c r="Y188" i="3" s="1"/>
  <c r="Q199" i="3"/>
  <c r="X199" i="3"/>
  <c r="Z199" i="3"/>
  <c r="AB199" i="3"/>
  <c r="AB109" i="3"/>
  <c r="V131" i="3"/>
  <c r="O132" i="3"/>
  <c r="Z192" i="3"/>
  <c r="Q192" i="3"/>
  <c r="AB192" i="3"/>
  <c r="X192" i="3"/>
  <c r="S199" i="3"/>
  <c r="Y199" i="3" s="1"/>
  <c r="Z114" i="3"/>
  <c r="X120" i="3"/>
  <c r="AB120" i="3"/>
  <c r="Q120" i="3"/>
  <c r="Z120" i="3"/>
  <c r="V125" i="3"/>
  <c r="AB140" i="3"/>
  <c r="S140" i="3"/>
  <c r="Y140" i="3" s="1"/>
  <c r="X140" i="3"/>
  <c r="Q140" i="3"/>
  <c r="W177" i="3"/>
  <c r="AB188" i="3"/>
  <c r="S192" i="3"/>
  <c r="Y192" i="3" s="1"/>
  <c r="V113" i="3"/>
  <c r="X117" i="3"/>
  <c r="Z117" i="3"/>
  <c r="S117" i="3"/>
  <c r="Y117" i="3" s="1"/>
  <c r="O120" i="3"/>
  <c r="V127" i="3"/>
  <c r="O128" i="3"/>
  <c r="V144" i="3"/>
  <c r="X109" i="3"/>
  <c r="Z109" i="3"/>
  <c r="X112" i="3"/>
  <c r="AB112" i="3"/>
  <c r="Q112" i="3"/>
  <c r="Z112" i="3"/>
  <c r="AB113" i="3"/>
  <c r="S120" i="3"/>
  <c r="Y120" i="3" s="1"/>
  <c r="Q129" i="3"/>
  <c r="X130" i="3"/>
  <c r="Z130" i="3"/>
  <c r="Q130" i="3"/>
  <c r="AB138" i="3"/>
  <c r="S138" i="3"/>
  <c r="Y138" i="3" s="1"/>
  <c r="X138" i="3"/>
  <c r="Q138" i="3"/>
  <c r="O144" i="3"/>
  <c r="Q176" i="3"/>
  <c r="X176" i="3"/>
  <c r="Z176" i="3"/>
  <c r="S176" i="3"/>
  <c r="Y176" i="3" s="1"/>
  <c r="AB176" i="3"/>
  <c r="W181" i="3"/>
  <c r="Q172" i="3"/>
  <c r="X172" i="3"/>
  <c r="Z172" i="3"/>
  <c r="S172" i="3"/>
  <c r="Y172" i="3" s="1"/>
  <c r="Q201" i="3"/>
  <c r="X201" i="3"/>
  <c r="Z201" i="3"/>
  <c r="AB201" i="3"/>
  <c r="S201" i="3"/>
  <c r="Y201" i="3" s="1"/>
  <c r="X125" i="3"/>
  <c r="AB125" i="3"/>
  <c r="X129" i="3"/>
  <c r="AB129" i="3"/>
  <c r="Z167" i="3"/>
  <c r="S167" i="3"/>
  <c r="Y167" i="3" s="1"/>
  <c r="S125" i="3"/>
  <c r="Y125" i="3" s="1"/>
  <c r="S129" i="3"/>
  <c r="Y129" i="3" s="1"/>
  <c r="Z145" i="3"/>
  <c r="AB145" i="3"/>
  <c r="S145" i="3"/>
  <c r="Y145" i="3" s="1"/>
  <c r="X145" i="3"/>
  <c r="Z146" i="3"/>
  <c r="Z147" i="3"/>
  <c r="Z148" i="3"/>
  <c r="AB148" i="3"/>
  <c r="S148" i="3"/>
  <c r="Y148" i="3" s="1"/>
  <c r="X148" i="3"/>
  <c r="Z149" i="3"/>
  <c r="Z150" i="3"/>
  <c r="AB150" i="3"/>
  <c r="S150" i="3"/>
  <c r="Y150" i="3" s="1"/>
  <c r="X150" i="3"/>
  <c r="Z151" i="3"/>
  <c r="AB151" i="3"/>
  <c r="S151" i="3"/>
  <c r="Y151" i="3" s="1"/>
  <c r="X151" i="3"/>
  <c r="AB152" i="3"/>
  <c r="S152" i="3"/>
  <c r="Y152" i="3" s="1"/>
  <c r="X152" i="3"/>
  <c r="S153" i="3"/>
  <c r="Y153" i="3" s="1"/>
  <c r="Z154" i="3"/>
  <c r="AB154" i="3"/>
  <c r="S154" i="3"/>
  <c r="Y154" i="3" s="1"/>
  <c r="X154" i="3"/>
  <c r="Z155" i="3"/>
  <c r="Z156" i="3"/>
  <c r="AB156" i="3"/>
  <c r="S156" i="3"/>
  <c r="Y156" i="3" s="1"/>
  <c r="X156" i="3"/>
  <c r="Z157" i="3"/>
  <c r="AB157" i="3"/>
  <c r="S157" i="3"/>
  <c r="Y157" i="3" s="1"/>
  <c r="X157" i="3"/>
  <c r="Z158" i="3"/>
  <c r="AB158" i="3"/>
  <c r="S158" i="3"/>
  <c r="Y158" i="3" s="1"/>
  <c r="X158" i="3"/>
  <c r="Z159" i="3"/>
  <c r="AB159" i="3"/>
  <c r="S159" i="3"/>
  <c r="Y159" i="3" s="1"/>
  <c r="X159" i="3"/>
  <c r="Z160" i="3"/>
  <c r="AB160" i="3"/>
  <c r="S160" i="3"/>
  <c r="Y160" i="3" s="1"/>
  <c r="X160" i="3"/>
  <c r="Z161" i="3"/>
  <c r="AB161" i="3"/>
  <c r="S161" i="3"/>
  <c r="Y161" i="3" s="1"/>
  <c r="X161" i="3"/>
  <c r="Z162" i="3"/>
  <c r="X162" i="3"/>
  <c r="Z163" i="3"/>
  <c r="AB163" i="3"/>
  <c r="S163" i="3"/>
  <c r="Y163" i="3" s="1"/>
  <c r="X163" i="3"/>
  <c r="Z164" i="3"/>
  <c r="X164" i="3"/>
  <c r="Z165" i="3"/>
  <c r="Z166" i="3"/>
  <c r="AB166" i="3"/>
  <c r="S166" i="3"/>
  <c r="Y166" i="3" s="1"/>
  <c r="X166" i="3"/>
  <c r="Z168" i="3"/>
  <c r="Z125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Z194" i="3"/>
  <c r="Q194" i="3"/>
  <c r="Q203" i="3"/>
  <c r="X203" i="3"/>
  <c r="Z203" i="3"/>
  <c r="AB203" i="3"/>
  <c r="AB175" i="3"/>
  <c r="AB179" i="3"/>
  <c r="AB183" i="3"/>
  <c r="AB187" i="3"/>
  <c r="Z191" i="3"/>
  <c r="Q191" i="3"/>
  <c r="Q205" i="3"/>
  <c r="X205" i="3"/>
  <c r="Z205" i="3"/>
  <c r="AB205" i="3"/>
  <c r="Q207" i="3"/>
  <c r="X207" i="3"/>
  <c r="Z207" i="3"/>
  <c r="AB207" i="3"/>
  <c r="Q209" i="3"/>
  <c r="X209" i="3"/>
  <c r="Z209" i="3"/>
  <c r="AB209" i="3"/>
  <c r="Q211" i="3"/>
  <c r="X211" i="3"/>
  <c r="Z211" i="3"/>
  <c r="AB211" i="3"/>
  <c r="X213" i="3"/>
  <c r="Z213" i="3"/>
  <c r="AB213" i="3"/>
  <c r="Q215" i="3"/>
  <c r="X215" i="3"/>
  <c r="Z215" i="3"/>
  <c r="AB215" i="3"/>
  <c r="Q217" i="3"/>
  <c r="X217" i="3"/>
  <c r="Z217" i="3"/>
  <c r="AB217" i="3"/>
  <c r="AB221" i="3"/>
  <c r="S221" i="3"/>
  <c r="Y221" i="3" s="1"/>
  <c r="Q221" i="3"/>
  <c r="X221" i="3"/>
  <c r="Z221" i="3"/>
  <c r="S175" i="3"/>
  <c r="Y175" i="3" s="1"/>
  <c r="S179" i="3"/>
  <c r="Y179" i="3" s="1"/>
  <c r="S183" i="3"/>
  <c r="Y183" i="3" s="1"/>
  <c r="S187" i="3"/>
  <c r="Y187" i="3" s="1"/>
  <c r="S191" i="3"/>
  <c r="Y191" i="3" s="1"/>
  <c r="S205" i="3"/>
  <c r="Y205" i="3" s="1"/>
  <c r="S207" i="3"/>
  <c r="Y207" i="3" s="1"/>
  <c r="S209" i="3"/>
  <c r="Y209" i="3" s="1"/>
  <c r="S211" i="3"/>
  <c r="Y211" i="3" s="1"/>
  <c r="S213" i="3"/>
  <c r="Y213" i="3" s="1"/>
  <c r="S215" i="3"/>
  <c r="Y215" i="3" s="1"/>
  <c r="S217" i="3"/>
  <c r="Y217" i="3" s="1"/>
  <c r="AB220" i="3"/>
  <c r="S220" i="3"/>
  <c r="Y220" i="3" s="1"/>
  <c r="Q220" i="3"/>
  <c r="X220" i="3"/>
  <c r="AB170" i="3"/>
  <c r="Q174" i="3"/>
  <c r="AB174" i="3"/>
  <c r="Z175" i="3"/>
  <c r="Q178" i="3"/>
  <c r="AB178" i="3"/>
  <c r="Z179" i="3"/>
  <c r="Q182" i="3"/>
  <c r="AB182" i="3"/>
  <c r="Z183" i="3"/>
  <c r="Q186" i="3"/>
  <c r="AB186" i="3"/>
  <c r="Z187" i="3"/>
  <c r="Q190" i="3"/>
  <c r="AB190" i="3"/>
  <c r="Z193" i="3"/>
  <c r="Q193" i="3"/>
  <c r="Z220" i="3"/>
  <c r="S174" i="3"/>
  <c r="Y174" i="3" s="1"/>
  <c r="S178" i="3"/>
  <c r="Y178" i="3" s="1"/>
  <c r="S182" i="3"/>
  <c r="Y182" i="3" s="1"/>
  <c r="S186" i="3"/>
  <c r="Y186" i="3" s="1"/>
  <c r="X194" i="3"/>
  <c r="X195" i="3"/>
  <c r="Z195" i="3"/>
  <c r="AB195" i="3"/>
  <c r="Q195" i="3"/>
  <c r="Q169" i="3"/>
  <c r="AB169" i="3"/>
  <c r="Q173" i="3"/>
  <c r="AB173" i="3"/>
  <c r="Z174" i="3"/>
  <c r="Q177" i="3"/>
  <c r="AB177" i="3"/>
  <c r="Q181" i="3"/>
  <c r="AB181" i="3"/>
  <c r="Q185" i="3"/>
  <c r="AB185" i="3"/>
  <c r="Q189" i="3"/>
  <c r="AB189" i="3"/>
  <c r="S195" i="3"/>
  <c r="Y195" i="3" s="1"/>
  <c r="Q197" i="3"/>
  <c r="X197" i="3"/>
  <c r="Z197" i="3"/>
  <c r="AB197" i="3"/>
  <c r="AB219" i="3"/>
  <c r="Q219" i="3"/>
  <c r="X219" i="3"/>
  <c r="S219" i="3"/>
  <c r="Y219" i="3" s="1"/>
  <c r="AB222" i="3"/>
  <c r="S222" i="3"/>
  <c r="Y222" i="3" s="1"/>
  <c r="Q222" i="3"/>
  <c r="X222" i="3"/>
  <c r="Q218" i="3"/>
  <c r="X218" i="3"/>
  <c r="AB223" i="3"/>
  <c r="S223" i="3"/>
  <c r="Y223" i="3" s="1"/>
  <c r="X223" i="3"/>
  <c r="Q196" i="3"/>
  <c r="X196" i="3"/>
  <c r="Q198" i="3"/>
  <c r="X198" i="3"/>
  <c r="Q200" i="3"/>
  <c r="X200" i="3"/>
  <c r="Q202" i="3"/>
  <c r="X202" i="3"/>
  <c r="Q204" i="3"/>
  <c r="X204" i="3"/>
  <c r="Q206" i="3"/>
  <c r="X206" i="3"/>
  <c r="Q208" i="3"/>
  <c r="X208" i="3"/>
  <c r="Q210" i="3"/>
  <c r="X210" i="3"/>
  <c r="Q212" i="3"/>
  <c r="X212" i="3"/>
  <c r="Q214" i="3"/>
  <c r="X214" i="3"/>
  <c r="Q216" i="3"/>
  <c r="X216" i="3"/>
  <c r="AB224" i="3"/>
  <c r="S224" i="3"/>
  <c r="Y224" i="3" s="1"/>
  <c r="Q224" i="3"/>
  <c r="X224" i="3"/>
  <c r="AB225" i="3"/>
  <c r="S225" i="3"/>
  <c r="Y225" i="3" s="1"/>
  <c r="X225" i="3"/>
  <c r="AB226" i="3"/>
  <c r="S226" i="3"/>
  <c r="Y226" i="3" s="1"/>
  <c r="Q226" i="3"/>
  <c r="X226" i="3"/>
  <c r="AB227" i="3"/>
  <c r="S227" i="3"/>
  <c r="Y227" i="3" s="1"/>
  <c r="Q227" i="3"/>
  <c r="X227" i="3"/>
  <c r="X228" i="3"/>
  <c r="X229" i="3"/>
  <c r="X230" i="3"/>
  <c r="X231" i="3"/>
  <c r="X232" i="3"/>
  <c r="X233" i="3"/>
  <c r="X234" i="3"/>
  <c r="X235" i="3"/>
  <c r="X236" i="3"/>
  <c r="X237" i="3"/>
  <c r="Q228" i="3"/>
  <c r="Q229" i="3"/>
  <c r="Q230" i="3"/>
  <c r="Q231" i="3"/>
  <c r="Q232" i="3"/>
  <c r="Q233" i="3"/>
  <c r="S228" i="3"/>
  <c r="Y228" i="3" s="1"/>
  <c r="S229" i="3"/>
  <c r="Y229" i="3" s="1"/>
  <c r="S230" i="3"/>
  <c r="Y230" i="3" s="1"/>
  <c r="S231" i="3"/>
  <c r="Y231" i="3" s="1"/>
  <c r="S232" i="3"/>
  <c r="Y232" i="3" s="1"/>
  <c r="S233" i="3"/>
  <c r="Y233" i="3" s="1"/>
  <c r="AC167" i="3" l="1"/>
  <c r="W167" i="3"/>
  <c r="S168" i="3"/>
  <c r="Y168" i="3" s="1"/>
  <c r="S162" i="3"/>
  <c r="Y162" i="3" s="1"/>
  <c r="X79" i="3"/>
  <c r="Q151" i="3"/>
  <c r="S87" i="3"/>
  <c r="Y87" i="3" s="1"/>
  <c r="Q162" i="3"/>
  <c r="V106" i="3"/>
  <c r="V72" i="3"/>
  <c r="V153" i="3"/>
  <c r="V225" i="3"/>
  <c r="V213" i="3"/>
  <c r="V27" i="3"/>
  <c r="V223" i="3"/>
  <c r="V121" i="3"/>
  <c r="V21" i="3"/>
  <c r="Q167" i="3"/>
  <c r="AB79" i="3"/>
  <c r="V141" i="3"/>
  <c r="P141" i="3"/>
  <c r="X69" i="3"/>
  <c r="S122" i="3"/>
  <c r="Y122" i="3" s="1"/>
  <c r="Q82" i="3"/>
  <c r="Q15" i="3"/>
  <c r="S93" i="3"/>
  <c r="Y93" i="3" s="1"/>
  <c r="Q146" i="3"/>
  <c r="X168" i="3"/>
  <c r="P133" i="3"/>
  <c r="V133" i="3" s="1"/>
  <c r="AB93" i="3"/>
  <c r="Q93" i="3"/>
  <c r="P95" i="3"/>
  <c r="V95" i="3" s="1"/>
  <c r="W14" i="3"/>
  <c r="AB122" i="3"/>
  <c r="Q168" i="3"/>
  <c r="X146" i="3"/>
  <c r="Q122" i="3"/>
  <c r="AG186" i="3"/>
  <c r="W190" i="3"/>
  <c r="Q69" i="3"/>
  <c r="S146" i="3"/>
  <c r="Y146" i="3" s="1"/>
  <c r="AC13" i="3"/>
  <c r="X15" i="3"/>
  <c r="W15" i="3" s="1"/>
  <c r="V134" i="3"/>
  <c r="P134" i="3"/>
  <c r="P94" i="3"/>
  <c r="V94" i="3" s="1"/>
  <c r="AB167" i="3"/>
  <c r="P142" i="3"/>
  <c r="V142" i="3" s="1"/>
  <c r="W89" i="3"/>
  <c r="AC25" i="3"/>
  <c r="W186" i="3"/>
  <c r="AC18" i="3"/>
  <c r="W18" i="3"/>
  <c r="W75" i="3"/>
  <c r="AC74" i="3"/>
  <c r="AG74" i="3"/>
  <c r="AG32" i="3"/>
  <c r="W32" i="3"/>
  <c r="AC19" i="3"/>
  <c r="AG75" i="3"/>
  <c r="AG167" i="3"/>
  <c r="AC75" i="3"/>
  <c r="AG15" i="3"/>
  <c r="AG36" i="3"/>
  <c r="AC15" i="3"/>
  <c r="W19" i="3"/>
  <c r="W36" i="3"/>
  <c r="W27" i="3"/>
  <c r="AG87" i="3"/>
  <c r="AC87" i="3"/>
  <c r="W65" i="3"/>
  <c r="W57" i="3"/>
  <c r="AC65" i="3"/>
  <c r="AG173" i="3"/>
  <c r="AC173" i="3"/>
  <c r="AC27" i="3"/>
  <c r="W77" i="3"/>
  <c r="Q170" i="3"/>
  <c r="S164" i="3"/>
  <c r="Y164" i="3" s="1"/>
  <c r="X136" i="3"/>
  <c r="W136" i="3" s="1"/>
  <c r="Q71" i="3"/>
  <c r="AB34" i="3"/>
  <c r="W85" i="3"/>
  <c r="S70" i="3"/>
  <c r="Y70" i="3" s="1"/>
  <c r="AB164" i="3"/>
  <c r="S73" i="3"/>
  <c r="Y73" i="3" s="1"/>
  <c r="X70" i="3"/>
  <c r="AC70" i="3" s="1"/>
  <c r="S34" i="3"/>
  <c r="Y34" i="3" s="1"/>
  <c r="Q70" i="3"/>
  <c r="AB56" i="3"/>
  <c r="AC21" i="3"/>
  <c r="S170" i="3"/>
  <c r="Y170" i="3" s="1"/>
  <c r="S121" i="3"/>
  <c r="Y121" i="3" s="1"/>
  <c r="X56" i="3"/>
  <c r="AC56" i="3" s="1"/>
  <c r="W21" i="3"/>
  <c r="S136" i="3"/>
  <c r="Y136" i="3" s="1"/>
  <c r="S28" i="3"/>
  <c r="Y28" i="3" s="1"/>
  <c r="AB14" i="3"/>
  <c r="Q36" i="3"/>
  <c r="AB91" i="3"/>
  <c r="AB136" i="3"/>
  <c r="X121" i="3"/>
  <c r="W121" i="3" s="1"/>
  <c r="S14" i="3"/>
  <c r="Y14" i="3" s="1"/>
  <c r="Q16" i="3"/>
  <c r="Q91" i="3"/>
  <c r="AC16" i="3"/>
  <c r="X91" i="3"/>
  <c r="W91" i="3" s="1"/>
  <c r="X149" i="3"/>
  <c r="W149" i="3" s="1"/>
  <c r="X147" i="3"/>
  <c r="AG147" i="3" s="1"/>
  <c r="S94" i="3"/>
  <c r="Y94" i="3" s="1"/>
  <c r="AB26" i="3"/>
  <c r="W25" i="3"/>
  <c r="X30" i="3"/>
  <c r="W30" i="3" s="1"/>
  <c r="AG14" i="3"/>
  <c r="Q14" i="3"/>
  <c r="X68" i="3"/>
  <c r="W68" i="3" s="1"/>
  <c r="W16" i="3"/>
  <c r="S149" i="3"/>
  <c r="Y149" i="3" s="1"/>
  <c r="S147" i="3"/>
  <c r="Y147" i="3" s="1"/>
  <c r="AB16" i="3"/>
  <c r="W23" i="3"/>
  <c r="AC14" i="3"/>
  <c r="AG23" i="3"/>
  <c r="AB88" i="3"/>
  <c r="AB149" i="3"/>
  <c r="AB147" i="3"/>
  <c r="S114" i="3"/>
  <c r="Y114" i="3" s="1"/>
  <c r="Q114" i="3"/>
  <c r="S16" i="3"/>
  <c r="Y16" i="3" s="1"/>
  <c r="X114" i="3"/>
  <c r="W114" i="3" s="1"/>
  <c r="AB121" i="3"/>
  <c r="X153" i="3"/>
  <c r="AC153" i="3" s="1"/>
  <c r="Q110" i="3"/>
  <c r="X98" i="3"/>
  <c r="W98" i="3" s="1"/>
  <c r="Q83" i="3"/>
  <c r="X94" i="3"/>
  <c r="Q94" i="3"/>
  <c r="X26" i="3"/>
  <c r="Q26" i="3"/>
  <c r="X28" i="3"/>
  <c r="Q28" i="3"/>
  <c r="X22" i="3"/>
  <c r="Q22" i="3"/>
  <c r="X24" i="3"/>
  <c r="Q24" i="3"/>
  <c r="AB153" i="3"/>
  <c r="W83" i="3"/>
  <c r="S24" i="3"/>
  <c r="Y24" i="3" s="1"/>
  <c r="AG83" i="3"/>
  <c r="AG177" i="3"/>
  <c r="AC177" i="3"/>
  <c r="X20" i="3"/>
  <c r="Q20" i="3"/>
  <c r="X165" i="3"/>
  <c r="W165" i="3" s="1"/>
  <c r="AB80" i="3"/>
  <c r="Q80" i="3"/>
  <c r="S83" i="3"/>
  <c r="Y83" i="3" s="1"/>
  <c r="X80" i="3"/>
  <c r="W80" i="3" s="1"/>
  <c r="W185" i="3"/>
  <c r="AC185" i="3"/>
  <c r="Z79" i="3"/>
  <c r="Q79" i="3"/>
  <c r="Z86" i="3"/>
  <c r="S86" i="3"/>
  <c r="Y86" i="3" s="1"/>
  <c r="X86" i="3"/>
  <c r="S165" i="3"/>
  <c r="Y165" i="3" s="1"/>
  <c r="S80" i="3"/>
  <c r="Y80" i="3" s="1"/>
  <c r="X95" i="3"/>
  <c r="Q95" i="3"/>
  <c r="AB130" i="3"/>
  <c r="S130" i="3"/>
  <c r="Y130" i="3" s="1"/>
  <c r="Z82" i="3"/>
  <c r="S82" i="3"/>
  <c r="Y82" i="3" s="1"/>
  <c r="AB165" i="3"/>
  <c r="AB98" i="3"/>
  <c r="AB22" i="3"/>
  <c r="AB83" i="3"/>
  <c r="Z60" i="3"/>
  <c r="AB60" i="3"/>
  <c r="X60" i="3"/>
  <c r="AB171" i="3"/>
  <c r="S98" i="3"/>
  <c r="Y98" i="3" s="1"/>
  <c r="S22" i="3"/>
  <c r="Y22" i="3" s="1"/>
  <c r="AB67" i="3"/>
  <c r="X67" i="3"/>
  <c r="AB66" i="3"/>
  <c r="Q66" i="3"/>
  <c r="AB110" i="3"/>
  <c r="AB59" i="3"/>
  <c r="X59" i="3"/>
  <c r="W224" i="3"/>
  <c r="AC224" i="3"/>
  <c r="AG224" i="3"/>
  <c r="W222" i="3"/>
  <c r="AC222" i="3"/>
  <c r="AG222" i="3"/>
  <c r="W203" i="3"/>
  <c r="AC203" i="3"/>
  <c r="AG203" i="3"/>
  <c r="W143" i="3"/>
  <c r="AC143" i="3"/>
  <c r="AG143" i="3"/>
  <c r="W29" i="3"/>
  <c r="AG29" i="3"/>
  <c r="AC29" i="3"/>
  <c r="W90" i="3"/>
  <c r="AG90" i="3"/>
  <c r="AC90" i="3"/>
  <c r="W230" i="3"/>
  <c r="AC230" i="3"/>
  <c r="AG230" i="3"/>
  <c r="W162" i="3"/>
  <c r="AG162" i="3"/>
  <c r="AC162" i="3"/>
  <c r="W156" i="3"/>
  <c r="AG156" i="3"/>
  <c r="AC156" i="3"/>
  <c r="W150" i="3"/>
  <c r="AC150" i="3"/>
  <c r="AG150" i="3"/>
  <c r="W146" i="3"/>
  <c r="AG146" i="3"/>
  <c r="AC146" i="3"/>
  <c r="W175" i="3"/>
  <c r="AC175" i="3"/>
  <c r="AG175" i="3"/>
  <c r="W88" i="3"/>
  <c r="AC88" i="3"/>
  <c r="AG88" i="3"/>
  <c r="AG189" i="3"/>
  <c r="AC189" i="3"/>
  <c r="AG66" i="3"/>
  <c r="AC66" i="3"/>
  <c r="W237" i="3"/>
  <c r="AG237" i="3"/>
  <c r="AC237" i="3"/>
  <c r="W229" i="3"/>
  <c r="AG229" i="3"/>
  <c r="AC229" i="3"/>
  <c r="W210" i="3"/>
  <c r="AG210" i="3"/>
  <c r="AC210" i="3"/>
  <c r="W202" i="3"/>
  <c r="AG202" i="3"/>
  <c r="AC202" i="3"/>
  <c r="W223" i="3"/>
  <c r="AC223" i="3"/>
  <c r="AG223" i="3"/>
  <c r="W197" i="3"/>
  <c r="AG197" i="3"/>
  <c r="AC197" i="3"/>
  <c r="W215" i="3"/>
  <c r="AC215" i="3"/>
  <c r="AG215" i="3"/>
  <c r="W211" i="3"/>
  <c r="AC211" i="3"/>
  <c r="AG211" i="3"/>
  <c r="W207" i="3"/>
  <c r="AC207" i="3"/>
  <c r="AG207" i="3"/>
  <c r="AG117" i="3"/>
  <c r="AC117" i="3"/>
  <c r="W120" i="3"/>
  <c r="AC120" i="3"/>
  <c r="AG120" i="3"/>
  <c r="W180" i="3"/>
  <c r="AG180" i="3"/>
  <c r="AC180" i="3"/>
  <c r="W110" i="3"/>
  <c r="AC110" i="3"/>
  <c r="AG110" i="3"/>
  <c r="W73" i="3"/>
  <c r="AG73" i="3"/>
  <c r="AC73" i="3"/>
  <c r="W93" i="3"/>
  <c r="AG93" i="3"/>
  <c r="AC93" i="3"/>
  <c r="W82" i="3"/>
  <c r="AG82" i="3"/>
  <c r="AC82" i="3"/>
  <c r="W232" i="3"/>
  <c r="AC232" i="3"/>
  <c r="AG232" i="3"/>
  <c r="W212" i="3"/>
  <c r="AG212" i="3"/>
  <c r="AC212" i="3"/>
  <c r="W113" i="3"/>
  <c r="AG113" i="3"/>
  <c r="AC113" i="3"/>
  <c r="W55" i="3"/>
  <c r="AC55" i="3"/>
  <c r="AG55" i="3"/>
  <c r="W122" i="3"/>
  <c r="AG122" i="3"/>
  <c r="AC122" i="3"/>
  <c r="W160" i="3"/>
  <c r="AC160" i="3"/>
  <c r="AG160" i="3"/>
  <c r="W236" i="3"/>
  <c r="AG236" i="3"/>
  <c r="AC236" i="3"/>
  <c r="W62" i="3"/>
  <c r="AC62" i="3"/>
  <c r="AG62" i="3"/>
  <c r="AG193" i="3"/>
  <c r="AC193" i="3"/>
  <c r="W193" i="3"/>
  <c r="W235" i="3"/>
  <c r="AC235" i="3"/>
  <c r="AG235" i="3"/>
  <c r="W189" i="3"/>
  <c r="S171" i="3"/>
  <c r="Y171" i="3" s="1"/>
  <c r="W129" i="3"/>
  <c r="AG129" i="3"/>
  <c r="AC129" i="3"/>
  <c r="W188" i="3"/>
  <c r="AG188" i="3"/>
  <c r="AC188" i="3"/>
  <c r="W72" i="3"/>
  <c r="AC72" i="3"/>
  <c r="AG72" i="3"/>
  <c r="W61" i="3"/>
  <c r="AG61" i="3"/>
  <c r="AC61" i="3"/>
  <c r="W179" i="3"/>
  <c r="AC179" i="3"/>
  <c r="AG179" i="3"/>
  <c r="W78" i="3"/>
  <c r="AC78" i="3"/>
  <c r="AG78" i="3"/>
  <c r="AG57" i="3"/>
  <c r="AC57" i="3"/>
  <c r="W226" i="3"/>
  <c r="AG226" i="3"/>
  <c r="AC226" i="3"/>
  <c r="W196" i="3"/>
  <c r="AG196" i="3"/>
  <c r="AC196" i="3"/>
  <c r="W221" i="3"/>
  <c r="AG221" i="3"/>
  <c r="AC221" i="3"/>
  <c r="W164" i="3"/>
  <c r="AG164" i="3"/>
  <c r="AC164" i="3"/>
  <c r="W152" i="3"/>
  <c r="AC152" i="3"/>
  <c r="AG152" i="3"/>
  <c r="W228" i="3"/>
  <c r="AG228" i="3"/>
  <c r="AC228" i="3"/>
  <c r="W201" i="3"/>
  <c r="AG201" i="3"/>
  <c r="AC201" i="3"/>
  <c r="W140" i="3"/>
  <c r="AG140" i="3"/>
  <c r="AC140" i="3"/>
  <c r="W137" i="3"/>
  <c r="AG137" i="3"/>
  <c r="AC137" i="3"/>
  <c r="W34" i="3"/>
  <c r="AG34" i="3"/>
  <c r="AC34" i="3"/>
  <c r="W187" i="3"/>
  <c r="AC187" i="3"/>
  <c r="AG187" i="3"/>
  <c r="AG170" i="3"/>
  <c r="AC170" i="3"/>
  <c r="W227" i="3"/>
  <c r="AC227" i="3"/>
  <c r="AG227" i="3"/>
  <c r="W216" i="3"/>
  <c r="AC216" i="3"/>
  <c r="AG216" i="3"/>
  <c r="W200" i="3"/>
  <c r="AC200" i="3"/>
  <c r="AG200" i="3"/>
  <c r="W219" i="3"/>
  <c r="AC219" i="3"/>
  <c r="AG219" i="3"/>
  <c r="W195" i="3"/>
  <c r="AC195" i="3"/>
  <c r="AG195" i="3"/>
  <c r="W163" i="3"/>
  <c r="AC163" i="3"/>
  <c r="AG163" i="3"/>
  <c r="W161" i="3"/>
  <c r="AG161" i="3"/>
  <c r="AC161" i="3"/>
  <c r="W159" i="3"/>
  <c r="AC159" i="3"/>
  <c r="AG159" i="3"/>
  <c r="W157" i="3"/>
  <c r="AG157" i="3"/>
  <c r="AC157" i="3"/>
  <c r="X155" i="3"/>
  <c r="W151" i="3"/>
  <c r="AC151" i="3"/>
  <c r="AG151" i="3"/>
  <c r="W145" i="3"/>
  <c r="AG145" i="3"/>
  <c r="AC145" i="3"/>
  <c r="Z171" i="3"/>
  <c r="W112" i="3"/>
  <c r="AC112" i="3"/>
  <c r="AG112" i="3"/>
  <c r="W192" i="3"/>
  <c r="AC192" i="3"/>
  <c r="AG192" i="3"/>
  <c r="AG77" i="3"/>
  <c r="AC77" i="3"/>
  <c r="W231" i="3"/>
  <c r="AC231" i="3"/>
  <c r="AG231" i="3"/>
  <c r="W204" i="3"/>
  <c r="AG204" i="3"/>
  <c r="AC204" i="3"/>
  <c r="W199" i="3"/>
  <c r="AC199" i="3"/>
  <c r="AG199" i="3"/>
  <c r="W126" i="3"/>
  <c r="AC126" i="3"/>
  <c r="AG126" i="3"/>
  <c r="W70" i="3"/>
  <c r="W64" i="3"/>
  <c r="AC64" i="3"/>
  <c r="AG64" i="3"/>
  <c r="W183" i="3"/>
  <c r="AC183" i="3"/>
  <c r="AG183" i="3"/>
  <c r="W166" i="3"/>
  <c r="AC166" i="3"/>
  <c r="AG166" i="3"/>
  <c r="W158" i="3"/>
  <c r="AC158" i="3"/>
  <c r="AG158" i="3"/>
  <c r="W154" i="3"/>
  <c r="AG154" i="3"/>
  <c r="AC154" i="3"/>
  <c r="W148" i="3"/>
  <c r="AG148" i="3"/>
  <c r="AC148" i="3"/>
  <c r="W138" i="3"/>
  <c r="AG138" i="3"/>
  <c r="AC138" i="3"/>
  <c r="W99" i="3"/>
  <c r="AC99" i="3"/>
  <c r="AG99" i="3"/>
  <c r="W176" i="3"/>
  <c r="AC176" i="3"/>
  <c r="AG176" i="3"/>
  <c r="W103" i="3"/>
  <c r="AC103" i="3"/>
  <c r="AG103" i="3"/>
  <c r="W171" i="3"/>
  <c r="AC171" i="3"/>
  <c r="AG171" i="3"/>
  <c r="W79" i="3"/>
  <c r="AC79" i="3"/>
  <c r="AG79" i="3"/>
  <c r="W225" i="3"/>
  <c r="AG225" i="3"/>
  <c r="AC225" i="3"/>
  <c r="W208" i="3"/>
  <c r="AC208" i="3"/>
  <c r="AG208" i="3"/>
  <c r="W234" i="3"/>
  <c r="AG234" i="3"/>
  <c r="AC234" i="3"/>
  <c r="W233" i="3"/>
  <c r="AG233" i="3"/>
  <c r="AC233" i="3"/>
  <c r="W214" i="3"/>
  <c r="AC214" i="3"/>
  <c r="AG214" i="3"/>
  <c r="W206" i="3"/>
  <c r="AC206" i="3"/>
  <c r="AG206" i="3"/>
  <c r="W198" i="3"/>
  <c r="AC198" i="3"/>
  <c r="AG198" i="3"/>
  <c r="W218" i="3"/>
  <c r="AG218" i="3"/>
  <c r="AC218" i="3"/>
  <c r="W194" i="3"/>
  <c r="AG194" i="3"/>
  <c r="AC194" i="3"/>
  <c r="W217" i="3"/>
  <c r="AG217" i="3"/>
  <c r="AC217" i="3"/>
  <c r="W213" i="3"/>
  <c r="AG213" i="3"/>
  <c r="AC213" i="3"/>
  <c r="W209" i="3"/>
  <c r="AG209" i="3"/>
  <c r="AC209" i="3"/>
  <c r="W205" i="3"/>
  <c r="AG205" i="3"/>
  <c r="AC205" i="3"/>
  <c r="S155" i="3"/>
  <c r="Y155" i="3" s="1"/>
  <c r="Q171" i="3"/>
  <c r="W125" i="3"/>
  <c r="AG125" i="3"/>
  <c r="AC125" i="3"/>
  <c r="W130" i="3"/>
  <c r="AG130" i="3"/>
  <c r="AC130" i="3"/>
  <c r="W66" i="3"/>
  <c r="W54" i="3"/>
  <c r="AC54" i="3"/>
  <c r="AG54" i="3"/>
  <c r="W71" i="3"/>
  <c r="AC71" i="3"/>
  <c r="AG71" i="3"/>
  <c r="W76" i="3"/>
  <c r="AG76" i="3"/>
  <c r="AC76" i="3"/>
  <c r="W69" i="3"/>
  <c r="AG69" i="3"/>
  <c r="AC69" i="3"/>
  <c r="W81" i="3"/>
  <c r="AG81" i="3"/>
  <c r="AC81" i="3"/>
  <c r="W220" i="3"/>
  <c r="AG220" i="3"/>
  <c r="AC220" i="3"/>
  <c r="W168" i="3"/>
  <c r="AC168" i="3"/>
  <c r="AG168" i="3"/>
  <c r="AB155" i="3"/>
  <c r="W170" i="3"/>
  <c r="W172" i="3"/>
  <c r="AG172" i="3"/>
  <c r="AC172" i="3"/>
  <c r="W109" i="3"/>
  <c r="AG109" i="3"/>
  <c r="AC109" i="3"/>
  <c r="W184" i="3"/>
  <c r="AC184" i="3"/>
  <c r="AG184" i="3"/>
  <c r="W63" i="3"/>
  <c r="AC63" i="3"/>
  <c r="AG63" i="3"/>
  <c r="W33" i="3"/>
  <c r="AG33" i="3"/>
  <c r="AC33" i="3"/>
  <c r="W53" i="3"/>
  <c r="AG53" i="3"/>
  <c r="AC53" i="3"/>
  <c r="W106" i="3"/>
  <c r="AG106" i="3"/>
  <c r="AC106" i="3"/>
  <c r="W92" i="3"/>
  <c r="AG92" i="3"/>
  <c r="AC92" i="3"/>
  <c r="AC190" i="3"/>
  <c r="AG190" i="3"/>
  <c r="W191" i="3"/>
  <c r="AC191" i="3"/>
  <c r="AG191" i="3"/>
  <c r="W169" i="3"/>
  <c r="AG169" i="3"/>
  <c r="AC169" i="3"/>
  <c r="Z31" i="3"/>
  <c r="X31" i="3"/>
  <c r="S31" i="3"/>
  <c r="Y31" i="3" s="1"/>
  <c r="AB31" i="3"/>
  <c r="Q31" i="3"/>
  <c r="Z52" i="3"/>
  <c r="S52" i="3"/>
  <c r="Y52" i="3" s="1"/>
  <c r="AB52" i="3"/>
  <c r="Q52" i="3"/>
  <c r="X52" i="3"/>
  <c r="X123" i="3"/>
  <c r="S123" i="3"/>
  <c r="Y123" i="3" s="1"/>
  <c r="AB123" i="3"/>
  <c r="Z123" i="3"/>
  <c r="Q123" i="3"/>
  <c r="AB133" i="3"/>
  <c r="S133" i="3"/>
  <c r="Y133" i="3" s="1"/>
  <c r="X133" i="3"/>
  <c r="Z133" i="3"/>
  <c r="Q133" i="3"/>
  <c r="X105" i="3"/>
  <c r="Z105" i="3"/>
  <c r="S105" i="3"/>
  <c r="Y105" i="3" s="1"/>
  <c r="AB105" i="3"/>
  <c r="Q105" i="3"/>
  <c r="AB41" i="3"/>
  <c r="S41" i="3"/>
  <c r="Y41" i="3" s="1"/>
  <c r="X41" i="3"/>
  <c r="Q41" i="3"/>
  <c r="Z41" i="3"/>
  <c r="AB48" i="3"/>
  <c r="S48" i="3"/>
  <c r="Y48" i="3" s="1"/>
  <c r="Q48" i="3"/>
  <c r="Z48" i="3"/>
  <c r="X48" i="3"/>
  <c r="AB47" i="3"/>
  <c r="S47" i="3"/>
  <c r="Y47" i="3" s="1"/>
  <c r="Q47" i="3"/>
  <c r="Z47" i="3"/>
  <c r="X47" i="3"/>
  <c r="AB141" i="3"/>
  <c r="S141" i="3"/>
  <c r="Y141" i="3" s="1"/>
  <c r="X141" i="3"/>
  <c r="Z141" i="3"/>
  <c r="Q141" i="3"/>
  <c r="X108" i="3"/>
  <c r="AB108" i="3"/>
  <c r="Z108" i="3"/>
  <c r="S108" i="3"/>
  <c r="Y108" i="3" s="1"/>
  <c r="Q108" i="3"/>
  <c r="X119" i="3"/>
  <c r="S119" i="3"/>
  <c r="Y119" i="3" s="1"/>
  <c r="AB119" i="3"/>
  <c r="Q119" i="3"/>
  <c r="Z119" i="3"/>
  <c r="X128" i="3"/>
  <c r="AB128" i="3"/>
  <c r="Q128" i="3"/>
  <c r="Z128" i="3"/>
  <c r="S128" i="3"/>
  <c r="Y128" i="3" s="1"/>
  <c r="S104" i="3"/>
  <c r="Y104" i="3" s="1"/>
  <c r="AB104" i="3"/>
  <c r="Q104" i="3"/>
  <c r="X104" i="3"/>
  <c r="Z104" i="3"/>
  <c r="X102" i="3"/>
  <c r="Z102" i="3"/>
  <c r="S102" i="3"/>
  <c r="Y102" i="3" s="1"/>
  <c r="AB102" i="3"/>
  <c r="Q102" i="3"/>
  <c r="AB45" i="3"/>
  <c r="S45" i="3"/>
  <c r="Y45" i="3" s="1"/>
  <c r="Q45" i="3"/>
  <c r="Z45" i="3"/>
  <c r="X45" i="3"/>
  <c r="AB39" i="3"/>
  <c r="S39" i="3"/>
  <c r="Y39" i="3" s="1"/>
  <c r="Z39" i="3"/>
  <c r="Q39" i="3"/>
  <c r="X39" i="3"/>
  <c r="AB44" i="3"/>
  <c r="S44" i="3"/>
  <c r="Y44" i="3" s="1"/>
  <c r="Q44" i="3"/>
  <c r="Z44" i="3"/>
  <c r="X44" i="3"/>
  <c r="AB42" i="3"/>
  <c r="S42" i="3"/>
  <c r="Y42" i="3" s="1"/>
  <c r="Q42" i="3"/>
  <c r="X42" i="3"/>
  <c r="Z42" i="3"/>
  <c r="X131" i="3"/>
  <c r="S131" i="3"/>
  <c r="Y131" i="3" s="1"/>
  <c r="AB131" i="3"/>
  <c r="Q131" i="3"/>
  <c r="Z131" i="3"/>
  <c r="AB132" i="3"/>
  <c r="X132" i="3"/>
  <c r="Q132" i="3"/>
  <c r="Z132" i="3"/>
  <c r="S132" i="3"/>
  <c r="Y132" i="3" s="1"/>
  <c r="Z101" i="3"/>
  <c r="S101" i="3"/>
  <c r="Y101" i="3" s="1"/>
  <c r="AB101" i="3"/>
  <c r="Q101" i="3"/>
  <c r="X101" i="3"/>
  <c r="X115" i="3"/>
  <c r="S115" i="3"/>
  <c r="Y115" i="3" s="1"/>
  <c r="AB115" i="3"/>
  <c r="Z115" i="3"/>
  <c r="Q115" i="3"/>
  <c r="S100" i="3"/>
  <c r="Y100" i="3" s="1"/>
  <c r="AB100" i="3"/>
  <c r="Q100" i="3"/>
  <c r="X100" i="3"/>
  <c r="Z100" i="3"/>
  <c r="Z97" i="3"/>
  <c r="AB97" i="3"/>
  <c r="S97" i="3"/>
  <c r="Y97" i="3" s="1"/>
  <c r="X97" i="3"/>
  <c r="Q97" i="3"/>
  <c r="X124" i="3"/>
  <c r="AB124" i="3"/>
  <c r="Q124" i="3"/>
  <c r="Z124" i="3"/>
  <c r="S124" i="3"/>
  <c r="Y124" i="3" s="1"/>
  <c r="X107" i="3"/>
  <c r="S107" i="3"/>
  <c r="Y107" i="3" s="1"/>
  <c r="AB107" i="3"/>
  <c r="Z107" i="3"/>
  <c r="Q107" i="3"/>
  <c r="AB46" i="3"/>
  <c r="S46" i="3"/>
  <c r="Y46" i="3" s="1"/>
  <c r="Q46" i="3"/>
  <c r="Z46" i="3"/>
  <c r="X46" i="3"/>
  <c r="AB43" i="3"/>
  <c r="S43" i="3"/>
  <c r="Y43" i="3" s="1"/>
  <c r="Q43" i="3"/>
  <c r="X43" i="3"/>
  <c r="Z43" i="3"/>
  <c r="AB51" i="3"/>
  <c r="S51" i="3"/>
  <c r="Y51" i="3" s="1"/>
  <c r="Q51" i="3"/>
  <c r="X51" i="3"/>
  <c r="Z51" i="3"/>
  <c r="AB50" i="3"/>
  <c r="S50" i="3"/>
  <c r="Y50" i="3" s="1"/>
  <c r="Q50" i="3"/>
  <c r="X50" i="3"/>
  <c r="Z50" i="3"/>
  <c r="X127" i="3"/>
  <c r="S127" i="3"/>
  <c r="Y127" i="3" s="1"/>
  <c r="AB127" i="3"/>
  <c r="Z127" i="3"/>
  <c r="Q127" i="3"/>
  <c r="W117" i="3"/>
  <c r="X116" i="3"/>
  <c r="AB116" i="3"/>
  <c r="Q116" i="3"/>
  <c r="Z116" i="3"/>
  <c r="S116" i="3"/>
  <c r="Y116" i="3" s="1"/>
  <c r="AB49" i="3"/>
  <c r="S49" i="3"/>
  <c r="Y49" i="3" s="1"/>
  <c r="Q49" i="3"/>
  <c r="X49" i="3"/>
  <c r="Z49" i="3"/>
  <c r="X111" i="3"/>
  <c r="S111" i="3"/>
  <c r="Y111" i="3" s="1"/>
  <c r="AB111" i="3"/>
  <c r="Z111" i="3"/>
  <c r="Q111" i="3"/>
  <c r="AB144" i="3"/>
  <c r="S144" i="3"/>
  <c r="Y144" i="3" s="1"/>
  <c r="X144" i="3"/>
  <c r="Z144" i="3"/>
  <c r="Q144" i="3"/>
  <c r="Z96" i="3"/>
  <c r="AB96" i="3"/>
  <c r="S96" i="3"/>
  <c r="Y96" i="3" s="1"/>
  <c r="X96" i="3"/>
  <c r="Q96" i="3"/>
  <c r="AB134" i="3"/>
  <c r="S134" i="3"/>
  <c r="Y134" i="3" s="1"/>
  <c r="X134" i="3"/>
  <c r="Q134" i="3"/>
  <c r="Z134" i="3"/>
  <c r="AB40" i="3"/>
  <c r="S40" i="3"/>
  <c r="Y40" i="3" s="1"/>
  <c r="Q40" i="3"/>
  <c r="Z40" i="3"/>
  <c r="X40" i="3"/>
  <c r="Z35" i="3"/>
  <c r="S35" i="3"/>
  <c r="Y35" i="3" s="1"/>
  <c r="AB35" i="3"/>
  <c r="Q35" i="3"/>
  <c r="X35" i="3"/>
  <c r="AB38" i="3"/>
  <c r="X38" i="3"/>
  <c r="Z38" i="3"/>
  <c r="S38" i="3"/>
  <c r="Y38" i="3" s="1"/>
  <c r="Q38" i="3"/>
  <c r="AB135" i="3"/>
  <c r="S135" i="3"/>
  <c r="Y135" i="3" s="1"/>
  <c r="X135" i="3"/>
  <c r="Z135" i="3"/>
  <c r="Q135" i="3"/>
  <c r="AB139" i="3"/>
  <c r="S139" i="3"/>
  <c r="Y139" i="3" s="1"/>
  <c r="X139" i="3"/>
  <c r="Z139" i="3"/>
  <c r="Q139" i="3"/>
  <c r="AB142" i="3"/>
  <c r="S142" i="3"/>
  <c r="Y142" i="3" s="1"/>
  <c r="X142" i="3"/>
  <c r="Q142" i="3"/>
  <c r="Z142" i="3"/>
  <c r="X118" i="3"/>
  <c r="Q118" i="3"/>
  <c r="S118" i="3"/>
  <c r="Y118" i="3" s="1"/>
  <c r="AB118" i="3"/>
  <c r="Z118" i="3"/>
  <c r="S37" i="3"/>
  <c r="Y37" i="3" s="1"/>
  <c r="Q37" i="3"/>
  <c r="AB37" i="3"/>
  <c r="Z37" i="3"/>
  <c r="X37" i="3"/>
  <c r="AG136" i="3" l="1"/>
  <c r="AC136" i="3"/>
  <c r="AG30" i="3"/>
  <c r="AC30" i="3"/>
  <c r="AG114" i="3"/>
  <c r="AG91" i="3"/>
  <c r="W56" i="3"/>
  <c r="AC68" i="3"/>
  <c r="AG68" i="3"/>
  <c r="AC91" i="3"/>
  <c r="AG56" i="3"/>
  <c r="AC121" i="3"/>
  <c r="AC114" i="3"/>
  <c r="AG70" i="3"/>
  <c r="AG165" i="3"/>
  <c r="AC147" i="3"/>
  <c r="AG153" i="3"/>
  <c r="W147" i="3"/>
  <c r="W153" i="3"/>
  <c r="AC149" i="3"/>
  <c r="AG149" i="3"/>
  <c r="AG121" i="3"/>
  <c r="AG80" i="3"/>
  <c r="AC80" i="3"/>
  <c r="AC98" i="3"/>
  <c r="AG98" i="3"/>
  <c r="AC165" i="3"/>
  <c r="W67" i="3"/>
  <c r="AC67" i="3"/>
  <c r="AG67" i="3"/>
  <c r="W95" i="3"/>
  <c r="AG95" i="3"/>
  <c r="AC95" i="3"/>
  <c r="AG20" i="3"/>
  <c r="AC20" i="3"/>
  <c r="W20" i="3"/>
  <c r="AC24" i="3"/>
  <c r="AG24" i="3"/>
  <c r="W24" i="3"/>
  <c r="AC94" i="3"/>
  <c r="AG94" i="3"/>
  <c r="W94" i="3"/>
  <c r="AG26" i="3"/>
  <c r="W26" i="3"/>
  <c r="AC26" i="3"/>
  <c r="W59" i="3"/>
  <c r="AC59" i="3"/>
  <c r="AG59" i="3"/>
  <c r="W22" i="3"/>
  <c r="AC22" i="3"/>
  <c r="AG22" i="3"/>
  <c r="AG86" i="3"/>
  <c r="AC86" i="3"/>
  <c r="W86" i="3"/>
  <c r="W60" i="3"/>
  <c r="AC60" i="3"/>
  <c r="AG60" i="3"/>
  <c r="AG28" i="3"/>
  <c r="AC28" i="3"/>
  <c r="W28" i="3"/>
  <c r="W119" i="3"/>
  <c r="AC119" i="3"/>
  <c r="AG119" i="3"/>
  <c r="W100" i="3"/>
  <c r="AG100" i="3"/>
  <c r="AC100" i="3"/>
  <c r="W31" i="3"/>
  <c r="AC31" i="3"/>
  <c r="AG31" i="3"/>
  <c r="W118" i="3"/>
  <c r="AC118" i="3"/>
  <c r="AG118" i="3"/>
  <c r="W139" i="3"/>
  <c r="AC139" i="3"/>
  <c r="AG139" i="3"/>
  <c r="W124" i="3"/>
  <c r="AG124" i="3"/>
  <c r="AC124" i="3"/>
  <c r="W101" i="3"/>
  <c r="AG101" i="3"/>
  <c r="AC101" i="3"/>
  <c r="W132" i="3"/>
  <c r="AG132" i="3"/>
  <c r="AC132" i="3"/>
  <c r="W42" i="3"/>
  <c r="AG42" i="3"/>
  <c r="AC42" i="3"/>
  <c r="W52" i="3"/>
  <c r="AG52" i="3"/>
  <c r="AC52" i="3"/>
  <c r="W104" i="3"/>
  <c r="AC104" i="3"/>
  <c r="AG104" i="3"/>
  <c r="W111" i="3"/>
  <c r="AC111" i="3"/>
  <c r="AG111" i="3"/>
  <c r="W127" i="3"/>
  <c r="AC127" i="3"/>
  <c r="AG127" i="3"/>
  <c r="W46" i="3"/>
  <c r="AC46" i="3"/>
  <c r="AG46" i="3"/>
  <c r="W97" i="3"/>
  <c r="AG97" i="3"/>
  <c r="AC97" i="3"/>
  <c r="W131" i="3"/>
  <c r="AC131" i="3"/>
  <c r="AG131" i="3"/>
  <c r="W45" i="3"/>
  <c r="AG45" i="3"/>
  <c r="AC45" i="3"/>
  <c r="W37" i="3"/>
  <c r="AG37" i="3"/>
  <c r="AC37" i="3"/>
  <c r="W102" i="3"/>
  <c r="AC102" i="3"/>
  <c r="AG102" i="3"/>
  <c r="W40" i="3"/>
  <c r="AC40" i="3"/>
  <c r="AG40" i="3"/>
  <c r="W142" i="3"/>
  <c r="AC142" i="3"/>
  <c r="AG142" i="3"/>
  <c r="W38" i="3"/>
  <c r="AC38" i="3"/>
  <c r="AG38" i="3"/>
  <c r="W144" i="3"/>
  <c r="AC144" i="3"/>
  <c r="AG144" i="3"/>
  <c r="W107" i="3"/>
  <c r="AC107" i="3"/>
  <c r="AG107" i="3"/>
  <c r="W108" i="3"/>
  <c r="AG108" i="3"/>
  <c r="AC108" i="3"/>
  <c r="W43" i="3"/>
  <c r="AC43" i="3"/>
  <c r="AG43" i="3"/>
  <c r="W51" i="3"/>
  <c r="AC51" i="3"/>
  <c r="AG51" i="3"/>
  <c r="W39" i="3"/>
  <c r="AC39" i="3"/>
  <c r="AG39" i="3"/>
  <c r="W128" i="3"/>
  <c r="AC128" i="3"/>
  <c r="AG128" i="3"/>
  <c r="W116" i="3"/>
  <c r="AG116" i="3"/>
  <c r="AC116" i="3"/>
  <c r="W155" i="3"/>
  <c r="AC155" i="3"/>
  <c r="AG155" i="3"/>
  <c r="W141" i="3"/>
  <c r="AG141" i="3"/>
  <c r="AC141" i="3"/>
  <c r="W48" i="3"/>
  <c r="AC48" i="3"/>
  <c r="AG48" i="3"/>
  <c r="W123" i="3"/>
  <c r="AC123" i="3"/>
  <c r="AG123" i="3"/>
  <c r="W115" i="3"/>
  <c r="AC115" i="3"/>
  <c r="AG115" i="3"/>
  <c r="W133" i="3"/>
  <c r="AG133" i="3"/>
  <c r="AC133" i="3"/>
  <c r="W134" i="3"/>
  <c r="AC134" i="3"/>
  <c r="AG134" i="3"/>
  <c r="W47" i="3"/>
  <c r="AC47" i="3"/>
  <c r="AG47" i="3"/>
  <c r="W49" i="3"/>
  <c r="AG49" i="3"/>
  <c r="AC49" i="3"/>
  <c r="W50" i="3"/>
  <c r="AG50" i="3"/>
  <c r="AC50" i="3"/>
  <c r="W44" i="3"/>
  <c r="AG44" i="3"/>
  <c r="AC44" i="3"/>
  <c r="W105" i="3"/>
  <c r="AG105" i="3"/>
  <c r="AC105" i="3"/>
  <c r="W135" i="3"/>
  <c r="AC135" i="3"/>
  <c r="AG135" i="3"/>
  <c r="W35" i="3"/>
  <c r="AC35" i="3"/>
  <c r="AG35" i="3"/>
  <c r="W96" i="3"/>
  <c r="AC96" i="3"/>
  <c r="AG96" i="3"/>
  <c r="W41" i="3"/>
  <c r="AG41" i="3"/>
  <c r="AC41" i="3"/>
  <c r="AE12" i="3" l="1"/>
  <c r="U12" i="3"/>
  <c r="D7" i="3" l="1"/>
  <c r="N12" i="3" l="1"/>
  <c r="M12" i="3"/>
  <c r="L12" i="3" s="1"/>
  <c r="I12" i="3"/>
  <c r="F12" i="3"/>
  <c r="H238" i="3"/>
  <c r="G238" i="3"/>
  <c r="P12" i="3" l="1"/>
  <c r="V12" i="3" s="1"/>
  <c r="O12" i="3"/>
  <c r="T12" i="3"/>
  <c r="R12" i="3"/>
  <c r="X12" i="3" s="1"/>
  <c r="AC12" i="3" s="1"/>
  <c r="I238" i="3"/>
  <c r="Z12" i="3"/>
  <c r="W12" i="3" l="1"/>
  <c r="S12" i="3"/>
  <c r="Y12" i="3" s="1"/>
  <c r="Q12" i="3"/>
  <c r="AG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AB11" authorId="0" shapeId="0" xr:uid="{1A771056-B4A2-423F-B4C2-5E2A4D2BC28E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Estos calculos los debe realizar el sistema de forma automática</t>
        </r>
      </text>
    </comment>
    <comment ref="P12" authorId="0" shapeId="0" xr:uid="{B057433B-4E84-4E15-9907-80464304EF53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Calculo denende de valor de VUT</t>
        </r>
      </text>
    </comment>
    <comment ref="R12" authorId="0" shapeId="0" xr:uid="{E390CD6E-00C3-4D2A-B0DA-275145D42915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Si Depto cálculo especifico, de lo contrario valor en Rev2</t>
        </r>
      </text>
    </comment>
    <comment ref="AF42" authorId="0" shapeId="0" xr:uid="{8D505AE0-3B77-45A8-A611-CBD84B478EA1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porcentaje a seleccionar por usuario. Usar calculo general</t>
        </r>
      </text>
    </comment>
    <comment ref="AF200" authorId="0" shapeId="0" xr:uid="{BDFCDE80-8939-44E3-BD01-7E95CA3A8F20}">
      <text>
        <r>
          <rPr>
            <b/>
            <sz val="9"/>
            <color indexed="81"/>
            <rFont val="Tahoma"/>
            <family val="2"/>
          </rPr>
          <t xml:space="preserve">Andrés Ernesto Gómez Garcés:
</t>
        </r>
        <r>
          <rPr>
            <sz val="9"/>
            <color indexed="81"/>
            <rFont val="Tahoma"/>
            <family val="2"/>
          </rPr>
          <t>Para Estacionamientos y depósitos solicitar y guardar valor por unidad.</t>
        </r>
      </text>
    </comment>
    <comment ref="C245" authorId="0" shapeId="0" xr:uid="{3FE0BC96-7687-4CEA-9CA8-B533ED6FE090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Cálculo depende del banco</t>
        </r>
      </text>
    </comment>
  </commentList>
</comments>
</file>

<file path=xl/sharedStrings.xml><?xml version="1.0" encoding="utf-8"?>
<sst xmlns="http://schemas.openxmlformats.org/spreadsheetml/2006/main" count="751" uniqueCount="89">
  <si>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</si>
  <si>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</si>
  <si>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</si>
  <si>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</si>
  <si>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</si>
  <si>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</si>
  <si>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</si>
  <si>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</si>
  <si>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</si>
  <si>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</si>
  <si>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</si>
  <si>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</si>
  <si>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</si>
  <si>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</si>
  <si>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</si>
  <si>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</si>
  <si>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</si>
  <si>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</si>
  <si>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</si>
  <si>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</si>
  <si>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</si>
  <si>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</si>
  <si>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</si>
  <si>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</si>
  <si>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</si>
  <si>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</si>
  <si>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</si>
  <si>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Departamento</t>
  </si>
  <si>
    <t>Moneda</t>
  </si>
  <si>
    <t>Valor de Venta</t>
  </si>
  <si>
    <t>Soles</t>
  </si>
  <si>
    <t>VISTA</t>
  </si>
  <si>
    <t>Ratio de tasación</t>
  </si>
  <si>
    <t>Estacionamiento</t>
  </si>
  <si>
    <t>Estac 30k</t>
  </si>
  <si>
    <t>Estac 28k</t>
  </si>
  <si>
    <t>Estac 25k</t>
  </si>
  <si>
    <t>Estac 32k</t>
  </si>
  <si>
    <t>Dpto 1200</t>
  </si>
  <si>
    <t>Dpto 1150</t>
  </si>
  <si>
    <t>Dpto 1100</t>
  </si>
  <si>
    <t>Dpto 1050</t>
  </si>
  <si>
    <t>Dpto 1000</t>
  </si>
  <si>
    <t>Dpto 950</t>
  </si>
  <si>
    <t>Dpto 900</t>
  </si>
  <si>
    <t>Dpto 850</t>
  </si>
  <si>
    <t>BANCO INTERNACIONAL DEL PERÚ S.A.A. - INTERBANK</t>
  </si>
  <si>
    <t>Dep</t>
  </si>
  <si>
    <t>13</t>
  </si>
  <si>
    <t>Depósito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</si>
  <si>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</si>
  <si>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</si>
  <si>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</si>
  <si>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</si>
  <si>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</si>
  <si>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</si>
  <si>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</si>
  <si>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</si>
  <si>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</si>
  <si>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</si>
  <si>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</si>
  <si>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Áreas Comunes (m²)5</t>
  </si>
  <si>
    <t>No</t>
  </si>
  <si>
    <t>REV1</t>
  </si>
  <si>
    <t>Rev2</t>
  </si>
  <si>
    <t>Rev3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</si>
  <si>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</si>
  <si>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</si>
  <si>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</si>
  <si>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</si>
  <si>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</si>
  <si>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</si>
  <si>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</si>
  <si>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</si>
  <si>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</si>
  <si>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</si>
  <si>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</si>
  <si>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</si>
  <si>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</si>
  <si>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</si>
  <si>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</si>
  <si>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</si>
  <si>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Ratio de precio de venta USD</t>
  </si>
  <si>
    <t/>
  </si>
  <si>
    <t>El presente resumen se ha realizado según la información del proyecto proporcionada por el Promotor. Se recomienda actualizar los valores cuando se efectúe la independización de las unidades inmobiliarias resultantes.</t>
  </si>
  <si>
    <t>Cálculo automático pero que depende de factores que deben poder ser editables</t>
  </si>
  <si>
    <t>Data que genera el sistema</t>
  </si>
  <si>
    <t>Data Obtenida de Paso 0.2 - INGRESO DATA MATRIZ.xlsx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</si>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</sst>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  <xf numFmtId="41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top"/>
    </xf>
    <xf numFmtId="164" fontId="1" fillId="0" borderId="0" xfId="1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1" applyFont="1" applyFill="1" applyAlignment="1">
      <alignment vertical="top"/>
    </xf>
    <xf numFmtId="164" fontId="1" fillId="0" borderId="1" xfId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3" borderId="1" xfId="0" applyFont="1" applyFill="1" applyBorder="1" applyAlignment="1"/>
    <xf numFmtId="0" fontId="1" fillId="0" borderId="1" xfId="0" applyFont="1" applyBorder="1" applyAlignment="1"/>
    <xf numFmtId="164" fontId="1" fillId="0" borderId="0" xfId="1" applyFont="1" applyAlignment="1"/>
    <xf numFmtId="0" fontId="1" fillId="0" borderId="0" xfId="0" applyFont="1" applyBorder="1" applyAlignment="1"/>
    <xf numFmtId="164" fontId="1" fillId="0" borderId="7" xfId="1" applyFont="1" applyBorder="1" applyAlignment="1">
      <alignment horizontal="center"/>
    </xf>
    <xf numFmtId="0" fontId="5" fillId="4" borderId="6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41" fontId="1" fillId="0" borderId="0" xfId="11" applyFont="1" applyAlignment="1">
      <alignment vertical="top"/>
    </xf>
    <xf numFmtId="41" fontId="1" fillId="0" borderId="0" xfId="11" applyFont="1" applyFill="1" applyAlignment="1">
      <alignment vertical="top"/>
    </xf>
    <xf numFmtId="41" fontId="1" fillId="0" borderId="0" xfId="11" applyFont="1" applyAlignment="1"/>
    <xf numFmtId="0" fontId="4" fillId="0" borderId="0" xfId="0" applyFont="1" applyFill="1" applyAlignment="1">
      <alignment vertical="top"/>
    </xf>
    <xf numFmtId="164" fontId="1" fillId="2" borderId="4" xfId="1" applyFont="1" applyFill="1" applyBorder="1" applyAlignment="1">
      <alignment vertical="top"/>
    </xf>
    <xf numFmtId="164" fontId="1" fillId="2" borderId="4" xfId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164" fontId="1" fillId="5" borderId="4" xfId="1" applyFont="1" applyFill="1" applyBorder="1" applyAlignment="1">
      <alignment vertical="top"/>
    </xf>
    <xf numFmtId="164" fontId="1" fillId="5" borderId="1" xfId="1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43" fontId="1" fillId="0" borderId="0" xfId="0" applyNumberFormat="1" applyFont="1" applyFill="1" applyAlignment="1">
      <alignment vertical="top"/>
    </xf>
    <xf numFmtId="10" fontId="1" fillId="0" borderId="0" xfId="3" applyNumberFormat="1" applyFont="1" applyFill="1" applyAlignment="1">
      <alignment vertical="top"/>
    </xf>
    <xf numFmtId="164" fontId="5" fillId="6" borderId="0" xfId="1" applyFont="1" applyFill="1" applyAlignment="1">
      <alignment vertical="center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41" fontId="5" fillId="6" borderId="0" xfId="11" applyFont="1" applyFill="1" applyAlignment="1">
      <alignment vertical="center"/>
    </xf>
    <xf numFmtId="0" fontId="4" fillId="0" borderId="4" xfId="0" applyFont="1" applyBorder="1" applyAlignment="1">
      <alignment vertical="top"/>
    </xf>
    <xf numFmtId="0" fontId="1" fillId="6" borderId="0" xfId="0" applyFont="1" applyFill="1" applyAlignment="1">
      <alignment vertical="top"/>
    </xf>
    <xf numFmtId="164" fontId="1" fillId="6" borderId="1" xfId="1" applyFont="1" applyFill="1" applyBorder="1" applyAlignment="1">
      <alignment vertical="top"/>
    </xf>
    <xf numFmtId="165" fontId="1" fillId="6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" fillId="7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8" borderId="0" xfId="0" applyFont="1" applyFill="1" applyAlignment="1">
      <alignment vertical="top"/>
    </xf>
    <xf numFmtId="10" fontId="1" fillId="8" borderId="0" xfId="3" applyNumberFormat="1" applyFont="1" applyFill="1" applyAlignment="1">
      <alignment vertical="top"/>
    </xf>
    <xf numFmtId="41" fontId="1" fillId="2" borderId="0" xfId="11" applyFont="1" applyFill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166" fontId="1" fillId="6" borderId="0" xfId="0" applyNumberFormat="1" applyFont="1" applyFill="1" applyAlignment="1">
      <alignment horizontal="left" vertical="top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166" fontId="1" fillId="0" borderId="0" xfId="0" applyNumberFormat="1" applyFont="1" applyFill="1" applyAlignment="1">
      <alignment horizontal="left" vertical="top"/>
    </xf>
  </cellXfs>
  <cellStyles count="12">
    <cellStyle name="Comma" xfId="1" builtinId="3"/>
    <cellStyle name="Comma [0]" xfId="11" builtinId="6"/>
    <cellStyle name="Comma 2" xfId="8" xr:uid="{71843DAE-D613-4848-9420-5CA385B862F6}"/>
    <cellStyle name="Millares 2" xfId="7" xr:uid="{4595346F-51D8-4983-A3F3-6A78FC0F0494}"/>
    <cellStyle name="Millares_Hoja1" xfId="5" xr:uid="{37840191-5975-40F6-A3F3-44CD88D1DDC4}"/>
    <cellStyle name="Normal" xfId="0" builtinId="0"/>
    <cellStyle name="Normal 10" xfId="2" xr:uid="{00000000-0005-0000-0000-000002000000}"/>
    <cellStyle name="Normal 2" xfId="4" xr:uid="{0B80BF6A-C1B4-46DC-93C0-E66098A492DA}"/>
    <cellStyle name="Normal 3" xfId="10" xr:uid="{A3BB3D70-AE75-4044-96B9-E7AFF37C0B2B}"/>
    <cellStyle name="Normal 3 2" xfId="9" xr:uid="{47D68395-2A67-4F93-85AA-D763AE3D0EDB}"/>
    <cellStyle name="Percent" xfId="3" builtinId="5"/>
    <cellStyle name="Porcentaje 2" xfId="6" xr:uid="{E261E42A-BC37-4257-8F39-B085C0F16CEC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9" formatCode="d/mm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5" formatCode="0.0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llo\OneDrive\Development\1-%20Bienes%20Futuros\Formato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DATA"/>
    </sheetNames>
    <sheetDataSet>
      <sheetData sheetId="0" refreshError="1"/>
      <sheetData sheetId="1">
        <row r="2">
          <cell r="A2">
            <v>700</v>
          </cell>
          <cell r="B2">
            <v>450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39797-A99F-4D7B-B522-BF374A070BE7}" name="Tabla2" displayName="Tabla2" ref="A11:AG237" totalsRowShown="0" headerRowDxfId="35" dataDxfId="34" tableBorderDxfId="33">
  <autoFilter ref="A11:AG237" xr:uid="{36C01A9C-A178-408B-9021-6991395C3395}"/>
  <tableColumns count="33">
    <tableColumn id="1" xr3:uid="{C783B5CA-E41B-4BBD-978F-562B3E7DEAF5}" name="Unidad Inmobiliaria" dataDxfId="32"/>
    <tableColumn id="2" xr3:uid="{D5EB5012-98A4-4A64-BD8A-4859123D74EF}" name="No" dataDxfId="31"/>
    <tableColumn id="3" xr3:uid="{2C0D4D75-8D21-4F34-BC34-DBBE38B47312}" name="Nivel " dataDxfId="30"/>
    <tableColumn id="4" xr3:uid="{9B4AB8AB-7FD0-4336-830F-02A48BC2A274}" name="DNI Cliente" dataDxfId="29"/>
    <tableColumn id="5" xr3:uid="{69E9CD8A-DAF0-4377-BDC7-BF0E2CCF80F7}" name="Nombre del cliente" dataDxfId="28"/>
    <tableColumn id="6" xr3:uid="{E73B91AA-F5A8-4E5A-9257-E4E6D5252F1C}" name="Área del terreno (m²)" dataDxfId="27">
      <calculatedColumnFormula>ROUND(Tabla2[[#This Row],[Área ocupada (m²)]]/20*1.4,2)</calculatedColumnFormula>
    </tableColumn>
    <tableColumn id="7" xr3:uid="{B43B1D6B-21C9-46D1-A21B-CD950B42F439}" name="Área ocupada (m²)" dataDxfId="26"/>
    <tableColumn id="8" xr3:uid="{4EAE3F82-F7AE-4B89-A0D7-D9937D4C70A0}" name="Área techada (m²)" dataDxfId="25"/>
    <tableColumn id="9" xr3:uid="{A3FF68E0-ED79-4DD9-BCF0-F1685C82C3CA}" name="Áreas Comunes (m²)" dataDxfId="24">
      <calculatedColumnFormula>ROUND(Tabla2[[#This Row],[Área techada (m²)]]*0.15,2)</calculatedColumnFormula>
    </tableColumn>
    <tableColumn id="10" xr3:uid="{FBEDC0DD-1B9D-4395-AE74-F09D74584AE1}" name="Moneda" dataDxfId="23"/>
    <tableColumn id="11" xr3:uid="{103DB6D5-DEA1-4A5D-8644-F5BC4F60FEAC}" name="Valor de Venta" dataDxfId="22"/>
    <tableColumn id="12" xr3:uid="{BDC137A9-4B2C-4CF3-B5A0-37A53A0A3A8A}" name="Área del terreno (m²)2" dataDxfId="21">
      <calculatedColumnFormula>ROUND(Tabla2[[#This Row],[Área ocupada (m²)3]]/20*1.4,2)</calculatedColumnFormula>
    </tableColumn>
    <tableColumn id="13" xr3:uid="{191FEDAE-EA74-4318-9C57-B93BD03B4B95}" name="Área ocupada (m²)3" dataDxfId="20">
      <calculatedColumnFormula>+G12</calculatedColumnFormula>
    </tableColumn>
    <tableColumn id="14" xr3:uid="{6627B71E-EC9C-4A5E-AD54-07179A87FD3F}" name="Área techada (m²)4" dataDxfId="19">
      <calculatedColumnFormula>+H12</calculatedColumnFormula>
    </tableColumn>
    <tableColumn id="15" xr3:uid="{103FEF65-B957-486B-9266-BA99056E86B8}" name="Áreas Comunes (m²)5" dataDxfId="18">
      <calculatedColumnFormula>ROUND(Tabla2[[#This Row],[Área techada (m²)4]]*0.15,2)</calculatedColumnFormula>
    </tableColumn>
    <tableColumn id="16" xr3:uid="{3F3E2F48-24F9-4734-8976-74AE5EB23CA1}" name="Valor del terreno (US$)" dataDxfId="17">
      <calculatedColumnFormula>ROUND(Tabla2[[#This Row],[Área del terreno (m²)2]]*[1]DATA!$A$2,-2)</calculatedColumnFormula>
    </tableColumn>
    <tableColumn id="17" xr3:uid="{C614BFFC-20E3-4122-9230-13216885BFCA}" name="Valor de la edificación (US$)" dataDxfId="16">
      <calculatedColumnFormula>+Tabla2[[#This Row],[Valor Comercial (US$)]]-Tabla2[[#This Row],[Valor del terreno (US$)]]</calculatedColumnFormula>
    </tableColumn>
    <tableColumn id="18" xr3:uid="{C11C3D2A-275E-4E06-B46E-869DB354CB6C}" name="Valor Comercial (US$)" dataDxfId="15">
      <calculatedColumnFormula>IF(A12="Departamento",ROUND(AD12*(N12+0.3*(M12-N12)),-2),AD12)</calculatedColumnFormula>
    </tableColumn>
    <tableColumn id="19" xr3:uid="{8A5A8878-E3A6-4BEE-8490-1A5DD6A241B0}" name="Valor Realización (US$)" dataDxfId="14">
      <calculatedColumnFormula>ROUND(Tabla2[[#This Row],[Valor Comercial (US$)]]*0.8,-2)</calculatedColumnFormula>
    </tableColumn>
    <tableColumn id="20" xr3:uid="{03713D07-EF82-44D7-AAAF-400C28F06482}" name="Importe Asegurable (US$)" dataDxfId="13">
      <calculatedColumnFormula>IF(#REF!=#REF!,R12,ROUND(Tabla2[[#This Row],[Área techada (m²)4]]*#REF!*1.15,-2))</calculatedColumnFormula>
    </tableColumn>
    <tableColumn id="21" xr3:uid="{D051D5A5-D631-4657-8474-36ECFA7A47A7}" name="Tipo de Cambio" dataDxfId="12">
      <calculatedColumnFormula>+#REF!</calculatedColumnFormula>
    </tableColumn>
    <tableColumn id="22" xr3:uid="{564FB795-AF69-4F89-818E-8578240B5F33}" name="Valor del terreno (S/.)" dataDxfId="11">
      <calculatedColumnFormula>ROUND(Tabla2[[#This Row],[Valor del terreno (US$)]]*Tabla2[[#This Row],[Tipo de Cambio]],-2)</calculatedColumnFormula>
    </tableColumn>
    <tableColumn id="23" xr3:uid="{5C37E8A0-BC71-4AF7-A227-D099C731DDC9}" name="Valor de la edificación (S/.)" dataDxfId="10">
      <calculatedColumnFormula>Tabla2[[#This Row],[Valor Comercial (S/.)]]-Tabla2[[#This Row],[Valor del terreno (S/.)]]</calculatedColumnFormula>
    </tableColumn>
    <tableColumn id="24" xr3:uid="{97EE1880-3CC2-40E4-B098-4AD91C2D304E}" name="Valor Comercial (S/.)" dataDxfId="9">
      <calculatedColumnFormula>ROUND(Tabla2[[#This Row],[Valor Comercial (US$)]]*Tabla2[[#This Row],[Tipo de Cambio]],-2)</calculatedColumnFormula>
    </tableColumn>
    <tableColumn id="25" xr3:uid="{AA792570-6922-406F-BD58-1F784C2AF3DE}" name="Valor Realización (S/.)" dataDxfId="8">
      <calculatedColumnFormula>ROUND(Tabla2[[#This Row],[Valor Realización (US$)]]*Tabla2[[#This Row],[Tipo de Cambio]],-2)</calculatedColumnFormula>
    </tableColumn>
    <tableColumn id="26" xr3:uid="{DBE32060-9EDA-4E8B-9A4A-8F18EA593BB4}" name="Importe Asegurable (S/.)" dataDxfId="7">
      <calculatedColumnFormula>+ROUND(Tabla2[[#This Row],[Importe Asegurable (US$)]]*Tabla2[[#This Row],[Tipo de Cambio]],-2)</calculatedColumnFormula>
    </tableColumn>
    <tableColumn id="27" xr3:uid="{019D1EDB-B0E1-4F73-AF56-168C20495B0B}" name="Fecha de Tasación" dataDxfId="6"/>
    <tableColumn id="28" xr3:uid="{C6AA03C1-93D0-4C42-94C6-EB01B7C10DBF}" name="Ratio de tasación" dataDxfId="5">
      <calculatedColumnFormula>+Tabla2[[#This Row],[Valor Comercial (US$)]]/Tabla2[[#This Row],[Área techada (m²)4]]</calculatedColumnFormula>
    </tableColumn>
    <tableColumn id="29" xr3:uid="{332E8982-756B-4CA2-ABE0-0D1AAC5669C9}" name="REV1" dataDxfId="4">
      <calculatedColumnFormula>IF(Tabla2[[#This Row],[Moneda]]="Soles",IF(Tabla2[[#This Row],[Valor Comercial (S/.)]]&gt;Tabla2[[#This Row],[Valor de Venta]],"OK","Revisar valores"),IF(Tabla2[[#This Row],[Valor Comercial (US$)]]&gt;Tabla2[[#This Row],[Valor de Venta]],"OK","Revisar valores"))</calculatedColumnFormula>
    </tableColumn>
    <tableColumn id="30" xr3:uid="{9CDA12C2-56AF-46DF-AFB6-A4B4B8252919}" name="VISTA" dataDxfId="3">
      <calculatedColumnFormula>VLOOKUP(AB12,$Q$1:$R$6,2,FALSE)</calculatedColumnFormula>
    </tableColumn>
    <tableColumn id="31" xr3:uid="{B48575B3-D871-4F82-8C3B-8448BB692C94}" name="Ratio de precio de venta USD" dataDxfId="2"/>
    <tableColumn id="32" xr3:uid="{480C5F7F-F0FF-4A28-AEFF-613BAC764901}" name="Rev2" dataDxfId="1"/>
    <tableColumn id="33" xr3:uid="{3AA54EA9-029F-42E8-8AE9-3C2A8EF97286}" name="Rev3" dataDxfId="0">
      <calculatedColumnFormula>VLOOKUP(AB12,$Q$1:$S$6,3,FALSE)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G247"/>
  <sheetViews>
    <sheetView tabSelected="1" view="pageBreakPreview" zoomScale="145" zoomScaleNormal="100" zoomScaleSheetLayoutView="145" workbookViewId="0">
      <pane xSplit="3" ySplit="11" topLeftCell="P12" activePane="bottomRight" state="frozen"/>
      <selection activeCell="AA81" sqref="AA81"/>
      <selection pane="topRight" activeCell="AA81" sqref="AA81"/>
      <selection pane="bottomLeft" activeCell="AA81" sqref="AA81"/>
      <selection pane="bottomRight" activeCell="AE13" sqref="AE13"/>
    </sheetView>
  </sheetViews>
  <sheetFormatPr defaultColWidth="10.5703125" defaultRowHeight="15" customHeight="1" x14ac:dyDescent="0.2"/>
  <cols>
    <col min="1" max="1" width="23.28515625" style="17" customWidth="1"/>
    <col min="2" max="2" width="13.5703125" style="18" customWidth="1"/>
    <col min="3" max="3" width="8.85546875" style="16" customWidth="1"/>
    <col min="4" max="4" width="22" style="19" customWidth="1"/>
    <col min="5" max="5" width="56.140625" style="17" customWidth="1"/>
    <col min="6" max="6" width="10.7109375" style="16" customWidth="1"/>
    <col min="7" max="8" width="11.85546875" style="16" customWidth="1"/>
    <col min="9" max="9" width="16.140625" style="16" bestFit="1" customWidth="1"/>
    <col min="10" max="10" width="11.28515625" style="20" customWidth="1"/>
    <col min="11" max="11" width="18.42578125" style="16" customWidth="1"/>
    <col min="12" max="12" width="13" style="16" customWidth="1"/>
    <col min="13" max="13" width="10.140625" style="16" customWidth="1"/>
    <col min="14" max="14" width="9.28515625" style="16" customWidth="1"/>
    <col min="15" max="15" width="15.5703125" style="16" bestFit="1" customWidth="1"/>
    <col min="16" max="16" width="13" style="16" customWidth="1"/>
    <col min="17" max="17" width="15.5703125" style="16" customWidth="1"/>
    <col min="18" max="18" width="14" style="16" customWidth="1"/>
    <col min="19" max="19" width="14.42578125" style="16" customWidth="1"/>
    <col min="20" max="20" width="15.140625" style="16" customWidth="1"/>
    <col min="21" max="21" width="13.85546875" style="16" bestFit="1" customWidth="1"/>
    <col min="22" max="22" width="14.85546875" style="16" customWidth="1"/>
    <col min="23" max="23" width="17.140625" style="16" customWidth="1"/>
    <col min="24" max="24" width="15.42578125" style="16" customWidth="1"/>
    <col min="25" max="25" width="16.5703125" style="16" customWidth="1"/>
    <col min="26" max="26" width="15.85546875" style="16" customWidth="1"/>
    <col min="27" max="27" width="22.28515625" style="16" customWidth="1"/>
    <col min="28" max="28" width="22.140625" style="27" customWidth="1"/>
    <col min="29" max="29" width="13.85546875" style="16" bestFit="1" customWidth="1"/>
    <col min="30" max="30" width="11.85546875" style="16" bestFit="1" customWidth="1"/>
    <col min="31" max="31" width="19.85546875" style="16" bestFit="1" customWidth="1"/>
    <col min="32" max="32" width="13.5703125" style="44" customWidth="1"/>
    <col min="33" max="34" width="13.5703125" style="16" customWidth="1"/>
    <col min="35" max="35" width="14.85546875" style="16" customWidth="1"/>
    <col min="36" max="16384" width="10.5703125" style="16"/>
  </cols>
  <sheetData>
    <row r="1" spans="1:33" s="1" customFormat="1" ht="15" customHeight="1" x14ac:dyDescent="0.25">
      <c r="A1" s="1" t="s">
        <v>0</v>
      </c>
      <c r="B1" s="7"/>
      <c r="C1" s="7"/>
      <c r="D1" s="3" t="s">
        <v>16</v>
      </c>
      <c r="F1" s="10"/>
      <c r="L1" s="12"/>
      <c r="AD1" s="2"/>
      <c r="AF1" s="42"/>
    </row>
    <row r="2" spans="1:33" s="1" customFormat="1" ht="15" customHeight="1" x14ac:dyDescent="0.25">
      <c r="A2" s="7"/>
      <c r="B2" s="7"/>
      <c r="C2" s="7"/>
      <c r="D2" s="3" t="s">
        <v>17</v>
      </c>
      <c r="F2" s="10"/>
      <c r="G2" s="61"/>
      <c r="H2" s="1" t="s">
        <v>86</v>
      </c>
      <c r="L2" s="12"/>
      <c r="R2" s="66"/>
      <c r="AD2" s="2"/>
      <c r="AF2" s="42"/>
    </row>
    <row r="3" spans="1:33" s="1" customFormat="1" ht="15" customHeight="1" x14ac:dyDescent="0.25">
      <c r="A3" s="1" t="s">
        <v>4</v>
      </c>
      <c r="B3" s="7"/>
      <c r="C3" s="7"/>
      <c r="D3" s="81"/>
      <c r="E3" s="81"/>
      <c r="F3" s="10"/>
      <c r="G3" s="49"/>
      <c r="H3" s="1" t="s">
        <v>87</v>
      </c>
      <c r="L3" s="12"/>
      <c r="AD3" s="2"/>
      <c r="AF3" s="42"/>
    </row>
    <row r="4" spans="1:33" s="1" customFormat="1" ht="15" customHeight="1" x14ac:dyDescent="0.25">
      <c r="A4" s="1" t="s">
        <v>1</v>
      </c>
      <c r="B4" s="7"/>
      <c r="C4" s="7"/>
      <c r="D4" s="81"/>
      <c r="E4" s="81"/>
      <c r="F4" s="10"/>
      <c r="G4" s="50"/>
      <c r="H4" s="1" t="s">
        <v>85</v>
      </c>
      <c r="L4" s="12"/>
      <c r="R4" s="66"/>
      <c r="AD4" s="2"/>
      <c r="AF4" s="42"/>
    </row>
    <row r="5" spans="1:33" s="1" customFormat="1" ht="15" customHeight="1" x14ac:dyDescent="0.25">
      <c r="A5" s="1" t="s">
        <v>2</v>
      </c>
      <c r="B5" s="7"/>
      <c r="C5" s="7"/>
      <c r="D5" s="81"/>
      <c r="E5" s="81"/>
      <c r="F5" s="10"/>
      <c r="G5" s="64" t="s">
        <v>46</v>
      </c>
      <c r="L5" s="12"/>
      <c r="AD5" s="2"/>
      <c r="AF5" s="42"/>
    </row>
    <row r="6" spans="1:33" s="1" customFormat="1" ht="15" customHeight="1" x14ac:dyDescent="0.25">
      <c r="A6" s="1" t="s">
        <v>3</v>
      </c>
      <c r="B6" s="7"/>
      <c r="C6" s="7"/>
      <c r="D6" s="81"/>
      <c r="E6" s="81"/>
      <c r="F6" s="10"/>
      <c r="G6" s="65" t="s">
        <v>88</v>
      </c>
      <c r="H6" s="65"/>
      <c r="L6" s="12"/>
      <c r="AD6" s="2"/>
      <c r="AF6" s="42"/>
    </row>
    <row r="7" spans="1:33" s="1" customFormat="1" ht="15" customHeight="1" x14ac:dyDescent="0.25">
      <c r="A7" s="1" t="s">
        <v>7</v>
      </c>
      <c r="B7" s="7"/>
      <c r="C7" s="7"/>
      <c r="D7" s="84">
        <f>+MAX(Tabla2[Fecha de Tasación])</f>
        <v>0</v>
      </c>
      <c r="E7" s="84"/>
      <c r="F7" s="10"/>
      <c r="L7" s="12"/>
      <c r="AD7" s="2"/>
      <c r="AF7" s="42"/>
    </row>
    <row r="8" spans="1:33" s="3" customFormat="1" ht="15" customHeight="1" x14ac:dyDescent="0.25">
      <c r="A8" s="3" t="s">
        <v>8</v>
      </c>
      <c r="B8" s="9"/>
      <c r="C8" s="9"/>
      <c r="D8" s="81"/>
      <c r="E8" s="81"/>
      <c r="F8" s="8" t="s">
        <v>18</v>
      </c>
      <c r="G8" s="63">
        <v>3.5</v>
      </c>
      <c r="L8" s="13"/>
      <c r="AA8" s="45"/>
      <c r="AD8" s="4"/>
      <c r="AF8" s="43"/>
    </row>
    <row r="9" spans="1:33" s="1" customFormat="1" ht="6" customHeight="1" x14ac:dyDescent="0.25">
      <c r="A9" s="7"/>
      <c r="B9" s="3"/>
      <c r="D9" s="12"/>
      <c r="F9" s="3"/>
      <c r="J9" s="12"/>
      <c r="L9" s="3"/>
      <c r="AB9" s="2"/>
      <c r="AF9" s="42"/>
    </row>
    <row r="10" spans="1:33" s="1" customFormat="1" ht="15" customHeight="1" x14ac:dyDescent="0.25">
      <c r="A10" s="7"/>
      <c r="B10" s="3"/>
      <c r="D10" s="13"/>
      <c r="E10" s="41"/>
      <c r="F10" s="76" t="s">
        <v>11</v>
      </c>
      <c r="G10" s="77"/>
      <c r="H10" s="77"/>
      <c r="I10" s="77"/>
      <c r="J10" s="77"/>
      <c r="K10" s="78"/>
      <c r="L10" s="73" t="s">
        <v>12</v>
      </c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2"/>
      <c r="AF10" s="42"/>
    </row>
    <row r="11" spans="1:33" s="36" customFormat="1" ht="49.5" customHeight="1" x14ac:dyDescent="0.25">
      <c r="A11" s="30" t="s">
        <v>9</v>
      </c>
      <c r="B11" s="31" t="s">
        <v>62</v>
      </c>
      <c r="C11" s="32" t="s">
        <v>10</v>
      </c>
      <c r="D11" s="33" t="s">
        <v>6</v>
      </c>
      <c r="E11" s="33" t="s">
        <v>5</v>
      </c>
      <c r="F11" s="34" t="s">
        <v>66</v>
      </c>
      <c r="G11" s="34" t="s">
        <v>67</v>
      </c>
      <c r="H11" s="34" t="s">
        <v>68</v>
      </c>
      <c r="I11" s="34" t="s">
        <v>15</v>
      </c>
      <c r="J11" s="34" t="s">
        <v>28</v>
      </c>
      <c r="K11" s="34" t="s">
        <v>29</v>
      </c>
      <c r="L11" s="35" t="s">
        <v>69</v>
      </c>
      <c r="M11" s="35" t="s">
        <v>70</v>
      </c>
      <c r="N11" s="35" t="s">
        <v>71</v>
      </c>
      <c r="O11" s="35" t="s">
        <v>61</v>
      </c>
      <c r="P11" s="35" t="s">
        <v>72</v>
      </c>
      <c r="Q11" s="35" t="s">
        <v>73</v>
      </c>
      <c r="R11" s="35" t="s">
        <v>74</v>
      </c>
      <c r="S11" s="35" t="s">
        <v>75</v>
      </c>
      <c r="T11" s="35" t="s">
        <v>76</v>
      </c>
      <c r="U11" s="35" t="s">
        <v>13</v>
      </c>
      <c r="V11" s="35" t="s">
        <v>77</v>
      </c>
      <c r="W11" s="35" t="s">
        <v>78</v>
      </c>
      <c r="X11" s="35" t="s">
        <v>79</v>
      </c>
      <c r="Y11" s="35" t="s">
        <v>80</v>
      </c>
      <c r="Z11" s="35" t="s">
        <v>81</v>
      </c>
      <c r="AA11" s="35" t="s">
        <v>14</v>
      </c>
      <c r="AB11" s="56" t="s">
        <v>32</v>
      </c>
      <c r="AC11" s="57" t="s">
        <v>63</v>
      </c>
      <c r="AD11" s="36" t="s">
        <v>31</v>
      </c>
      <c r="AE11" s="58" t="s">
        <v>82</v>
      </c>
      <c r="AF11" s="59" t="s">
        <v>64</v>
      </c>
      <c r="AG11" s="57" t="s">
        <v>65</v>
      </c>
    </row>
    <row r="12" spans="1:33" s="1" customFormat="1" ht="15" customHeight="1" x14ac:dyDescent="0.25">
      <c r="A12" s="60" t="s">
        <v>27</v>
      </c>
      <c r="B12" s="14">
        <v>101</v>
      </c>
      <c r="C12" s="11">
        <v>1</v>
      </c>
      <c r="D12" s="15"/>
      <c r="E12" s="15"/>
      <c r="F12" s="51">
        <f>ROUND(Tabla2[[#This Row],[Área ocupada (m²)]]/20*1.4,2)</f>
        <v>4.38</v>
      </c>
      <c r="G12" s="46">
        <v>62.5</v>
      </c>
      <c r="H12" s="46">
        <v>62.5</v>
      </c>
      <c r="I12" s="51">
        <f>ROUND(Tabla2[[#This Row],[Área techada (m²)]]*0.15,2)</f>
        <v>9.3800000000000008</v>
      </c>
      <c r="J12" s="47" t="s">
        <v>30</v>
      </c>
      <c r="K12" s="48">
        <v>233200</v>
      </c>
      <c r="L12" s="51">
        <f>ROUND(Tabla2[[#This Row],[Área ocupada (m²)3]]/20*1.4,2)</f>
        <v>4.38</v>
      </c>
      <c r="M12" s="37">
        <f>ROUND(Tabla2[[#This Row],[Área ocupada (m²)]],2)</f>
        <v>62.5</v>
      </c>
      <c r="N12" s="37">
        <f>ROUND(Tabla2[[#This Row],[Área techada (m²)]],2)</f>
        <v>62.5</v>
      </c>
      <c r="O12" s="52">
        <f>ROUND(Tabla2[[#This Row],[Área techada (m²)4]]*0.15,2)</f>
        <v>9.3800000000000008</v>
      </c>
      <c r="P12" s="52">
        <f>ROUND(Tabla2[[#This Row],[Área del terreno (m²)2]]*[1]DATA!$A$2,-2)</f>
        <v>3100</v>
      </c>
      <c r="Q12" s="38" t="e">
        <f>+Tabla2[[#This Row],[Valor Comercial (US$)]]-Tabla2[[#This Row],[Valor del terreno (US$)]]</f>
        <v>#REF!</v>
      </c>
      <c r="R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" s="53" t="e">
        <f>ROUND(Tabla2[[#This Row],[Valor Comercial (US$)]]*0.8,-2)</f>
        <v>#REF!</v>
      </c>
      <c r="T12" s="53">
        <f>IF($H$6=$G$5,R12,ROUND(Tabla2[[#This Row],[Área techada (m²)4]]*[1]DATA!$B$2*1.15,-2))</f>
        <v>32300</v>
      </c>
      <c r="U12" s="6">
        <f>+$G$8</f>
        <v>3.5</v>
      </c>
      <c r="V12" s="39">
        <f>ROUND(Tabla2[[#This Row],[Valor del terreno (US$)]]*Tabla2[[#This Row],[Tipo de Cambio]],-2)</f>
        <v>10900</v>
      </c>
      <c r="W12" s="39" t="e">
        <f>Tabla2[[#This Row],[Valor Comercial (S/.)]]-Tabla2[[#This Row],[Valor del terreno (S/.)]]</f>
        <v>#REF!</v>
      </c>
      <c r="X12" s="39" t="e">
        <f>ROUND(Tabla2[[#This Row],[Valor Comercial (US$)]]*Tabla2[[#This Row],[Tipo de Cambio]],-2)</f>
        <v>#REF!</v>
      </c>
      <c r="Y12" s="39" t="e">
        <f>ROUND(Tabla2[[#This Row],[Valor Realización (US$)]]*Tabla2[[#This Row],[Tipo de Cambio]],-2)</f>
        <v>#REF!</v>
      </c>
      <c r="Z12" s="39">
        <f>+ROUND(Tabla2[[#This Row],[Importe Asegurable (US$)]]*Tabla2[[#This Row],[Tipo de Cambio]],-2)</f>
        <v>113100</v>
      </c>
      <c r="AA12" s="40"/>
      <c r="AB12" s="2" t="e">
        <f>+Tabla2[[#This Row],[Valor Comercial (US$)]]/Tabla2[[#This Row],[Área techada (m²)4]]</f>
        <v>#REF!</v>
      </c>
      <c r="AC12" s="67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" s="61" t="s">
        <v>39</v>
      </c>
      <c r="AE12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2" s="43" t="e">
        <f>_xlfn.XLOOKUP(Tabla2[[#This Row],[VISTA]],[1]!Table1[Clase],[1]!Table1[VUE (USD)],0,0,1)</f>
        <v>#REF!</v>
      </c>
      <c r="AG12" s="68" t="e">
        <f>+Tabla2[[#This Row],[Valor Comercial (S/.)]]/Tabla2[[#This Row],[Valor de Venta]]-1</f>
        <v>#REF!</v>
      </c>
    </row>
    <row r="13" spans="1:33" s="1" customFormat="1" ht="15" customHeight="1" x14ac:dyDescent="0.25">
      <c r="A13" s="60" t="s">
        <v>27</v>
      </c>
      <c r="B13" s="14">
        <v>102</v>
      </c>
      <c r="C13" s="11">
        <v>1</v>
      </c>
      <c r="D13" s="15"/>
      <c r="E13" s="15"/>
      <c r="F13" s="51">
        <f>ROUND(Tabla2[[#This Row],[Área ocupada (m²)]]/20*1.4,2)</f>
        <v>4.38</v>
      </c>
      <c r="G13" s="46">
        <v>62.5</v>
      </c>
      <c r="H13" s="46">
        <v>62.5</v>
      </c>
      <c r="I13" s="51">
        <f>ROUND(Tabla2[[#This Row],[Área techada (m²)]]*0.15,2)</f>
        <v>9.3800000000000008</v>
      </c>
      <c r="J13" s="47" t="s">
        <v>30</v>
      </c>
      <c r="K13" s="48">
        <v>233200</v>
      </c>
      <c r="L13" s="51">
        <f>ROUND(Tabla2[[#This Row],[Área ocupada (m²)3]]/20*1.4,2)</f>
        <v>4.38</v>
      </c>
      <c r="M13" s="37">
        <f>ROUND(Tabla2[[#This Row],[Área ocupada (m²)]],2)</f>
        <v>62.5</v>
      </c>
      <c r="N13" s="37">
        <f>ROUND(Tabla2[[#This Row],[Área techada (m²)]],2)</f>
        <v>62.5</v>
      </c>
      <c r="O13" s="52">
        <f>ROUND(Tabla2[[#This Row],[Área techada (m²)4]]*0.15,2)</f>
        <v>9.3800000000000008</v>
      </c>
      <c r="P13" s="52">
        <f>ROUND(Tabla2[[#This Row],[Área del terreno (m²)2]]*[1]DATA!$A$2,-2)</f>
        <v>3100</v>
      </c>
      <c r="Q13" s="38" t="e">
        <f>+Tabla2[[#This Row],[Valor Comercial (US$)]]-Tabla2[[#This Row],[Valor del terreno (US$)]]</f>
        <v>#REF!</v>
      </c>
      <c r="R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" s="53" t="e">
        <f>ROUND(Tabla2[[#This Row],[Valor Comercial (US$)]]*0.8,-2)</f>
        <v>#REF!</v>
      </c>
      <c r="T13" s="53">
        <f>IF($H$6=$G$5,R13,ROUND(Tabla2[[#This Row],[Área techada (m²)4]]*[1]DATA!$B$2*1.15,-2))</f>
        <v>32300</v>
      </c>
      <c r="U13" s="6">
        <f t="shared" ref="U13:U76" si="0">+$G$8</f>
        <v>3.5</v>
      </c>
      <c r="V13" s="39">
        <f>ROUND(Tabla2[[#This Row],[Valor del terreno (US$)]]*Tabla2[[#This Row],[Tipo de Cambio]],-2)</f>
        <v>10900</v>
      </c>
      <c r="W13" s="39" t="e">
        <f>Tabla2[[#This Row],[Valor Comercial (S/.)]]-Tabla2[[#This Row],[Valor del terreno (S/.)]]</f>
        <v>#REF!</v>
      </c>
      <c r="X13" s="39" t="e">
        <f>ROUND(Tabla2[[#This Row],[Valor Comercial (US$)]]*Tabla2[[#This Row],[Tipo de Cambio]],-2)</f>
        <v>#REF!</v>
      </c>
      <c r="Y13" s="39" t="e">
        <f>ROUND(Tabla2[[#This Row],[Valor Realización (US$)]]*Tabla2[[#This Row],[Tipo de Cambio]],-2)</f>
        <v>#REF!</v>
      </c>
      <c r="Z13" s="39">
        <f>+ROUND(Tabla2[[#This Row],[Importe Asegurable (US$)]]*Tabla2[[#This Row],[Tipo de Cambio]],-2)</f>
        <v>113100</v>
      </c>
      <c r="AA13" s="40"/>
      <c r="AB13" s="2" t="e">
        <f>+Tabla2[[#This Row],[Valor Comercial (US$)]]/Tabla2[[#This Row],[Área techada (m²)4]]</f>
        <v>#REF!</v>
      </c>
      <c r="AC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" s="61" t="s">
        <v>39</v>
      </c>
      <c r="AE13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3" s="43" t="e">
        <f>_xlfn.XLOOKUP(Tabla2[[#This Row],[VISTA]],[1]!Table1[Clase],[1]!Table1[VUE (USD)],0,0,1)</f>
        <v>#REF!</v>
      </c>
      <c r="AG13" s="55" t="e">
        <f>+Tabla2[[#This Row],[Valor Comercial (S/.)]]/Tabla2[[#This Row],[Valor de Venta]]-1</f>
        <v>#REF!</v>
      </c>
    </row>
    <row r="14" spans="1:33" s="1" customFormat="1" ht="15" customHeight="1" x14ac:dyDescent="0.25">
      <c r="A14" s="60" t="s">
        <v>27</v>
      </c>
      <c r="B14" s="14">
        <v>103</v>
      </c>
      <c r="C14" s="11">
        <v>1</v>
      </c>
      <c r="D14" s="15"/>
      <c r="E14" s="15"/>
      <c r="F14" s="51">
        <f>ROUND(Tabla2[[#This Row],[Área ocupada (m²)]]/20*1.4,2)</f>
        <v>4.38</v>
      </c>
      <c r="G14" s="46">
        <v>62.5</v>
      </c>
      <c r="H14" s="46">
        <v>62.5</v>
      </c>
      <c r="I14" s="51">
        <f>ROUND(Tabla2[[#This Row],[Área techada (m²)]]*0.15,2)</f>
        <v>9.3800000000000008</v>
      </c>
      <c r="J14" s="47" t="s">
        <v>30</v>
      </c>
      <c r="K14" s="48">
        <v>227200</v>
      </c>
      <c r="L14" s="51">
        <f>ROUND(Tabla2[[#This Row],[Área ocupada (m²)3]]/20*1.4,2)</f>
        <v>4.38</v>
      </c>
      <c r="M14" s="37">
        <f>ROUND(Tabla2[[#This Row],[Área ocupada (m²)]],2)</f>
        <v>62.5</v>
      </c>
      <c r="N14" s="37">
        <f>ROUND(Tabla2[[#This Row],[Área techada (m²)]],2)</f>
        <v>62.5</v>
      </c>
      <c r="O14" s="52">
        <f>ROUND(Tabla2[[#This Row],[Área techada (m²)4]]*0.15,2)</f>
        <v>9.3800000000000008</v>
      </c>
      <c r="P14" s="52">
        <f>ROUND(Tabla2[[#This Row],[Área del terreno (m²)2]]*[1]DATA!$A$2,-2)</f>
        <v>3100</v>
      </c>
      <c r="Q14" s="38" t="e">
        <f>+Tabla2[[#This Row],[Valor Comercial (US$)]]-Tabla2[[#This Row],[Valor del terreno (US$)]]</f>
        <v>#REF!</v>
      </c>
      <c r="R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" s="53" t="e">
        <f>ROUND(Tabla2[[#This Row],[Valor Comercial (US$)]]*0.8,-2)</f>
        <v>#REF!</v>
      </c>
      <c r="T14" s="53">
        <f>IF($H$6=$G$5,R14,ROUND(Tabla2[[#This Row],[Área techada (m²)4]]*[1]DATA!$B$2*1.15,-2))</f>
        <v>32300</v>
      </c>
      <c r="U14" s="6">
        <f t="shared" si="0"/>
        <v>3.5</v>
      </c>
      <c r="V14" s="39">
        <f>ROUND(Tabla2[[#This Row],[Valor del terreno (US$)]]*Tabla2[[#This Row],[Tipo de Cambio]],-2)</f>
        <v>10900</v>
      </c>
      <c r="W14" s="39" t="e">
        <f>Tabla2[[#This Row],[Valor Comercial (S/.)]]-Tabla2[[#This Row],[Valor del terreno (S/.)]]</f>
        <v>#REF!</v>
      </c>
      <c r="X14" s="39" t="e">
        <f>ROUND(Tabla2[[#This Row],[Valor Comercial (US$)]]*Tabla2[[#This Row],[Tipo de Cambio]],-2)</f>
        <v>#REF!</v>
      </c>
      <c r="Y14" s="39" t="e">
        <f>ROUND(Tabla2[[#This Row],[Valor Realización (US$)]]*Tabla2[[#This Row],[Tipo de Cambio]],-2)</f>
        <v>#REF!</v>
      </c>
      <c r="Z14" s="39">
        <f>+ROUND(Tabla2[[#This Row],[Importe Asegurable (US$)]]*Tabla2[[#This Row],[Tipo de Cambio]],-2)</f>
        <v>113100</v>
      </c>
      <c r="AA14" s="40"/>
      <c r="AB14" s="2" t="e">
        <f>+Tabla2[[#This Row],[Valor Comercial (US$)]]/Tabla2[[#This Row],[Área techada (m²)4]]</f>
        <v>#REF!</v>
      </c>
      <c r="AC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" s="61" t="s">
        <v>39</v>
      </c>
      <c r="AE14" s="54">
        <f>IF(Tabla2[[#This Row],[Moneda]]="Soles",Tabla2[[#This Row],[Valor de Venta]]/Tabla2[[#This Row],[Área techada (m²)]]/Tabla2[[#This Row],[Tipo de Cambio]],Tabla2[[#This Row],[Valor de Venta]]/Tabla2[[#This Row],[Área techada (m²)]])</f>
        <v>1038.6285714285714</v>
      </c>
      <c r="AF14" s="43" t="e">
        <f>_xlfn.XLOOKUP(Tabla2[[#This Row],[VISTA]],[1]!Table1[Clase],[1]!Table1[VUE (USD)],0,0,1)</f>
        <v>#REF!</v>
      </c>
      <c r="AG14" s="55" t="e">
        <f>+Tabla2[[#This Row],[Valor Comercial (S/.)]]/Tabla2[[#This Row],[Valor de Venta]]-1</f>
        <v>#REF!</v>
      </c>
    </row>
    <row r="15" spans="1:33" s="1" customFormat="1" ht="15" customHeight="1" x14ac:dyDescent="0.25">
      <c r="A15" s="60" t="s">
        <v>27</v>
      </c>
      <c r="B15" s="14">
        <v>104</v>
      </c>
      <c r="C15" s="11">
        <v>1</v>
      </c>
      <c r="D15" s="15"/>
      <c r="E15" s="15"/>
      <c r="F15" s="51">
        <f>ROUND(Tabla2[[#This Row],[Área ocupada (m²)]]/20*1.4,2)</f>
        <v>4.4000000000000004</v>
      </c>
      <c r="G15" s="46">
        <v>62.9</v>
      </c>
      <c r="H15" s="46">
        <v>62.9</v>
      </c>
      <c r="I15" s="51">
        <f>ROUND(Tabla2[[#This Row],[Área techada (m²)]]*0.15,2)</f>
        <v>9.44</v>
      </c>
      <c r="J15" s="47" t="s">
        <v>30</v>
      </c>
      <c r="K15" s="48">
        <v>237800</v>
      </c>
      <c r="L15" s="51">
        <f>ROUND(Tabla2[[#This Row],[Área ocupada (m²)3]]/20*1.4,2)</f>
        <v>4.4000000000000004</v>
      </c>
      <c r="M15" s="37">
        <f>ROUND(Tabla2[[#This Row],[Área ocupada (m²)]],2)</f>
        <v>62.9</v>
      </c>
      <c r="N15" s="37">
        <f>ROUND(Tabla2[[#This Row],[Área techada (m²)]],2)</f>
        <v>62.9</v>
      </c>
      <c r="O15" s="52">
        <f>ROUND(Tabla2[[#This Row],[Área techada (m²)4]]*0.15,2)</f>
        <v>9.44</v>
      </c>
      <c r="P15" s="52">
        <f>ROUND(Tabla2[[#This Row],[Área del terreno (m²)2]]*[1]DATA!$A$2,-2)</f>
        <v>3100</v>
      </c>
      <c r="Q15" s="38" t="e">
        <f>+Tabla2[[#This Row],[Valor Comercial (US$)]]-Tabla2[[#This Row],[Valor del terreno (US$)]]</f>
        <v>#REF!</v>
      </c>
      <c r="R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" s="53" t="e">
        <f>ROUND(Tabla2[[#This Row],[Valor Comercial (US$)]]*0.8,-2)</f>
        <v>#REF!</v>
      </c>
      <c r="T15" s="53">
        <f>IF($H$6=$G$5,R15,ROUND(Tabla2[[#This Row],[Área techada (m²)4]]*[1]DATA!$B$2*1.15,-2))</f>
        <v>32600</v>
      </c>
      <c r="U15" s="6">
        <f t="shared" si="0"/>
        <v>3.5</v>
      </c>
      <c r="V15" s="39">
        <f>ROUND(Tabla2[[#This Row],[Valor del terreno (US$)]]*Tabla2[[#This Row],[Tipo de Cambio]],-2)</f>
        <v>10900</v>
      </c>
      <c r="W15" s="39" t="e">
        <f>Tabla2[[#This Row],[Valor Comercial (S/.)]]-Tabla2[[#This Row],[Valor del terreno (S/.)]]</f>
        <v>#REF!</v>
      </c>
      <c r="X15" s="39" t="e">
        <f>ROUND(Tabla2[[#This Row],[Valor Comercial (US$)]]*Tabla2[[#This Row],[Tipo de Cambio]],-2)</f>
        <v>#REF!</v>
      </c>
      <c r="Y15" s="39" t="e">
        <f>ROUND(Tabla2[[#This Row],[Valor Realización (US$)]]*Tabla2[[#This Row],[Tipo de Cambio]],-2)</f>
        <v>#REF!</v>
      </c>
      <c r="Z15" s="39">
        <f>+ROUND(Tabla2[[#This Row],[Importe Asegurable (US$)]]*Tabla2[[#This Row],[Tipo de Cambio]],-2)</f>
        <v>114100</v>
      </c>
      <c r="AA15" s="40"/>
      <c r="AB15" s="2" t="e">
        <f>+Tabla2[[#This Row],[Valor Comercial (US$)]]/Tabla2[[#This Row],[Área techada (m²)4]]</f>
        <v>#REF!</v>
      </c>
      <c r="AC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" s="61" t="s">
        <v>38</v>
      </c>
      <c r="AE15" s="54">
        <f>IF(Tabla2[[#This Row],[Moneda]]="Soles",Tabla2[[#This Row],[Valor de Venta]]/Tabla2[[#This Row],[Área techada (m²)]]/Tabla2[[#This Row],[Tipo de Cambio]],Tabla2[[#This Row],[Valor de Venta]]/Tabla2[[#This Row],[Área techada (m²)]])</f>
        <v>1080.1726095843744</v>
      </c>
      <c r="AF15" s="43" t="e">
        <f>_xlfn.XLOOKUP(Tabla2[[#This Row],[VISTA]],[1]!Table1[Clase],[1]!Table1[VUE (USD)],0,0,1)</f>
        <v>#REF!</v>
      </c>
      <c r="AG15" s="55" t="e">
        <f>+Tabla2[[#This Row],[Valor Comercial (S/.)]]/Tabla2[[#This Row],[Valor de Venta]]-1</f>
        <v>#REF!</v>
      </c>
    </row>
    <row r="16" spans="1:33" s="1" customFormat="1" ht="15" customHeight="1" x14ac:dyDescent="0.25">
      <c r="A16" s="60" t="s">
        <v>27</v>
      </c>
      <c r="B16" s="14">
        <v>105</v>
      </c>
      <c r="C16" s="11">
        <v>1</v>
      </c>
      <c r="D16" s="15" t="s">
        <v>83</v>
      </c>
      <c r="E16" s="15"/>
      <c r="F16" s="51">
        <f>ROUND(Tabla2[[#This Row],[Área ocupada (m²)]]/20*1.4,2)</f>
        <v>4.4000000000000004</v>
      </c>
      <c r="G16" s="46">
        <v>62.9</v>
      </c>
      <c r="H16" s="46">
        <v>62.9</v>
      </c>
      <c r="I16" s="51">
        <f>ROUND(Tabla2[[#This Row],[Área techada (m²)]]*0.15,2)</f>
        <v>9.44</v>
      </c>
      <c r="J16" s="47" t="s">
        <v>30</v>
      </c>
      <c r="K16" s="48">
        <v>237800</v>
      </c>
      <c r="L16" s="51">
        <f>ROUND(Tabla2[[#This Row],[Área ocupada (m²)3]]/20*1.4,2)</f>
        <v>4.4000000000000004</v>
      </c>
      <c r="M16" s="37">
        <f>ROUND(Tabla2[[#This Row],[Área ocupada (m²)]],2)</f>
        <v>62.9</v>
      </c>
      <c r="N16" s="37">
        <f>ROUND(Tabla2[[#This Row],[Área techada (m²)]],2)</f>
        <v>62.9</v>
      </c>
      <c r="O16" s="52">
        <f>ROUND(Tabla2[[#This Row],[Área techada (m²)4]]*0.15,2)</f>
        <v>9.44</v>
      </c>
      <c r="P16" s="52">
        <f>ROUND(Tabla2[[#This Row],[Área del terreno (m²)2]]*[1]DATA!$A$2,-2)</f>
        <v>3100</v>
      </c>
      <c r="Q16" s="38" t="e">
        <f>+Tabla2[[#This Row],[Valor Comercial (US$)]]-Tabla2[[#This Row],[Valor del terreno (US$)]]</f>
        <v>#REF!</v>
      </c>
      <c r="R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" s="53" t="e">
        <f>ROUND(Tabla2[[#This Row],[Valor Comercial (US$)]]*0.8,-2)</f>
        <v>#REF!</v>
      </c>
      <c r="T16" s="53">
        <f>IF($H$6=$G$5,R16,ROUND(Tabla2[[#This Row],[Área techada (m²)4]]*[1]DATA!$B$2*1.15,-2))</f>
        <v>32600</v>
      </c>
      <c r="U16" s="6">
        <f t="shared" si="0"/>
        <v>3.5</v>
      </c>
      <c r="V16" s="39">
        <f>ROUND(Tabla2[[#This Row],[Valor del terreno (US$)]]*Tabla2[[#This Row],[Tipo de Cambio]],-2)</f>
        <v>10900</v>
      </c>
      <c r="W16" s="39" t="e">
        <f>Tabla2[[#This Row],[Valor Comercial (S/.)]]-Tabla2[[#This Row],[Valor del terreno (S/.)]]</f>
        <v>#REF!</v>
      </c>
      <c r="X16" s="39" t="e">
        <f>ROUND(Tabla2[[#This Row],[Valor Comercial (US$)]]*Tabla2[[#This Row],[Tipo de Cambio]],-2)</f>
        <v>#REF!</v>
      </c>
      <c r="Y16" s="39" t="e">
        <f>ROUND(Tabla2[[#This Row],[Valor Realización (US$)]]*Tabla2[[#This Row],[Tipo de Cambio]],-2)</f>
        <v>#REF!</v>
      </c>
      <c r="Z16" s="39">
        <f>+ROUND(Tabla2[[#This Row],[Importe Asegurable (US$)]]*Tabla2[[#This Row],[Tipo de Cambio]],-2)</f>
        <v>114100</v>
      </c>
      <c r="AA16" s="40"/>
      <c r="AB16" s="2" t="e">
        <f>+Tabla2[[#This Row],[Valor Comercial (US$)]]/Tabla2[[#This Row],[Área techada (m²)4]]</f>
        <v>#REF!</v>
      </c>
      <c r="AC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" s="61" t="s">
        <v>38</v>
      </c>
      <c r="AE16" s="54">
        <f>IF(Tabla2[[#This Row],[Moneda]]="Soles",Tabla2[[#This Row],[Valor de Venta]]/Tabla2[[#This Row],[Área techada (m²)]]/Tabla2[[#This Row],[Tipo de Cambio]],Tabla2[[#This Row],[Valor de Venta]]/Tabla2[[#This Row],[Área techada (m²)]])</f>
        <v>1080.1726095843744</v>
      </c>
      <c r="AF16" s="43" t="e">
        <f>_xlfn.XLOOKUP(Tabla2[[#This Row],[VISTA]],[1]!Table1[Clase],[1]!Table1[VUE (USD)],0,0,1)</f>
        <v>#REF!</v>
      </c>
      <c r="AG16" s="55" t="e">
        <f>+Tabla2[[#This Row],[Valor Comercial (S/.)]]/Tabla2[[#This Row],[Valor de Venta]]-1</f>
        <v>#REF!</v>
      </c>
    </row>
    <row r="17" spans="1:33" s="1" customFormat="1" ht="15" customHeight="1" x14ac:dyDescent="0.25">
      <c r="A17" s="60" t="s">
        <v>27</v>
      </c>
      <c r="B17" s="14">
        <v>106</v>
      </c>
      <c r="C17" s="11">
        <v>1</v>
      </c>
      <c r="D17" s="15" t="s">
        <v>83</v>
      </c>
      <c r="E17" s="15"/>
      <c r="F17" s="51">
        <f>ROUND(Tabla2[[#This Row],[Área ocupada (m²)]]/20*1.4,2)</f>
        <v>4.38</v>
      </c>
      <c r="G17" s="46">
        <v>62.5</v>
      </c>
      <c r="H17" s="46">
        <v>62.5</v>
      </c>
      <c r="I17" s="51">
        <f>ROUND(Tabla2[[#This Row],[Área techada (m²)]]*0.15,2)</f>
        <v>9.3800000000000008</v>
      </c>
      <c r="J17" s="47" t="s">
        <v>30</v>
      </c>
      <c r="K17" s="48">
        <v>233200</v>
      </c>
      <c r="L17" s="51">
        <f>ROUND(Tabla2[[#This Row],[Área ocupada (m²)3]]/20*1.4,2)</f>
        <v>4.38</v>
      </c>
      <c r="M17" s="37">
        <f>ROUND(Tabla2[[#This Row],[Área ocupada (m²)]],2)</f>
        <v>62.5</v>
      </c>
      <c r="N17" s="37">
        <f>ROUND(Tabla2[[#This Row],[Área techada (m²)]],2)</f>
        <v>62.5</v>
      </c>
      <c r="O17" s="52">
        <f>ROUND(Tabla2[[#This Row],[Área techada (m²)4]]*0.15,2)</f>
        <v>9.3800000000000008</v>
      </c>
      <c r="P17" s="52">
        <f>ROUND(Tabla2[[#This Row],[Área del terreno (m²)2]]*[1]DATA!$A$2,-2)</f>
        <v>3100</v>
      </c>
      <c r="Q17" s="38" t="e">
        <f>+Tabla2[[#This Row],[Valor Comercial (US$)]]-Tabla2[[#This Row],[Valor del terreno (US$)]]</f>
        <v>#REF!</v>
      </c>
      <c r="R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" s="53" t="e">
        <f>ROUND(Tabla2[[#This Row],[Valor Comercial (US$)]]*0.8,-2)</f>
        <v>#REF!</v>
      </c>
      <c r="T17" s="53">
        <f>IF($H$6=$G$5,R17,ROUND(Tabla2[[#This Row],[Área techada (m²)4]]*[1]DATA!$B$2*1.15,-2))</f>
        <v>32300</v>
      </c>
      <c r="U17" s="6">
        <f t="shared" si="0"/>
        <v>3.5</v>
      </c>
      <c r="V17" s="39">
        <f>ROUND(Tabla2[[#This Row],[Valor del terreno (US$)]]*Tabla2[[#This Row],[Tipo de Cambio]],-2)</f>
        <v>10900</v>
      </c>
      <c r="W17" s="39" t="e">
        <f>Tabla2[[#This Row],[Valor Comercial (S/.)]]-Tabla2[[#This Row],[Valor del terreno (S/.)]]</f>
        <v>#REF!</v>
      </c>
      <c r="X17" s="39" t="e">
        <f>ROUND(Tabla2[[#This Row],[Valor Comercial (US$)]]*Tabla2[[#This Row],[Tipo de Cambio]],-2)</f>
        <v>#REF!</v>
      </c>
      <c r="Y17" s="39" t="e">
        <f>ROUND(Tabla2[[#This Row],[Valor Realización (US$)]]*Tabla2[[#This Row],[Tipo de Cambio]],-2)</f>
        <v>#REF!</v>
      </c>
      <c r="Z17" s="39">
        <f>+ROUND(Tabla2[[#This Row],[Importe Asegurable (US$)]]*Tabla2[[#This Row],[Tipo de Cambio]],-2)</f>
        <v>113100</v>
      </c>
      <c r="AA17" s="40"/>
      <c r="AB17" s="2" t="e">
        <f>+Tabla2[[#This Row],[Valor Comercial (US$)]]/Tabla2[[#This Row],[Área techada (m²)4]]</f>
        <v>#REF!</v>
      </c>
      <c r="AC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" s="61" t="s">
        <v>39</v>
      </c>
      <c r="AE17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7" s="43" t="e">
        <f>_xlfn.XLOOKUP(Tabla2[[#This Row],[VISTA]],[1]!Table1[Clase],[1]!Table1[VUE (USD)],0,0,1)</f>
        <v>#REF!</v>
      </c>
      <c r="AG17" s="55" t="e">
        <f>+Tabla2[[#This Row],[Valor Comercial (S/.)]]/Tabla2[[#This Row],[Valor de Venta]]-1</f>
        <v>#REF!</v>
      </c>
    </row>
    <row r="18" spans="1:33" s="1" customFormat="1" ht="15" customHeight="1" x14ac:dyDescent="0.25">
      <c r="A18" s="60" t="s">
        <v>27</v>
      </c>
      <c r="B18" s="14">
        <v>107</v>
      </c>
      <c r="C18" s="11">
        <v>1</v>
      </c>
      <c r="D18" s="15"/>
      <c r="E18" s="15"/>
      <c r="F18" s="51">
        <f>ROUND(Tabla2[[#This Row],[Área ocupada (m²)]]/20*1.4,2)</f>
        <v>4.38</v>
      </c>
      <c r="G18" s="46">
        <v>62.5</v>
      </c>
      <c r="H18" s="46">
        <v>62.5</v>
      </c>
      <c r="I18" s="51">
        <f>ROUND(Tabla2[[#This Row],[Área techada (m²)]]*0.15,2)</f>
        <v>9.3800000000000008</v>
      </c>
      <c r="J18" s="47" t="s">
        <v>30</v>
      </c>
      <c r="K18" s="48">
        <v>230200</v>
      </c>
      <c r="L18" s="51">
        <f>ROUND(Tabla2[[#This Row],[Área ocupada (m²)3]]/20*1.4,2)</f>
        <v>4.38</v>
      </c>
      <c r="M18" s="37">
        <f>ROUND(Tabla2[[#This Row],[Área ocupada (m²)]],2)</f>
        <v>62.5</v>
      </c>
      <c r="N18" s="37">
        <f>ROUND(Tabla2[[#This Row],[Área techada (m²)]],2)</f>
        <v>62.5</v>
      </c>
      <c r="O18" s="52">
        <f>ROUND(Tabla2[[#This Row],[Área techada (m²)4]]*0.15,2)</f>
        <v>9.3800000000000008</v>
      </c>
      <c r="P18" s="52">
        <f>ROUND(Tabla2[[#This Row],[Área del terreno (m²)2]]*[1]DATA!$A$2,-2)</f>
        <v>3100</v>
      </c>
      <c r="Q18" s="38" t="e">
        <f>+Tabla2[[#This Row],[Valor Comercial (US$)]]-Tabla2[[#This Row],[Valor del terreno (US$)]]</f>
        <v>#REF!</v>
      </c>
      <c r="R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" s="53" t="e">
        <f>ROUND(Tabla2[[#This Row],[Valor Comercial (US$)]]*0.8,-2)</f>
        <v>#REF!</v>
      </c>
      <c r="T18" s="53">
        <f>IF($H$6=$G$5,R18,ROUND(Tabla2[[#This Row],[Área techada (m²)4]]*[1]DATA!$B$2*1.15,-2))</f>
        <v>32300</v>
      </c>
      <c r="U18" s="6">
        <f t="shared" si="0"/>
        <v>3.5</v>
      </c>
      <c r="V18" s="39">
        <f>ROUND(Tabla2[[#This Row],[Valor del terreno (US$)]]*Tabla2[[#This Row],[Tipo de Cambio]],-2)</f>
        <v>10900</v>
      </c>
      <c r="W18" s="39" t="e">
        <f>Tabla2[[#This Row],[Valor Comercial (S/.)]]-Tabla2[[#This Row],[Valor del terreno (S/.)]]</f>
        <v>#REF!</v>
      </c>
      <c r="X18" s="39" t="e">
        <f>ROUND(Tabla2[[#This Row],[Valor Comercial (US$)]]*Tabla2[[#This Row],[Tipo de Cambio]],-2)</f>
        <v>#REF!</v>
      </c>
      <c r="Y18" s="39" t="e">
        <f>ROUND(Tabla2[[#This Row],[Valor Realización (US$)]]*Tabla2[[#This Row],[Tipo de Cambio]],-2)</f>
        <v>#REF!</v>
      </c>
      <c r="Z18" s="39">
        <f>+ROUND(Tabla2[[#This Row],[Importe Asegurable (US$)]]*Tabla2[[#This Row],[Tipo de Cambio]],-2)</f>
        <v>113100</v>
      </c>
      <c r="AA18" s="40"/>
      <c r="AB18" s="2" t="e">
        <f>+Tabla2[[#This Row],[Valor Comercial (US$)]]/Tabla2[[#This Row],[Área techada (m²)4]]</f>
        <v>#REF!</v>
      </c>
      <c r="AC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" s="61" t="s">
        <v>39</v>
      </c>
      <c r="AE18" s="54">
        <f>IF(Tabla2[[#This Row],[Moneda]]="Soles",Tabla2[[#This Row],[Valor de Venta]]/Tabla2[[#This Row],[Área techada (m²)]]/Tabla2[[#This Row],[Tipo de Cambio]],Tabla2[[#This Row],[Valor de Venta]]/Tabla2[[#This Row],[Área techada (m²)]])</f>
        <v>1052.3428571428572</v>
      </c>
      <c r="AF18" s="43" t="e">
        <f>_xlfn.XLOOKUP(Tabla2[[#This Row],[VISTA]],[1]!Table1[Clase],[1]!Table1[VUE (USD)],0,0,1)</f>
        <v>#REF!</v>
      </c>
      <c r="AG18" s="55" t="e">
        <f>+Tabla2[[#This Row],[Valor Comercial (S/.)]]/Tabla2[[#This Row],[Valor de Venta]]-1</f>
        <v>#REF!</v>
      </c>
    </row>
    <row r="19" spans="1:33" s="1" customFormat="1" ht="15" customHeight="1" x14ac:dyDescent="0.25">
      <c r="A19" s="60" t="s">
        <v>27</v>
      </c>
      <c r="B19" s="14">
        <v>108</v>
      </c>
      <c r="C19" s="11">
        <v>1</v>
      </c>
      <c r="D19" s="15"/>
      <c r="E19" s="15"/>
      <c r="F19" s="51">
        <f>ROUND(Tabla2[[#This Row],[Área ocupada (m²)]]/20*1.4,2)</f>
        <v>4.4000000000000004</v>
      </c>
      <c r="G19" s="46">
        <v>62.9</v>
      </c>
      <c r="H19" s="46">
        <v>62.9</v>
      </c>
      <c r="I19" s="51">
        <f>ROUND(Tabla2[[#This Row],[Área techada (m²)]]*0.15,2)</f>
        <v>9.44</v>
      </c>
      <c r="J19" s="47" t="s">
        <v>30</v>
      </c>
      <c r="K19" s="48">
        <v>243800</v>
      </c>
      <c r="L19" s="51">
        <f>ROUND(Tabla2[[#This Row],[Área ocupada (m²)3]]/20*1.4,2)</f>
        <v>4.4000000000000004</v>
      </c>
      <c r="M19" s="37">
        <f>ROUND(Tabla2[[#This Row],[Área ocupada (m²)]],2)</f>
        <v>62.9</v>
      </c>
      <c r="N19" s="37">
        <f>ROUND(Tabla2[[#This Row],[Área techada (m²)]],2)</f>
        <v>62.9</v>
      </c>
      <c r="O19" s="52">
        <f>ROUND(Tabla2[[#This Row],[Área techada (m²)4]]*0.15,2)</f>
        <v>9.44</v>
      </c>
      <c r="P19" s="52">
        <f>ROUND(Tabla2[[#This Row],[Área del terreno (m²)2]]*[1]DATA!$A$2,-2)</f>
        <v>3100</v>
      </c>
      <c r="Q19" s="38" t="e">
        <f>+Tabla2[[#This Row],[Valor Comercial (US$)]]-Tabla2[[#This Row],[Valor del terreno (US$)]]</f>
        <v>#REF!</v>
      </c>
      <c r="R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" s="53" t="e">
        <f>ROUND(Tabla2[[#This Row],[Valor Comercial (US$)]]*0.8,-2)</f>
        <v>#REF!</v>
      </c>
      <c r="T19" s="53">
        <f>IF($H$6=$G$5,R19,ROUND(Tabla2[[#This Row],[Área techada (m²)4]]*[1]DATA!$B$2*1.15,-2))</f>
        <v>32600</v>
      </c>
      <c r="U19" s="6">
        <f t="shared" si="0"/>
        <v>3.5</v>
      </c>
      <c r="V19" s="39">
        <f>ROUND(Tabla2[[#This Row],[Valor del terreno (US$)]]*Tabla2[[#This Row],[Tipo de Cambio]],-2)</f>
        <v>10900</v>
      </c>
      <c r="W19" s="39" t="e">
        <f>Tabla2[[#This Row],[Valor Comercial (S/.)]]-Tabla2[[#This Row],[Valor del terreno (S/.)]]</f>
        <v>#REF!</v>
      </c>
      <c r="X19" s="39" t="e">
        <f>ROUND(Tabla2[[#This Row],[Valor Comercial (US$)]]*Tabla2[[#This Row],[Tipo de Cambio]],-2)</f>
        <v>#REF!</v>
      </c>
      <c r="Y19" s="39" t="e">
        <f>ROUND(Tabla2[[#This Row],[Valor Realización (US$)]]*Tabla2[[#This Row],[Tipo de Cambio]],-2)</f>
        <v>#REF!</v>
      </c>
      <c r="Z19" s="39">
        <f>+ROUND(Tabla2[[#This Row],[Importe Asegurable (US$)]]*Tabla2[[#This Row],[Tipo de Cambio]],-2)</f>
        <v>114100</v>
      </c>
      <c r="AA19" s="40"/>
      <c r="AB19" s="2" t="e">
        <f>+Tabla2[[#This Row],[Valor Comercial (US$)]]/Tabla2[[#This Row],[Área techada (m²)4]]</f>
        <v>#REF!</v>
      </c>
      <c r="AC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" s="61" t="s">
        <v>38</v>
      </c>
      <c r="AE19" s="54">
        <f>IF(Tabla2[[#This Row],[Moneda]]="Soles",Tabla2[[#This Row],[Valor de Venta]]/Tabla2[[#This Row],[Área techada (m²)]]/Tabla2[[#This Row],[Tipo de Cambio]],Tabla2[[#This Row],[Valor de Venta]]/Tabla2[[#This Row],[Área techada (m²)]])</f>
        <v>1107.4267544855779</v>
      </c>
      <c r="AF19" s="43" t="e">
        <f>_xlfn.XLOOKUP(Tabla2[[#This Row],[VISTA]],[1]!Table1[Clase],[1]!Table1[VUE (USD)],0,0,1)</f>
        <v>#REF!</v>
      </c>
      <c r="AG19" s="55" t="e">
        <f>+Tabla2[[#This Row],[Valor Comercial (S/.)]]/Tabla2[[#This Row],[Valor de Venta]]-1</f>
        <v>#REF!</v>
      </c>
    </row>
    <row r="20" spans="1:33" s="1" customFormat="1" ht="15" customHeight="1" x14ac:dyDescent="0.25">
      <c r="A20" s="60" t="s">
        <v>27</v>
      </c>
      <c r="B20" s="14">
        <v>201</v>
      </c>
      <c r="C20" s="11">
        <v>2</v>
      </c>
      <c r="D20" s="15"/>
      <c r="E20" s="15"/>
      <c r="F20" s="51">
        <f>ROUND(Tabla2[[#This Row],[Área ocupada (m²)]]/20*1.4,2)</f>
        <v>4.58</v>
      </c>
      <c r="G20" s="46">
        <v>65.400000000000006</v>
      </c>
      <c r="H20" s="46">
        <v>65.400000000000006</v>
      </c>
      <c r="I20" s="51">
        <f>ROUND(Tabla2[[#This Row],[Área techada (m²)]]*0.15,2)</f>
        <v>9.81</v>
      </c>
      <c r="J20" s="47" t="s">
        <v>30</v>
      </c>
      <c r="K20" s="48">
        <v>218850</v>
      </c>
      <c r="L20" s="51">
        <f>ROUND(Tabla2[[#This Row],[Área ocupada (m²)3]]/20*1.4,2)</f>
        <v>4.58</v>
      </c>
      <c r="M20" s="37">
        <f>ROUND(Tabla2[[#This Row],[Área ocupada (m²)]],2)</f>
        <v>65.400000000000006</v>
      </c>
      <c r="N20" s="37">
        <f>ROUND(Tabla2[[#This Row],[Área techada (m²)]],2)</f>
        <v>65.400000000000006</v>
      </c>
      <c r="O20" s="52">
        <f>ROUND(Tabla2[[#This Row],[Área techada (m²)4]]*0.15,2)</f>
        <v>9.81</v>
      </c>
      <c r="P20" s="52">
        <f>ROUND(Tabla2[[#This Row],[Área del terreno (m²)2]]*[1]DATA!$A$2,-2)</f>
        <v>3200</v>
      </c>
      <c r="Q20" s="38" t="e">
        <f>+Tabla2[[#This Row],[Valor Comercial (US$)]]-Tabla2[[#This Row],[Valor del terreno (US$)]]</f>
        <v>#REF!</v>
      </c>
      <c r="R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" s="53" t="e">
        <f>ROUND(Tabla2[[#This Row],[Valor Comercial (US$)]]*0.8,-2)</f>
        <v>#REF!</v>
      </c>
      <c r="T20" s="53">
        <f>IF($H$6=$G$5,R20,ROUND(Tabla2[[#This Row],[Área techada (m²)4]]*[1]DATA!$B$2*1.15,-2))</f>
        <v>33800</v>
      </c>
      <c r="U20" s="6">
        <f t="shared" si="0"/>
        <v>3.5</v>
      </c>
      <c r="V20" s="39">
        <f>ROUND(Tabla2[[#This Row],[Valor del terreno (US$)]]*Tabla2[[#This Row],[Tipo de Cambio]],-2)</f>
        <v>11200</v>
      </c>
      <c r="W20" s="39" t="e">
        <f>Tabla2[[#This Row],[Valor Comercial (S/.)]]-Tabla2[[#This Row],[Valor del terreno (S/.)]]</f>
        <v>#REF!</v>
      </c>
      <c r="X20" s="39" t="e">
        <f>ROUND(Tabla2[[#This Row],[Valor Comercial (US$)]]*Tabla2[[#This Row],[Tipo de Cambio]],-2)</f>
        <v>#REF!</v>
      </c>
      <c r="Y20" s="39" t="e">
        <f>ROUND(Tabla2[[#This Row],[Valor Realización (US$)]]*Tabla2[[#This Row],[Tipo de Cambio]],-2)</f>
        <v>#REF!</v>
      </c>
      <c r="Z20" s="39">
        <f>+ROUND(Tabla2[[#This Row],[Importe Asegurable (US$)]]*Tabla2[[#This Row],[Tipo de Cambio]],-2)</f>
        <v>118300</v>
      </c>
      <c r="AA20" s="40"/>
      <c r="AB20" s="2" t="e">
        <f>+Tabla2[[#This Row],[Valor Comercial (US$)]]/Tabla2[[#This Row],[Área techada (m²)4]]</f>
        <v>#REF!</v>
      </c>
      <c r="AC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" s="61" t="s">
        <v>41</v>
      </c>
      <c r="AE20" s="54">
        <f>IF(Tabla2[[#This Row],[Moneda]]="Soles",Tabla2[[#This Row],[Valor de Venta]]/Tabla2[[#This Row],[Área techada (m²)]]/Tabla2[[#This Row],[Tipo de Cambio]],Tabla2[[#This Row],[Valor de Venta]]/Tabla2[[#This Row],[Área techada (m²)]])</f>
        <v>956.09436435124496</v>
      </c>
      <c r="AF20" s="43" t="e">
        <f>_xlfn.XLOOKUP(Tabla2[[#This Row],[VISTA]],[1]!Table1[Clase],[1]!Table1[VUE (USD)],0,0,1)</f>
        <v>#REF!</v>
      </c>
      <c r="AG20" s="55" t="e">
        <f>+Tabla2[[#This Row],[Valor Comercial (S/.)]]/Tabla2[[#This Row],[Valor de Venta]]-1</f>
        <v>#REF!</v>
      </c>
    </row>
    <row r="21" spans="1:33" s="1" customFormat="1" ht="15" customHeight="1" x14ac:dyDescent="0.25">
      <c r="A21" s="60" t="s">
        <v>27</v>
      </c>
      <c r="B21" s="14">
        <v>202</v>
      </c>
      <c r="C21" s="11">
        <v>2</v>
      </c>
      <c r="D21" s="15"/>
      <c r="E21" s="15"/>
      <c r="F21" s="51">
        <f>ROUND(Tabla2[[#This Row],[Área ocupada (m²)]]/20*1.4,2)</f>
        <v>4.38</v>
      </c>
      <c r="G21" s="46">
        <v>62.5</v>
      </c>
      <c r="H21" s="46">
        <v>62.5</v>
      </c>
      <c r="I21" s="51">
        <f>ROUND(Tabla2[[#This Row],[Área techada (m²)]]*0.15,2)</f>
        <v>9.3800000000000008</v>
      </c>
      <c r="J21" s="47" t="s">
        <v>30</v>
      </c>
      <c r="K21" s="48">
        <v>201850</v>
      </c>
      <c r="L21" s="51">
        <f>ROUND(Tabla2[[#This Row],[Área ocupada (m²)3]]/20*1.4,2)</f>
        <v>4.38</v>
      </c>
      <c r="M21" s="37">
        <f>ROUND(Tabla2[[#This Row],[Área ocupada (m²)]],2)</f>
        <v>62.5</v>
      </c>
      <c r="N21" s="37">
        <f>ROUND(Tabla2[[#This Row],[Área techada (m²)]],2)</f>
        <v>62.5</v>
      </c>
      <c r="O21" s="52">
        <f>ROUND(Tabla2[[#This Row],[Área techada (m²)4]]*0.15,2)</f>
        <v>9.3800000000000008</v>
      </c>
      <c r="P21" s="52">
        <f>ROUND(Tabla2[[#This Row],[Área del terreno (m²)2]]*[1]DATA!$A$2,-2)</f>
        <v>3100</v>
      </c>
      <c r="Q21" s="38" t="e">
        <f>+Tabla2[[#This Row],[Valor Comercial (US$)]]-Tabla2[[#This Row],[Valor del terreno (US$)]]</f>
        <v>#REF!</v>
      </c>
      <c r="R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" s="53" t="e">
        <f>ROUND(Tabla2[[#This Row],[Valor Comercial (US$)]]*0.8,-2)</f>
        <v>#REF!</v>
      </c>
      <c r="T21" s="53">
        <f>IF($H$6=$G$5,R21,ROUND(Tabla2[[#This Row],[Área techada (m²)4]]*[1]DATA!$B$2*1.15,-2))</f>
        <v>32300</v>
      </c>
      <c r="U21" s="6">
        <f t="shared" si="0"/>
        <v>3.5</v>
      </c>
      <c r="V21" s="39">
        <f>ROUND(Tabla2[[#This Row],[Valor del terreno (US$)]]*Tabla2[[#This Row],[Tipo de Cambio]],-2)</f>
        <v>10900</v>
      </c>
      <c r="W21" s="39" t="e">
        <f>Tabla2[[#This Row],[Valor Comercial (S/.)]]-Tabla2[[#This Row],[Valor del terreno (S/.)]]</f>
        <v>#REF!</v>
      </c>
      <c r="X21" s="39" t="e">
        <f>ROUND(Tabla2[[#This Row],[Valor Comercial (US$)]]*Tabla2[[#This Row],[Tipo de Cambio]],-2)</f>
        <v>#REF!</v>
      </c>
      <c r="Y21" s="39" t="e">
        <f>ROUND(Tabla2[[#This Row],[Valor Realización (US$)]]*Tabla2[[#This Row],[Tipo de Cambio]],-2)</f>
        <v>#REF!</v>
      </c>
      <c r="Z21" s="39">
        <f>+ROUND(Tabla2[[#This Row],[Importe Asegurable (US$)]]*Tabla2[[#This Row],[Tipo de Cambio]],-2)</f>
        <v>113100</v>
      </c>
      <c r="AA21" s="40"/>
      <c r="AB21" s="2" t="e">
        <f>+Tabla2[[#This Row],[Valor Comercial (US$)]]/Tabla2[[#This Row],[Área techada (m²)4]]</f>
        <v>#REF!</v>
      </c>
      <c r="AC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" s="61" t="s">
        <v>42</v>
      </c>
      <c r="AE21" s="54">
        <f>IF(Tabla2[[#This Row],[Moneda]]="Soles",Tabla2[[#This Row],[Valor de Venta]]/Tabla2[[#This Row],[Área techada (m²)]]/Tabla2[[#This Row],[Tipo de Cambio]],Tabla2[[#This Row],[Valor de Venta]]/Tabla2[[#This Row],[Área techada (m²)]])</f>
        <v>922.74285714285713</v>
      </c>
      <c r="AF21" s="43" t="e">
        <f>_xlfn.XLOOKUP(Tabla2[[#This Row],[VISTA]],[1]!Table1[Clase],[1]!Table1[VUE (USD)],0,0,1)</f>
        <v>#REF!</v>
      </c>
      <c r="AG21" s="55" t="e">
        <f>+Tabla2[[#This Row],[Valor Comercial (S/.)]]/Tabla2[[#This Row],[Valor de Venta]]-1</f>
        <v>#REF!</v>
      </c>
    </row>
    <row r="22" spans="1:33" s="1" customFormat="1" ht="15" customHeight="1" x14ac:dyDescent="0.25">
      <c r="A22" s="60" t="s">
        <v>27</v>
      </c>
      <c r="B22" s="14">
        <v>203</v>
      </c>
      <c r="C22" s="11">
        <v>2</v>
      </c>
      <c r="D22" s="15"/>
      <c r="E22" s="15"/>
      <c r="F22" s="51">
        <f>ROUND(Tabla2[[#This Row],[Área ocupada (m²)]]/20*1.4,2)</f>
        <v>4.38</v>
      </c>
      <c r="G22" s="46">
        <v>62.5</v>
      </c>
      <c r="H22" s="46">
        <v>62.5</v>
      </c>
      <c r="I22" s="51">
        <f>ROUND(Tabla2[[#This Row],[Área techada (m²)]]*0.15,2)</f>
        <v>9.3800000000000008</v>
      </c>
      <c r="J22" s="47" t="s">
        <v>30</v>
      </c>
      <c r="K22" s="48">
        <v>206850</v>
      </c>
      <c r="L22" s="51">
        <f>ROUND(Tabla2[[#This Row],[Área ocupada (m²)3]]/20*1.4,2)</f>
        <v>4.38</v>
      </c>
      <c r="M22" s="37">
        <f>ROUND(Tabla2[[#This Row],[Área ocupada (m²)]],2)</f>
        <v>62.5</v>
      </c>
      <c r="N22" s="37">
        <f>ROUND(Tabla2[[#This Row],[Área techada (m²)]],2)</f>
        <v>62.5</v>
      </c>
      <c r="O22" s="52">
        <f>ROUND(Tabla2[[#This Row],[Área techada (m²)4]]*0.15,2)</f>
        <v>9.3800000000000008</v>
      </c>
      <c r="P22" s="52">
        <f>ROUND(Tabla2[[#This Row],[Área del terreno (m²)2]]*[1]DATA!$A$2,-2)</f>
        <v>3100</v>
      </c>
      <c r="Q22" s="38" t="e">
        <f>+Tabla2[[#This Row],[Valor Comercial (US$)]]-Tabla2[[#This Row],[Valor del terreno (US$)]]</f>
        <v>#REF!</v>
      </c>
      <c r="R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" s="53" t="e">
        <f>ROUND(Tabla2[[#This Row],[Valor Comercial (US$)]]*0.8,-2)</f>
        <v>#REF!</v>
      </c>
      <c r="T22" s="53">
        <f>IF($H$6=$G$5,R22,ROUND(Tabla2[[#This Row],[Área techada (m²)4]]*[1]DATA!$B$2*1.15,-2))</f>
        <v>32300</v>
      </c>
      <c r="U22" s="6">
        <f t="shared" si="0"/>
        <v>3.5</v>
      </c>
      <c r="V22" s="39">
        <f>ROUND(Tabla2[[#This Row],[Valor del terreno (US$)]]*Tabla2[[#This Row],[Tipo de Cambio]],-2)</f>
        <v>10900</v>
      </c>
      <c r="W22" s="39" t="e">
        <f>Tabla2[[#This Row],[Valor Comercial (S/.)]]-Tabla2[[#This Row],[Valor del terreno (S/.)]]</f>
        <v>#REF!</v>
      </c>
      <c r="X22" s="39" t="e">
        <f>ROUND(Tabla2[[#This Row],[Valor Comercial (US$)]]*Tabla2[[#This Row],[Tipo de Cambio]],-2)</f>
        <v>#REF!</v>
      </c>
      <c r="Y22" s="39" t="e">
        <f>ROUND(Tabla2[[#This Row],[Valor Realización (US$)]]*Tabla2[[#This Row],[Tipo de Cambio]],-2)</f>
        <v>#REF!</v>
      </c>
      <c r="Z22" s="39">
        <f>+ROUND(Tabla2[[#This Row],[Importe Asegurable (US$)]]*Tabla2[[#This Row],[Tipo de Cambio]],-2)</f>
        <v>113100</v>
      </c>
      <c r="AA22" s="40"/>
      <c r="AB22" s="2" t="e">
        <f>+Tabla2[[#This Row],[Valor Comercial (US$)]]/Tabla2[[#This Row],[Área techada (m²)4]]</f>
        <v>#REF!</v>
      </c>
      <c r="AC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" s="61" t="s">
        <v>41</v>
      </c>
      <c r="AE22" s="54">
        <f>IF(Tabla2[[#This Row],[Moneda]]="Soles",Tabla2[[#This Row],[Valor de Venta]]/Tabla2[[#This Row],[Área techada (m²)]]/Tabla2[[#This Row],[Tipo de Cambio]],Tabla2[[#This Row],[Valor de Venta]]/Tabla2[[#This Row],[Área techada (m²)]])</f>
        <v>945.6</v>
      </c>
      <c r="AF22" s="43" t="e">
        <f>_xlfn.XLOOKUP(Tabla2[[#This Row],[VISTA]],[1]!Table1[Clase],[1]!Table1[VUE (USD)],0,0,1)</f>
        <v>#REF!</v>
      </c>
      <c r="AG22" s="55" t="e">
        <f>+Tabla2[[#This Row],[Valor Comercial (S/.)]]/Tabla2[[#This Row],[Valor de Venta]]-1</f>
        <v>#REF!</v>
      </c>
    </row>
    <row r="23" spans="1:33" s="1" customFormat="1" ht="15" customHeight="1" x14ac:dyDescent="0.25">
      <c r="A23" s="60" t="s">
        <v>27</v>
      </c>
      <c r="B23" s="14">
        <v>204</v>
      </c>
      <c r="C23" s="11">
        <v>2</v>
      </c>
      <c r="D23" s="15"/>
      <c r="E23" s="15"/>
      <c r="F23" s="51">
        <f>ROUND(Tabla2[[#This Row],[Área ocupada (m²)]]/20*1.4,2)</f>
        <v>4.58</v>
      </c>
      <c r="G23" s="46">
        <v>65.400000000000006</v>
      </c>
      <c r="H23" s="46">
        <v>65.400000000000006</v>
      </c>
      <c r="I23" s="51">
        <f>ROUND(Tabla2[[#This Row],[Área techada (m²)]]*0.15,2)</f>
        <v>9.81</v>
      </c>
      <c r="J23" s="47" t="s">
        <v>30</v>
      </c>
      <c r="K23" s="48">
        <v>226850</v>
      </c>
      <c r="L23" s="51">
        <f>ROUND(Tabla2[[#This Row],[Área ocupada (m²)3]]/20*1.4,2)</f>
        <v>4.58</v>
      </c>
      <c r="M23" s="37">
        <f>ROUND(Tabla2[[#This Row],[Área ocupada (m²)]],2)</f>
        <v>65.400000000000006</v>
      </c>
      <c r="N23" s="37">
        <f>ROUND(Tabla2[[#This Row],[Área techada (m²)]],2)</f>
        <v>65.400000000000006</v>
      </c>
      <c r="O23" s="52">
        <f>ROUND(Tabla2[[#This Row],[Área techada (m²)4]]*0.15,2)</f>
        <v>9.81</v>
      </c>
      <c r="P23" s="52">
        <f>ROUND(Tabla2[[#This Row],[Área del terreno (m²)2]]*[1]DATA!$A$2,-2)</f>
        <v>3200</v>
      </c>
      <c r="Q23" s="38" t="e">
        <f>+Tabla2[[#This Row],[Valor Comercial (US$)]]-Tabla2[[#This Row],[Valor del terreno (US$)]]</f>
        <v>#REF!</v>
      </c>
      <c r="R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" s="53" t="e">
        <f>ROUND(Tabla2[[#This Row],[Valor Comercial (US$)]]*0.8,-2)</f>
        <v>#REF!</v>
      </c>
      <c r="T23" s="53">
        <f>IF($H$6=$G$5,R23,ROUND(Tabla2[[#This Row],[Área techada (m²)4]]*[1]DATA!$B$2*1.15,-2))</f>
        <v>33800</v>
      </c>
      <c r="U23" s="6">
        <f t="shared" si="0"/>
        <v>3.5</v>
      </c>
      <c r="V23" s="39">
        <f>ROUND(Tabla2[[#This Row],[Valor del terreno (US$)]]*Tabla2[[#This Row],[Tipo de Cambio]],-2)</f>
        <v>11200</v>
      </c>
      <c r="W23" s="39" t="e">
        <f>Tabla2[[#This Row],[Valor Comercial (S/.)]]-Tabla2[[#This Row],[Valor del terreno (S/.)]]</f>
        <v>#REF!</v>
      </c>
      <c r="X23" s="39" t="e">
        <f>ROUND(Tabla2[[#This Row],[Valor Comercial (US$)]]*Tabla2[[#This Row],[Tipo de Cambio]],-2)</f>
        <v>#REF!</v>
      </c>
      <c r="Y23" s="39" t="e">
        <f>ROUND(Tabla2[[#This Row],[Valor Realización (US$)]]*Tabla2[[#This Row],[Tipo de Cambio]],-2)</f>
        <v>#REF!</v>
      </c>
      <c r="Z23" s="39">
        <f>+ROUND(Tabla2[[#This Row],[Importe Asegurable (US$)]]*Tabla2[[#This Row],[Tipo de Cambio]],-2)</f>
        <v>118300</v>
      </c>
      <c r="AA23" s="40"/>
      <c r="AB23" s="2" t="e">
        <f>+Tabla2[[#This Row],[Valor Comercial (US$)]]/Tabla2[[#This Row],[Área techada (m²)4]]</f>
        <v>#REF!</v>
      </c>
      <c r="AC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" s="61" t="s">
        <v>40</v>
      </c>
      <c r="AE23" s="54">
        <f>IF(Tabla2[[#This Row],[Moneda]]="Soles",Tabla2[[#This Row],[Valor de Venta]]/Tabla2[[#This Row],[Área techada (m²)]]/Tabla2[[#This Row],[Tipo de Cambio]],Tabla2[[#This Row],[Valor de Venta]]/Tabla2[[#This Row],[Área techada (m²)]])</f>
        <v>991.04412407164693</v>
      </c>
      <c r="AF23" s="43" t="e">
        <f>_xlfn.XLOOKUP(Tabla2[[#This Row],[VISTA]],[1]!Table1[Clase],[1]!Table1[VUE (USD)],0,0,1)</f>
        <v>#REF!</v>
      </c>
      <c r="AG23" s="55" t="e">
        <f>+Tabla2[[#This Row],[Valor Comercial (S/.)]]/Tabla2[[#This Row],[Valor de Venta]]-1</f>
        <v>#REF!</v>
      </c>
    </row>
    <row r="24" spans="1:33" s="1" customFormat="1" ht="15" customHeight="1" x14ac:dyDescent="0.25">
      <c r="A24" s="60" t="s">
        <v>27</v>
      </c>
      <c r="B24" s="14">
        <v>205</v>
      </c>
      <c r="C24" s="11">
        <v>2</v>
      </c>
      <c r="D24" s="15"/>
      <c r="E24" s="15"/>
      <c r="F24" s="51">
        <f>ROUND(Tabla2[[#This Row],[Área ocupada (m²)]]/20*1.4,2)</f>
        <v>4.58</v>
      </c>
      <c r="G24" s="46">
        <v>65.400000000000006</v>
      </c>
      <c r="H24" s="46">
        <v>65.400000000000006</v>
      </c>
      <c r="I24" s="51">
        <f>ROUND(Tabla2[[#This Row],[Área techada (m²)]]*0.15,2)</f>
        <v>9.81</v>
      </c>
      <c r="J24" s="47" t="s">
        <v>30</v>
      </c>
      <c r="K24" s="48">
        <v>223850</v>
      </c>
      <c r="L24" s="51">
        <f>ROUND(Tabla2[[#This Row],[Área ocupada (m²)3]]/20*1.4,2)</f>
        <v>4.58</v>
      </c>
      <c r="M24" s="37">
        <f>ROUND(Tabla2[[#This Row],[Área ocupada (m²)]],2)</f>
        <v>65.400000000000006</v>
      </c>
      <c r="N24" s="37">
        <f>ROUND(Tabla2[[#This Row],[Área techada (m²)]],2)</f>
        <v>65.400000000000006</v>
      </c>
      <c r="O24" s="52">
        <f>ROUND(Tabla2[[#This Row],[Área techada (m²)4]]*0.15,2)</f>
        <v>9.81</v>
      </c>
      <c r="P24" s="52">
        <f>ROUND(Tabla2[[#This Row],[Área del terreno (m²)2]]*[1]DATA!$A$2,-2)</f>
        <v>3200</v>
      </c>
      <c r="Q24" s="38" t="e">
        <f>+Tabla2[[#This Row],[Valor Comercial (US$)]]-Tabla2[[#This Row],[Valor del terreno (US$)]]</f>
        <v>#REF!</v>
      </c>
      <c r="R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4" s="53" t="e">
        <f>ROUND(Tabla2[[#This Row],[Valor Comercial (US$)]]*0.8,-2)</f>
        <v>#REF!</v>
      </c>
      <c r="T24" s="53">
        <f>IF($H$6=$G$5,R24,ROUND(Tabla2[[#This Row],[Área techada (m²)4]]*[1]DATA!$B$2*1.15,-2))</f>
        <v>33800</v>
      </c>
      <c r="U24" s="6">
        <f t="shared" si="0"/>
        <v>3.5</v>
      </c>
      <c r="V24" s="39">
        <f>ROUND(Tabla2[[#This Row],[Valor del terreno (US$)]]*Tabla2[[#This Row],[Tipo de Cambio]],-2)</f>
        <v>11200</v>
      </c>
      <c r="W24" s="39" t="e">
        <f>Tabla2[[#This Row],[Valor Comercial (S/.)]]-Tabla2[[#This Row],[Valor del terreno (S/.)]]</f>
        <v>#REF!</v>
      </c>
      <c r="X24" s="39" t="e">
        <f>ROUND(Tabla2[[#This Row],[Valor Comercial (US$)]]*Tabla2[[#This Row],[Tipo de Cambio]],-2)</f>
        <v>#REF!</v>
      </c>
      <c r="Y24" s="39" t="e">
        <f>ROUND(Tabla2[[#This Row],[Valor Realización (US$)]]*Tabla2[[#This Row],[Tipo de Cambio]],-2)</f>
        <v>#REF!</v>
      </c>
      <c r="Z24" s="39">
        <f>+ROUND(Tabla2[[#This Row],[Importe Asegurable (US$)]]*Tabla2[[#This Row],[Tipo de Cambio]],-2)</f>
        <v>118300</v>
      </c>
      <c r="AA24" s="40"/>
      <c r="AB24" s="2" t="e">
        <f>+Tabla2[[#This Row],[Valor Comercial (US$)]]/Tabla2[[#This Row],[Área techada (m²)4]]</f>
        <v>#REF!</v>
      </c>
      <c r="AC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4" s="61" t="s">
        <v>41</v>
      </c>
      <c r="AE24" s="54">
        <f>IF(Tabla2[[#This Row],[Moneda]]="Soles",Tabla2[[#This Row],[Valor de Venta]]/Tabla2[[#This Row],[Área techada (m²)]]/Tabla2[[#This Row],[Tipo de Cambio]],Tabla2[[#This Row],[Valor de Venta]]/Tabla2[[#This Row],[Área techada (m²)]])</f>
        <v>977.93796417649617</v>
      </c>
      <c r="AF24" s="43" t="e">
        <f>_xlfn.XLOOKUP(Tabla2[[#This Row],[VISTA]],[1]!Table1[Clase],[1]!Table1[VUE (USD)],0,0,1)</f>
        <v>#REF!</v>
      </c>
      <c r="AG24" s="55" t="e">
        <f>+Tabla2[[#This Row],[Valor Comercial (S/.)]]/Tabla2[[#This Row],[Valor de Venta]]-1</f>
        <v>#REF!</v>
      </c>
    </row>
    <row r="25" spans="1:33" s="1" customFormat="1" ht="15" customHeight="1" x14ac:dyDescent="0.25">
      <c r="A25" s="60" t="s">
        <v>27</v>
      </c>
      <c r="B25" s="14">
        <v>206</v>
      </c>
      <c r="C25" s="11">
        <v>2</v>
      </c>
      <c r="D25" s="15"/>
      <c r="E25" s="15"/>
      <c r="F25" s="51">
        <f>ROUND(Tabla2[[#This Row],[Área ocupada (m²)]]/20*1.4,2)</f>
        <v>4.38</v>
      </c>
      <c r="G25" s="46">
        <v>62.5</v>
      </c>
      <c r="H25" s="46">
        <v>62.5</v>
      </c>
      <c r="I25" s="51">
        <f>ROUND(Tabla2[[#This Row],[Área techada (m²)]]*0.15,2)</f>
        <v>9.3800000000000008</v>
      </c>
      <c r="J25" s="47" t="s">
        <v>30</v>
      </c>
      <c r="K25" s="48">
        <v>212850</v>
      </c>
      <c r="L25" s="51">
        <f>ROUND(Tabla2[[#This Row],[Área ocupada (m²)3]]/20*1.4,2)</f>
        <v>4.38</v>
      </c>
      <c r="M25" s="37">
        <f>ROUND(Tabla2[[#This Row],[Área ocupada (m²)]],2)</f>
        <v>62.5</v>
      </c>
      <c r="N25" s="37">
        <f>ROUND(Tabla2[[#This Row],[Área techada (m²)]],2)</f>
        <v>62.5</v>
      </c>
      <c r="O25" s="52">
        <f>ROUND(Tabla2[[#This Row],[Área techada (m²)4]]*0.15,2)</f>
        <v>9.3800000000000008</v>
      </c>
      <c r="P25" s="52">
        <f>ROUND(Tabla2[[#This Row],[Área del terreno (m²)2]]*[1]DATA!$A$2,-2)</f>
        <v>3100</v>
      </c>
      <c r="Q25" s="38" t="e">
        <f>+Tabla2[[#This Row],[Valor Comercial (US$)]]-Tabla2[[#This Row],[Valor del terreno (US$)]]</f>
        <v>#REF!</v>
      </c>
      <c r="R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5" s="53" t="e">
        <f>ROUND(Tabla2[[#This Row],[Valor Comercial (US$)]]*0.8,-2)</f>
        <v>#REF!</v>
      </c>
      <c r="T25" s="53">
        <f>IF($H$6=$G$5,R25,ROUND(Tabla2[[#This Row],[Área techada (m²)4]]*[1]DATA!$B$2*1.15,-2))</f>
        <v>32300</v>
      </c>
      <c r="U25" s="6">
        <f t="shared" si="0"/>
        <v>3.5</v>
      </c>
      <c r="V25" s="39">
        <f>ROUND(Tabla2[[#This Row],[Valor del terreno (US$)]]*Tabla2[[#This Row],[Tipo de Cambio]],-2)</f>
        <v>10900</v>
      </c>
      <c r="W25" s="39" t="e">
        <f>Tabla2[[#This Row],[Valor Comercial (S/.)]]-Tabla2[[#This Row],[Valor del terreno (S/.)]]</f>
        <v>#REF!</v>
      </c>
      <c r="X25" s="39" t="e">
        <f>ROUND(Tabla2[[#This Row],[Valor Comercial (US$)]]*Tabla2[[#This Row],[Tipo de Cambio]],-2)</f>
        <v>#REF!</v>
      </c>
      <c r="Y25" s="39" t="e">
        <f>ROUND(Tabla2[[#This Row],[Valor Realización (US$)]]*Tabla2[[#This Row],[Tipo de Cambio]],-2)</f>
        <v>#REF!</v>
      </c>
      <c r="Z25" s="39">
        <f>+ROUND(Tabla2[[#This Row],[Importe Asegurable (US$)]]*Tabla2[[#This Row],[Tipo de Cambio]],-2)</f>
        <v>113100</v>
      </c>
      <c r="AA25" s="40"/>
      <c r="AB25" s="2" t="e">
        <f>+Tabla2[[#This Row],[Valor Comercial (US$)]]/Tabla2[[#This Row],[Área techada (m²)4]]</f>
        <v>#REF!</v>
      </c>
      <c r="AC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5" s="61" t="s">
        <v>41</v>
      </c>
      <c r="AE25" s="54">
        <f>IF(Tabla2[[#This Row],[Moneda]]="Soles",Tabla2[[#This Row],[Valor de Venta]]/Tabla2[[#This Row],[Área techada (m²)]]/Tabla2[[#This Row],[Tipo de Cambio]],Tabla2[[#This Row],[Valor de Venta]]/Tabla2[[#This Row],[Área techada (m²)]])</f>
        <v>973.02857142857135</v>
      </c>
      <c r="AF25" s="43" t="e">
        <f>_xlfn.XLOOKUP(Tabla2[[#This Row],[VISTA]],[1]!Table1[Clase],[1]!Table1[VUE (USD)],0,0,1)</f>
        <v>#REF!</v>
      </c>
      <c r="AG25" s="55" t="e">
        <f>+Tabla2[[#This Row],[Valor Comercial (S/.)]]/Tabla2[[#This Row],[Valor de Venta]]-1</f>
        <v>#REF!</v>
      </c>
    </row>
    <row r="26" spans="1:33" s="1" customFormat="1" ht="15" customHeight="1" x14ac:dyDescent="0.25">
      <c r="A26" s="60" t="s">
        <v>27</v>
      </c>
      <c r="B26" s="14">
        <v>207</v>
      </c>
      <c r="C26" s="11">
        <v>2</v>
      </c>
      <c r="D26" s="15"/>
      <c r="E26" s="15"/>
      <c r="F26" s="51">
        <f>ROUND(Tabla2[[#This Row],[Área ocupada (m²)]]/20*1.4,2)</f>
        <v>4.38</v>
      </c>
      <c r="G26" s="46">
        <v>62.5</v>
      </c>
      <c r="H26" s="46">
        <v>62.5</v>
      </c>
      <c r="I26" s="51">
        <f>ROUND(Tabla2[[#This Row],[Área techada (m²)]]*0.15,2)</f>
        <v>9.3800000000000008</v>
      </c>
      <c r="J26" s="47" t="s">
        <v>30</v>
      </c>
      <c r="K26" s="48">
        <v>203850</v>
      </c>
      <c r="L26" s="51">
        <f>ROUND(Tabla2[[#This Row],[Área ocupada (m²)3]]/20*1.4,2)</f>
        <v>4.38</v>
      </c>
      <c r="M26" s="37">
        <f>ROUND(Tabla2[[#This Row],[Área ocupada (m²)]],2)</f>
        <v>62.5</v>
      </c>
      <c r="N26" s="37">
        <f>ROUND(Tabla2[[#This Row],[Área techada (m²)]],2)</f>
        <v>62.5</v>
      </c>
      <c r="O26" s="52">
        <f>ROUND(Tabla2[[#This Row],[Área techada (m²)4]]*0.15,2)</f>
        <v>9.3800000000000008</v>
      </c>
      <c r="P26" s="52">
        <f>ROUND(Tabla2[[#This Row],[Área del terreno (m²)2]]*[1]DATA!$A$2,-2)</f>
        <v>3100</v>
      </c>
      <c r="Q26" s="38" t="e">
        <f>+Tabla2[[#This Row],[Valor Comercial (US$)]]-Tabla2[[#This Row],[Valor del terreno (US$)]]</f>
        <v>#REF!</v>
      </c>
      <c r="R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6" s="53" t="e">
        <f>ROUND(Tabla2[[#This Row],[Valor Comercial (US$)]]*0.8,-2)</f>
        <v>#REF!</v>
      </c>
      <c r="T26" s="53">
        <f>IF($H$6=$G$5,R26,ROUND(Tabla2[[#This Row],[Área techada (m²)4]]*[1]DATA!$B$2*1.15,-2))</f>
        <v>32300</v>
      </c>
      <c r="U26" s="6">
        <f t="shared" si="0"/>
        <v>3.5</v>
      </c>
      <c r="V26" s="39">
        <f>ROUND(Tabla2[[#This Row],[Valor del terreno (US$)]]*Tabla2[[#This Row],[Tipo de Cambio]],-2)</f>
        <v>10900</v>
      </c>
      <c r="W26" s="39" t="e">
        <f>Tabla2[[#This Row],[Valor Comercial (S/.)]]-Tabla2[[#This Row],[Valor del terreno (S/.)]]</f>
        <v>#REF!</v>
      </c>
      <c r="X26" s="39" t="e">
        <f>ROUND(Tabla2[[#This Row],[Valor Comercial (US$)]]*Tabla2[[#This Row],[Tipo de Cambio]],-2)</f>
        <v>#REF!</v>
      </c>
      <c r="Y26" s="39" t="e">
        <f>ROUND(Tabla2[[#This Row],[Valor Realización (US$)]]*Tabla2[[#This Row],[Tipo de Cambio]],-2)</f>
        <v>#REF!</v>
      </c>
      <c r="Z26" s="39">
        <f>+ROUND(Tabla2[[#This Row],[Importe Asegurable (US$)]]*Tabla2[[#This Row],[Tipo de Cambio]],-2)</f>
        <v>113100</v>
      </c>
      <c r="AA26" s="40"/>
      <c r="AB26" s="2" t="e">
        <f>+Tabla2[[#This Row],[Valor Comercial (US$)]]/Tabla2[[#This Row],[Área techada (m²)4]]</f>
        <v>#REF!</v>
      </c>
      <c r="AC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6" s="61" t="s">
        <v>42</v>
      </c>
      <c r="AE26" s="54">
        <f>IF(Tabla2[[#This Row],[Moneda]]="Soles",Tabla2[[#This Row],[Valor de Venta]]/Tabla2[[#This Row],[Área techada (m²)]]/Tabla2[[#This Row],[Tipo de Cambio]],Tabla2[[#This Row],[Valor de Venta]]/Tabla2[[#This Row],[Área techada (m²)]])</f>
        <v>931.88571428571424</v>
      </c>
      <c r="AF26" s="43" t="e">
        <f>_xlfn.XLOOKUP(Tabla2[[#This Row],[VISTA]],[1]!Table1[Clase],[1]!Table1[VUE (USD)],0,0,1)</f>
        <v>#REF!</v>
      </c>
      <c r="AG26" s="55" t="e">
        <f>+Tabla2[[#This Row],[Valor Comercial (S/.)]]/Tabla2[[#This Row],[Valor de Venta]]-1</f>
        <v>#REF!</v>
      </c>
    </row>
    <row r="27" spans="1:33" s="1" customFormat="1" ht="15" customHeight="1" x14ac:dyDescent="0.25">
      <c r="A27" s="60" t="s">
        <v>27</v>
      </c>
      <c r="B27" s="14">
        <v>208</v>
      </c>
      <c r="C27" s="11">
        <v>2</v>
      </c>
      <c r="D27" s="15"/>
      <c r="E27" s="15"/>
      <c r="F27" s="51">
        <f>ROUND(Tabla2[[#This Row],[Área ocupada (m²)]]/20*1.4,2)</f>
        <v>4.58</v>
      </c>
      <c r="G27" s="46">
        <v>65.400000000000006</v>
      </c>
      <c r="H27" s="46">
        <v>65.400000000000006</v>
      </c>
      <c r="I27" s="51">
        <f>ROUND(Tabla2[[#This Row],[Área techada (m²)]]*0.15,2)</f>
        <v>9.81</v>
      </c>
      <c r="J27" s="47" t="s">
        <v>30</v>
      </c>
      <c r="K27" s="48">
        <v>225850</v>
      </c>
      <c r="L27" s="51">
        <f>ROUND(Tabla2[[#This Row],[Área ocupada (m²)3]]/20*1.4,2)</f>
        <v>4.58</v>
      </c>
      <c r="M27" s="37">
        <f>ROUND(Tabla2[[#This Row],[Área ocupada (m²)]],2)</f>
        <v>65.400000000000006</v>
      </c>
      <c r="N27" s="37">
        <f>ROUND(Tabla2[[#This Row],[Área techada (m²)]],2)</f>
        <v>65.400000000000006</v>
      </c>
      <c r="O27" s="52">
        <f>ROUND(Tabla2[[#This Row],[Área techada (m²)4]]*0.15,2)</f>
        <v>9.81</v>
      </c>
      <c r="P27" s="52">
        <f>ROUND(Tabla2[[#This Row],[Área del terreno (m²)2]]*[1]DATA!$A$2,-2)</f>
        <v>3200</v>
      </c>
      <c r="Q27" s="38" t="e">
        <f>+Tabla2[[#This Row],[Valor Comercial (US$)]]-Tabla2[[#This Row],[Valor del terreno (US$)]]</f>
        <v>#REF!</v>
      </c>
      <c r="R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7" s="53" t="e">
        <f>ROUND(Tabla2[[#This Row],[Valor Comercial (US$)]]*0.8,-2)</f>
        <v>#REF!</v>
      </c>
      <c r="T27" s="53">
        <f>IF($H$6=$G$5,R27,ROUND(Tabla2[[#This Row],[Área techada (m²)4]]*[1]DATA!$B$2*1.15,-2))</f>
        <v>33800</v>
      </c>
      <c r="U27" s="6">
        <f t="shared" si="0"/>
        <v>3.5</v>
      </c>
      <c r="V27" s="39">
        <f>ROUND(Tabla2[[#This Row],[Valor del terreno (US$)]]*Tabla2[[#This Row],[Tipo de Cambio]],-2)</f>
        <v>11200</v>
      </c>
      <c r="W27" s="39" t="e">
        <f>Tabla2[[#This Row],[Valor Comercial (S/.)]]-Tabla2[[#This Row],[Valor del terreno (S/.)]]</f>
        <v>#REF!</v>
      </c>
      <c r="X27" s="39" t="e">
        <f>ROUND(Tabla2[[#This Row],[Valor Comercial (US$)]]*Tabla2[[#This Row],[Tipo de Cambio]],-2)</f>
        <v>#REF!</v>
      </c>
      <c r="Y27" s="39" t="e">
        <f>ROUND(Tabla2[[#This Row],[Valor Realización (US$)]]*Tabla2[[#This Row],[Tipo de Cambio]],-2)</f>
        <v>#REF!</v>
      </c>
      <c r="Z27" s="39">
        <f>+ROUND(Tabla2[[#This Row],[Importe Asegurable (US$)]]*Tabla2[[#This Row],[Tipo de Cambio]],-2)</f>
        <v>118300</v>
      </c>
      <c r="AA27" s="40"/>
      <c r="AB27" s="2" t="e">
        <f>+Tabla2[[#This Row],[Valor Comercial (US$)]]/Tabla2[[#This Row],[Área techada (m²)4]]</f>
        <v>#REF!</v>
      </c>
      <c r="AC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7" s="61" t="s">
        <v>40</v>
      </c>
      <c r="AE27" s="54">
        <f>IF(Tabla2[[#This Row],[Moneda]]="Soles",Tabla2[[#This Row],[Valor de Venta]]/Tabla2[[#This Row],[Área techada (m²)]]/Tabla2[[#This Row],[Tipo de Cambio]],Tabla2[[#This Row],[Valor de Venta]]/Tabla2[[#This Row],[Área techada (m²)]])</f>
        <v>986.67540410659672</v>
      </c>
      <c r="AF27" s="43" t="e">
        <f>_xlfn.XLOOKUP(Tabla2[[#This Row],[VISTA]],[1]!Table1[Clase],[1]!Table1[VUE (USD)],0,0,1)</f>
        <v>#REF!</v>
      </c>
      <c r="AG27" s="55" t="e">
        <f>+Tabla2[[#This Row],[Valor Comercial (S/.)]]/Tabla2[[#This Row],[Valor de Venta]]-1</f>
        <v>#REF!</v>
      </c>
    </row>
    <row r="28" spans="1:33" s="1" customFormat="1" ht="15" customHeight="1" x14ac:dyDescent="0.25">
      <c r="A28" s="60" t="s">
        <v>27</v>
      </c>
      <c r="B28" s="14">
        <v>301</v>
      </c>
      <c r="C28" s="11">
        <v>3</v>
      </c>
      <c r="D28" s="15"/>
      <c r="E28" s="15"/>
      <c r="F28" s="51">
        <f>ROUND(Tabla2[[#This Row],[Área ocupada (m²)]]/20*1.4,2)</f>
        <v>4.58</v>
      </c>
      <c r="G28" s="46">
        <v>65.400000000000006</v>
      </c>
      <c r="H28" s="46">
        <v>65.400000000000006</v>
      </c>
      <c r="I28" s="51">
        <f>ROUND(Tabla2[[#This Row],[Área techada (m²)]]*0.15,2)</f>
        <v>9.81</v>
      </c>
      <c r="J28" s="47" t="s">
        <v>30</v>
      </c>
      <c r="K28" s="48">
        <v>213750</v>
      </c>
      <c r="L28" s="51">
        <f>ROUND(Tabla2[[#This Row],[Área ocupada (m²)3]]/20*1.4,2)</f>
        <v>4.58</v>
      </c>
      <c r="M28" s="37">
        <f>ROUND(Tabla2[[#This Row],[Área ocupada (m²)]],2)</f>
        <v>65.400000000000006</v>
      </c>
      <c r="N28" s="37">
        <f>ROUND(Tabla2[[#This Row],[Área techada (m²)]],2)</f>
        <v>65.400000000000006</v>
      </c>
      <c r="O28" s="52">
        <f>ROUND(Tabla2[[#This Row],[Área techada (m²)4]]*0.15,2)</f>
        <v>9.81</v>
      </c>
      <c r="P28" s="52">
        <f>ROUND(Tabla2[[#This Row],[Área del terreno (m²)2]]*[1]DATA!$A$2,-2)</f>
        <v>3200</v>
      </c>
      <c r="Q28" s="38" t="e">
        <f>+Tabla2[[#This Row],[Valor Comercial (US$)]]-Tabla2[[#This Row],[Valor del terreno (US$)]]</f>
        <v>#REF!</v>
      </c>
      <c r="R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8" s="53" t="e">
        <f>ROUND(Tabla2[[#This Row],[Valor Comercial (US$)]]*0.8,-2)</f>
        <v>#REF!</v>
      </c>
      <c r="T28" s="53">
        <f>IF($H$6=$G$5,R28,ROUND(Tabla2[[#This Row],[Área techada (m²)4]]*[1]DATA!$B$2*1.15,-2))</f>
        <v>33800</v>
      </c>
      <c r="U28" s="6">
        <f t="shared" si="0"/>
        <v>3.5</v>
      </c>
      <c r="V28" s="39">
        <f>ROUND(Tabla2[[#This Row],[Valor del terreno (US$)]]*Tabla2[[#This Row],[Tipo de Cambio]],-2)</f>
        <v>11200</v>
      </c>
      <c r="W28" s="39" t="e">
        <f>Tabla2[[#This Row],[Valor Comercial (S/.)]]-Tabla2[[#This Row],[Valor del terreno (S/.)]]</f>
        <v>#REF!</v>
      </c>
      <c r="X28" s="39" t="e">
        <f>ROUND(Tabla2[[#This Row],[Valor Comercial (US$)]]*Tabla2[[#This Row],[Tipo de Cambio]],-2)</f>
        <v>#REF!</v>
      </c>
      <c r="Y28" s="39" t="e">
        <f>ROUND(Tabla2[[#This Row],[Valor Realización (US$)]]*Tabla2[[#This Row],[Tipo de Cambio]],-2)</f>
        <v>#REF!</v>
      </c>
      <c r="Z28" s="39">
        <f>+ROUND(Tabla2[[#This Row],[Importe Asegurable (US$)]]*Tabla2[[#This Row],[Tipo de Cambio]],-2)</f>
        <v>118300</v>
      </c>
      <c r="AA28" s="40"/>
      <c r="AB28" s="2" t="e">
        <f>+Tabla2[[#This Row],[Valor Comercial (US$)]]/Tabla2[[#This Row],[Área techada (m²)4]]</f>
        <v>#REF!</v>
      </c>
      <c r="AC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8" s="61" t="s">
        <v>41</v>
      </c>
      <c r="AE28" s="54">
        <f>IF(Tabla2[[#This Row],[Moneda]]="Soles",Tabla2[[#This Row],[Valor de Venta]]/Tabla2[[#This Row],[Área techada (m²)]]/Tabla2[[#This Row],[Tipo de Cambio]],Tabla2[[#This Row],[Valor de Venta]]/Tabla2[[#This Row],[Área techada (m²)]])</f>
        <v>933.81389252948884</v>
      </c>
      <c r="AF28" s="43" t="e">
        <f>_xlfn.XLOOKUP(Tabla2[[#This Row],[VISTA]],[1]!Table1[Clase],[1]!Table1[VUE (USD)],0,0,1)</f>
        <v>#REF!</v>
      </c>
      <c r="AG28" s="55" t="e">
        <f>+Tabla2[[#This Row],[Valor Comercial (S/.)]]/Tabla2[[#This Row],[Valor de Venta]]-1</f>
        <v>#REF!</v>
      </c>
    </row>
    <row r="29" spans="1:33" s="1" customFormat="1" ht="15" customHeight="1" x14ac:dyDescent="0.25">
      <c r="A29" s="60" t="s">
        <v>27</v>
      </c>
      <c r="B29" s="14">
        <v>302</v>
      </c>
      <c r="C29" s="11">
        <v>3</v>
      </c>
      <c r="D29" s="15"/>
      <c r="E29" s="15"/>
      <c r="F29" s="51">
        <f>ROUND(Tabla2[[#This Row],[Área ocupada (m²)]]/20*1.4,2)</f>
        <v>4.38</v>
      </c>
      <c r="G29" s="46">
        <v>62.5</v>
      </c>
      <c r="H29" s="46">
        <v>62.5</v>
      </c>
      <c r="I29" s="51">
        <f>ROUND(Tabla2[[#This Row],[Área techada (m²)]]*0.15,2)</f>
        <v>9.3800000000000008</v>
      </c>
      <c r="J29" s="47" t="s">
        <v>30</v>
      </c>
      <c r="K29" s="48">
        <v>199750</v>
      </c>
      <c r="L29" s="51">
        <f>ROUND(Tabla2[[#This Row],[Área ocupada (m²)3]]/20*1.4,2)</f>
        <v>4.38</v>
      </c>
      <c r="M29" s="37">
        <f>ROUND(Tabla2[[#This Row],[Área ocupada (m²)]],2)</f>
        <v>62.5</v>
      </c>
      <c r="N29" s="37">
        <f>ROUND(Tabla2[[#This Row],[Área techada (m²)]],2)</f>
        <v>62.5</v>
      </c>
      <c r="O29" s="52">
        <f>ROUND(Tabla2[[#This Row],[Área techada (m²)4]]*0.15,2)</f>
        <v>9.3800000000000008</v>
      </c>
      <c r="P29" s="52">
        <f>ROUND(Tabla2[[#This Row],[Área del terreno (m²)2]]*[1]DATA!$A$2,-2)</f>
        <v>3100</v>
      </c>
      <c r="Q29" s="38" t="e">
        <f>+Tabla2[[#This Row],[Valor Comercial (US$)]]-Tabla2[[#This Row],[Valor del terreno (US$)]]</f>
        <v>#REF!</v>
      </c>
      <c r="R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9" s="53" t="e">
        <f>ROUND(Tabla2[[#This Row],[Valor Comercial (US$)]]*0.8,-2)</f>
        <v>#REF!</v>
      </c>
      <c r="T29" s="53">
        <f>IF($H$6=$G$5,R29,ROUND(Tabla2[[#This Row],[Área techada (m²)4]]*[1]DATA!$B$2*1.15,-2))</f>
        <v>32300</v>
      </c>
      <c r="U29" s="6">
        <f t="shared" si="0"/>
        <v>3.5</v>
      </c>
      <c r="V29" s="39">
        <f>ROUND(Tabla2[[#This Row],[Valor del terreno (US$)]]*Tabla2[[#This Row],[Tipo de Cambio]],-2)</f>
        <v>10900</v>
      </c>
      <c r="W29" s="39" t="e">
        <f>Tabla2[[#This Row],[Valor Comercial (S/.)]]-Tabla2[[#This Row],[Valor del terreno (S/.)]]</f>
        <v>#REF!</v>
      </c>
      <c r="X29" s="39" t="e">
        <f>ROUND(Tabla2[[#This Row],[Valor Comercial (US$)]]*Tabla2[[#This Row],[Tipo de Cambio]],-2)</f>
        <v>#REF!</v>
      </c>
      <c r="Y29" s="39" t="e">
        <f>ROUND(Tabla2[[#This Row],[Valor Realización (US$)]]*Tabla2[[#This Row],[Tipo de Cambio]],-2)</f>
        <v>#REF!</v>
      </c>
      <c r="Z29" s="39">
        <f>+ROUND(Tabla2[[#This Row],[Importe Asegurable (US$)]]*Tabla2[[#This Row],[Tipo de Cambio]],-2)</f>
        <v>113100</v>
      </c>
      <c r="AA29" s="40"/>
      <c r="AB29" s="2" t="e">
        <f>+Tabla2[[#This Row],[Valor Comercial (US$)]]/Tabla2[[#This Row],[Área techada (m²)4]]</f>
        <v>#REF!</v>
      </c>
      <c r="AC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9" s="61" t="s">
        <v>42</v>
      </c>
      <c r="AE29" s="54">
        <f>IF(Tabla2[[#This Row],[Moneda]]="Soles",Tabla2[[#This Row],[Valor de Venta]]/Tabla2[[#This Row],[Área techada (m²)]]/Tabla2[[#This Row],[Tipo de Cambio]],Tabla2[[#This Row],[Valor de Venta]]/Tabla2[[#This Row],[Área techada (m²)]])</f>
        <v>913.14285714285711</v>
      </c>
      <c r="AF29" s="43" t="e">
        <f>_xlfn.XLOOKUP(Tabla2[[#This Row],[VISTA]],[1]!Table1[Clase],[1]!Table1[VUE (USD)],0,0,1)</f>
        <v>#REF!</v>
      </c>
      <c r="AG29" s="55" t="e">
        <f>+Tabla2[[#This Row],[Valor Comercial (S/.)]]/Tabla2[[#This Row],[Valor de Venta]]-1</f>
        <v>#REF!</v>
      </c>
    </row>
    <row r="30" spans="1:33" s="1" customFormat="1" ht="15" customHeight="1" x14ac:dyDescent="0.25">
      <c r="A30" s="60" t="s">
        <v>27</v>
      </c>
      <c r="B30" s="14">
        <v>303</v>
      </c>
      <c r="C30" s="11">
        <v>3</v>
      </c>
      <c r="D30" s="15"/>
      <c r="E30" s="15"/>
      <c r="F30" s="51">
        <f>ROUND(Tabla2[[#This Row],[Área ocupada (m²)]]/20*1.4,2)</f>
        <v>4.38</v>
      </c>
      <c r="G30" s="46">
        <v>62.5</v>
      </c>
      <c r="H30" s="46">
        <v>62.5</v>
      </c>
      <c r="I30" s="51">
        <f>ROUND(Tabla2[[#This Row],[Área techada (m²)]]*0.15,2)</f>
        <v>9.3800000000000008</v>
      </c>
      <c r="J30" s="47" t="s">
        <v>30</v>
      </c>
      <c r="K30" s="48">
        <v>204750</v>
      </c>
      <c r="L30" s="51">
        <f>ROUND(Tabla2[[#This Row],[Área ocupada (m²)3]]/20*1.4,2)</f>
        <v>4.38</v>
      </c>
      <c r="M30" s="37">
        <f>ROUND(Tabla2[[#This Row],[Área ocupada (m²)]],2)</f>
        <v>62.5</v>
      </c>
      <c r="N30" s="37">
        <f>ROUND(Tabla2[[#This Row],[Área techada (m²)]],2)</f>
        <v>62.5</v>
      </c>
      <c r="O30" s="52">
        <f>ROUND(Tabla2[[#This Row],[Área techada (m²)4]]*0.15,2)</f>
        <v>9.3800000000000008</v>
      </c>
      <c r="P30" s="52">
        <f>ROUND(Tabla2[[#This Row],[Área del terreno (m²)2]]*[1]DATA!$A$2,-2)</f>
        <v>3100</v>
      </c>
      <c r="Q30" s="38" t="e">
        <f>+Tabla2[[#This Row],[Valor Comercial (US$)]]-Tabla2[[#This Row],[Valor del terreno (US$)]]</f>
        <v>#REF!</v>
      </c>
      <c r="R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0" s="53" t="e">
        <f>ROUND(Tabla2[[#This Row],[Valor Comercial (US$)]]*0.8,-2)</f>
        <v>#REF!</v>
      </c>
      <c r="T30" s="53">
        <f>IF($H$6=$G$5,R30,ROUND(Tabla2[[#This Row],[Área techada (m²)4]]*[1]DATA!$B$2*1.15,-2))</f>
        <v>32300</v>
      </c>
      <c r="U30" s="6">
        <f t="shared" si="0"/>
        <v>3.5</v>
      </c>
      <c r="V30" s="39">
        <f>ROUND(Tabla2[[#This Row],[Valor del terreno (US$)]]*Tabla2[[#This Row],[Tipo de Cambio]],-2)</f>
        <v>10900</v>
      </c>
      <c r="W30" s="39" t="e">
        <f>Tabla2[[#This Row],[Valor Comercial (S/.)]]-Tabla2[[#This Row],[Valor del terreno (S/.)]]</f>
        <v>#REF!</v>
      </c>
      <c r="X30" s="39" t="e">
        <f>ROUND(Tabla2[[#This Row],[Valor Comercial (US$)]]*Tabla2[[#This Row],[Tipo de Cambio]],-2)</f>
        <v>#REF!</v>
      </c>
      <c r="Y30" s="39" t="e">
        <f>ROUND(Tabla2[[#This Row],[Valor Realización (US$)]]*Tabla2[[#This Row],[Tipo de Cambio]],-2)</f>
        <v>#REF!</v>
      </c>
      <c r="Z30" s="39">
        <f>+ROUND(Tabla2[[#This Row],[Importe Asegurable (US$)]]*Tabla2[[#This Row],[Tipo de Cambio]],-2)</f>
        <v>113100</v>
      </c>
      <c r="AA30" s="40"/>
      <c r="AB30" s="2" t="e">
        <f>+Tabla2[[#This Row],[Valor Comercial (US$)]]/Tabla2[[#This Row],[Área techada (m²)4]]</f>
        <v>#REF!</v>
      </c>
      <c r="AC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0" s="61" t="s">
        <v>41</v>
      </c>
      <c r="AE30" s="54">
        <f>IF(Tabla2[[#This Row],[Moneda]]="Soles",Tabla2[[#This Row],[Valor de Venta]]/Tabla2[[#This Row],[Área techada (m²)]]/Tabla2[[#This Row],[Tipo de Cambio]],Tabla2[[#This Row],[Valor de Venta]]/Tabla2[[#This Row],[Área techada (m²)]])</f>
        <v>936</v>
      </c>
      <c r="AF30" s="43" t="e">
        <f>_xlfn.XLOOKUP(Tabla2[[#This Row],[VISTA]],[1]!Table1[Clase],[1]!Table1[VUE (USD)],0,0,1)</f>
        <v>#REF!</v>
      </c>
      <c r="AG30" s="55" t="e">
        <f>+Tabla2[[#This Row],[Valor Comercial (S/.)]]/Tabla2[[#This Row],[Valor de Venta]]-1</f>
        <v>#REF!</v>
      </c>
    </row>
    <row r="31" spans="1:33" s="1" customFormat="1" ht="15" customHeight="1" x14ac:dyDescent="0.25">
      <c r="A31" s="60" t="s">
        <v>27</v>
      </c>
      <c r="B31" s="14">
        <v>304</v>
      </c>
      <c r="C31" s="11">
        <v>3</v>
      </c>
      <c r="D31" s="15"/>
      <c r="E31" s="15"/>
      <c r="F31" s="51">
        <f>ROUND(Tabla2[[#This Row],[Área ocupada (m²)]]/20*1.4,2)</f>
        <v>4.58</v>
      </c>
      <c r="G31" s="46">
        <v>65.400000000000006</v>
      </c>
      <c r="H31" s="46">
        <v>65.400000000000006</v>
      </c>
      <c r="I31" s="51">
        <f>ROUND(Tabla2[[#This Row],[Área techada (m²)]]*0.15,2)</f>
        <v>9.81</v>
      </c>
      <c r="J31" s="47" t="s">
        <v>30</v>
      </c>
      <c r="K31" s="48">
        <v>224750</v>
      </c>
      <c r="L31" s="51">
        <f>ROUND(Tabla2[[#This Row],[Área ocupada (m²)3]]/20*1.4,2)</f>
        <v>4.58</v>
      </c>
      <c r="M31" s="37">
        <f>ROUND(Tabla2[[#This Row],[Área ocupada (m²)]],2)</f>
        <v>65.400000000000006</v>
      </c>
      <c r="N31" s="37">
        <f>ROUND(Tabla2[[#This Row],[Área techada (m²)]],2)</f>
        <v>65.400000000000006</v>
      </c>
      <c r="O31" s="52">
        <f>ROUND(Tabla2[[#This Row],[Área techada (m²)4]]*0.15,2)</f>
        <v>9.81</v>
      </c>
      <c r="P31" s="52">
        <f>ROUND(Tabla2[[#This Row],[Área del terreno (m²)2]]*[1]DATA!$A$2,-2)</f>
        <v>3200</v>
      </c>
      <c r="Q31" s="38" t="e">
        <f>+Tabla2[[#This Row],[Valor Comercial (US$)]]-Tabla2[[#This Row],[Valor del terreno (US$)]]</f>
        <v>#REF!</v>
      </c>
      <c r="R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1" s="53" t="e">
        <f>ROUND(Tabla2[[#This Row],[Valor Comercial (US$)]]*0.8,-2)</f>
        <v>#REF!</v>
      </c>
      <c r="T31" s="53">
        <f>IF($H$6=$G$5,R31,ROUND(Tabla2[[#This Row],[Área techada (m²)4]]*[1]DATA!$B$2*1.15,-2))</f>
        <v>33800</v>
      </c>
      <c r="U31" s="6">
        <f t="shared" si="0"/>
        <v>3.5</v>
      </c>
      <c r="V31" s="39">
        <f>ROUND(Tabla2[[#This Row],[Valor del terreno (US$)]]*Tabla2[[#This Row],[Tipo de Cambio]],-2)</f>
        <v>11200</v>
      </c>
      <c r="W31" s="39" t="e">
        <f>Tabla2[[#This Row],[Valor Comercial (S/.)]]-Tabla2[[#This Row],[Valor del terreno (S/.)]]</f>
        <v>#REF!</v>
      </c>
      <c r="X31" s="39" t="e">
        <f>ROUND(Tabla2[[#This Row],[Valor Comercial (US$)]]*Tabla2[[#This Row],[Tipo de Cambio]],-2)</f>
        <v>#REF!</v>
      </c>
      <c r="Y31" s="39" t="e">
        <f>ROUND(Tabla2[[#This Row],[Valor Realización (US$)]]*Tabla2[[#This Row],[Tipo de Cambio]],-2)</f>
        <v>#REF!</v>
      </c>
      <c r="Z31" s="39">
        <f>+ROUND(Tabla2[[#This Row],[Importe Asegurable (US$)]]*Tabla2[[#This Row],[Tipo de Cambio]],-2)</f>
        <v>118300</v>
      </c>
      <c r="AA31" s="40"/>
      <c r="AB31" s="2" t="e">
        <f>+Tabla2[[#This Row],[Valor Comercial (US$)]]/Tabla2[[#This Row],[Área techada (m²)4]]</f>
        <v>#REF!</v>
      </c>
      <c r="AC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1" s="61" t="s">
        <v>40</v>
      </c>
      <c r="AE31" s="54">
        <f>IF(Tabla2[[#This Row],[Moneda]]="Soles",Tabla2[[#This Row],[Valor de Venta]]/Tabla2[[#This Row],[Área techada (m²)]]/Tabla2[[#This Row],[Tipo de Cambio]],Tabla2[[#This Row],[Valor de Venta]]/Tabla2[[#This Row],[Área techada (m²)]])</f>
        <v>981.86981214504146</v>
      </c>
      <c r="AF31" s="43" t="e">
        <f>_xlfn.XLOOKUP(Tabla2[[#This Row],[VISTA]],[1]!Table1[Clase],[1]!Table1[VUE (USD)],0,0,1)</f>
        <v>#REF!</v>
      </c>
      <c r="AG31" s="55" t="e">
        <f>+Tabla2[[#This Row],[Valor Comercial (S/.)]]/Tabla2[[#This Row],[Valor de Venta]]-1</f>
        <v>#REF!</v>
      </c>
    </row>
    <row r="32" spans="1:33" s="1" customFormat="1" ht="15" customHeight="1" x14ac:dyDescent="0.25">
      <c r="A32" s="60" t="s">
        <v>27</v>
      </c>
      <c r="B32" s="14">
        <v>305</v>
      </c>
      <c r="C32" s="11">
        <v>3</v>
      </c>
      <c r="D32" s="15"/>
      <c r="E32" s="15"/>
      <c r="F32" s="51">
        <f>ROUND(Tabla2[[#This Row],[Área ocupada (m²)]]/20*1.4,2)</f>
        <v>4.58</v>
      </c>
      <c r="G32" s="46">
        <v>65.400000000000006</v>
      </c>
      <c r="H32" s="46">
        <v>65.400000000000006</v>
      </c>
      <c r="I32" s="51">
        <f>ROUND(Tabla2[[#This Row],[Área techada (m²)]]*0.15,2)</f>
        <v>9.81</v>
      </c>
      <c r="J32" s="47" t="s">
        <v>30</v>
      </c>
      <c r="K32" s="48">
        <v>224750</v>
      </c>
      <c r="L32" s="51">
        <f>ROUND(Tabla2[[#This Row],[Área ocupada (m²)3]]/20*1.4,2)</f>
        <v>4.58</v>
      </c>
      <c r="M32" s="37">
        <f>ROUND(Tabla2[[#This Row],[Área ocupada (m²)]],2)</f>
        <v>65.400000000000006</v>
      </c>
      <c r="N32" s="37">
        <f>ROUND(Tabla2[[#This Row],[Área techada (m²)]],2)</f>
        <v>65.400000000000006</v>
      </c>
      <c r="O32" s="52">
        <f>ROUND(Tabla2[[#This Row],[Área techada (m²)4]]*0.15,2)</f>
        <v>9.81</v>
      </c>
      <c r="P32" s="52">
        <f>ROUND(Tabla2[[#This Row],[Área del terreno (m²)2]]*[1]DATA!$A$2,-2)</f>
        <v>3200</v>
      </c>
      <c r="Q32" s="38" t="e">
        <f>+Tabla2[[#This Row],[Valor Comercial (US$)]]-Tabla2[[#This Row],[Valor del terreno (US$)]]</f>
        <v>#REF!</v>
      </c>
      <c r="R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2" s="53" t="e">
        <f>ROUND(Tabla2[[#This Row],[Valor Comercial (US$)]]*0.8,-2)</f>
        <v>#REF!</v>
      </c>
      <c r="T32" s="53">
        <f>IF($H$6=$G$5,R32,ROUND(Tabla2[[#This Row],[Área techada (m²)4]]*[1]DATA!$B$2*1.15,-2))</f>
        <v>33800</v>
      </c>
      <c r="U32" s="6">
        <f t="shared" si="0"/>
        <v>3.5</v>
      </c>
      <c r="V32" s="39">
        <f>ROUND(Tabla2[[#This Row],[Valor del terreno (US$)]]*Tabla2[[#This Row],[Tipo de Cambio]],-2)</f>
        <v>11200</v>
      </c>
      <c r="W32" s="39" t="e">
        <f>Tabla2[[#This Row],[Valor Comercial (S/.)]]-Tabla2[[#This Row],[Valor del terreno (S/.)]]</f>
        <v>#REF!</v>
      </c>
      <c r="X32" s="39" t="e">
        <f>ROUND(Tabla2[[#This Row],[Valor Comercial (US$)]]*Tabla2[[#This Row],[Tipo de Cambio]],-2)</f>
        <v>#REF!</v>
      </c>
      <c r="Y32" s="39" t="e">
        <f>ROUND(Tabla2[[#This Row],[Valor Realización (US$)]]*Tabla2[[#This Row],[Tipo de Cambio]],-2)</f>
        <v>#REF!</v>
      </c>
      <c r="Z32" s="39">
        <f>+ROUND(Tabla2[[#This Row],[Importe Asegurable (US$)]]*Tabla2[[#This Row],[Tipo de Cambio]],-2)</f>
        <v>118300</v>
      </c>
      <c r="AA32" s="40"/>
      <c r="AB32" s="2" t="e">
        <f>+Tabla2[[#This Row],[Valor Comercial (US$)]]/Tabla2[[#This Row],[Área techada (m²)4]]</f>
        <v>#REF!</v>
      </c>
      <c r="AC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2" s="61" t="s">
        <v>40</v>
      </c>
      <c r="AE32" s="54">
        <f>IF(Tabla2[[#This Row],[Moneda]]="Soles",Tabla2[[#This Row],[Valor de Venta]]/Tabla2[[#This Row],[Área techada (m²)]]/Tabla2[[#This Row],[Tipo de Cambio]],Tabla2[[#This Row],[Valor de Venta]]/Tabla2[[#This Row],[Área techada (m²)]])</f>
        <v>981.86981214504146</v>
      </c>
      <c r="AF32" s="43" t="e">
        <f>_xlfn.XLOOKUP(Tabla2[[#This Row],[VISTA]],[1]!Table1[Clase],[1]!Table1[VUE (USD)],0,0,1)</f>
        <v>#REF!</v>
      </c>
      <c r="AG32" s="55" t="e">
        <f>+Tabla2[[#This Row],[Valor Comercial (S/.)]]/Tabla2[[#This Row],[Valor de Venta]]-1</f>
        <v>#REF!</v>
      </c>
    </row>
    <row r="33" spans="1:33" s="1" customFormat="1" ht="15" customHeight="1" x14ac:dyDescent="0.25">
      <c r="A33" s="60" t="s">
        <v>27</v>
      </c>
      <c r="B33" s="14">
        <v>306</v>
      </c>
      <c r="C33" s="11">
        <v>3</v>
      </c>
      <c r="D33" s="15"/>
      <c r="E33" s="15"/>
      <c r="F33" s="51">
        <f>ROUND(Tabla2[[#This Row],[Área ocupada (m²)]]/20*1.4,2)</f>
        <v>4.38</v>
      </c>
      <c r="G33" s="46">
        <v>62.5</v>
      </c>
      <c r="H33" s="46">
        <v>62.5</v>
      </c>
      <c r="I33" s="51">
        <f>ROUND(Tabla2[[#This Row],[Área techada (m²)]]*0.15,2)</f>
        <v>9.3800000000000008</v>
      </c>
      <c r="J33" s="47" t="s">
        <v>30</v>
      </c>
      <c r="K33" s="48">
        <v>210750</v>
      </c>
      <c r="L33" s="51">
        <f>ROUND(Tabla2[[#This Row],[Área ocupada (m²)3]]/20*1.4,2)</f>
        <v>4.38</v>
      </c>
      <c r="M33" s="37">
        <f>ROUND(Tabla2[[#This Row],[Área ocupada (m²)]],2)</f>
        <v>62.5</v>
      </c>
      <c r="N33" s="37">
        <f>ROUND(Tabla2[[#This Row],[Área techada (m²)]],2)</f>
        <v>62.5</v>
      </c>
      <c r="O33" s="52">
        <f>ROUND(Tabla2[[#This Row],[Área techada (m²)4]]*0.15,2)</f>
        <v>9.3800000000000008</v>
      </c>
      <c r="P33" s="52">
        <f>ROUND(Tabla2[[#This Row],[Área del terreno (m²)2]]*[1]DATA!$A$2,-2)</f>
        <v>3100</v>
      </c>
      <c r="Q33" s="38" t="e">
        <f>+Tabla2[[#This Row],[Valor Comercial (US$)]]-Tabla2[[#This Row],[Valor del terreno (US$)]]</f>
        <v>#REF!</v>
      </c>
      <c r="R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3" s="53" t="e">
        <f>ROUND(Tabla2[[#This Row],[Valor Comercial (US$)]]*0.8,-2)</f>
        <v>#REF!</v>
      </c>
      <c r="T33" s="53">
        <f>IF($H$6=$G$5,R33,ROUND(Tabla2[[#This Row],[Área techada (m²)4]]*[1]DATA!$B$2*1.15,-2))</f>
        <v>32300</v>
      </c>
      <c r="U33" s="6">
        <f t="shared" si="0"/>
        <v>3.5</v>
      </c>
      <c r="V33" s="39">
        <f>ROUND(Tabla2[[#This Row],[Valor del terreno (US$)]]*Tabla2[[#This Row],[Tipo de Cambio]],-2)</f>
        <v>10900</v>
      </c>
      <c r="W33" s="39" t="e">
        <f>Tabla2[[#This Row],[Valor Comercial (S/.)]]-Tabla2[[#This Row],[Valor del terreno (S/.)]]</f>
        <v>#REF!</v>
      </c>
      <c r="X33" s="39" t="e">
        <f>ROUND(Tabla2[[#This Row],[Valor Comercial (US$)]]*Tabla2[[#This Row],[Tipo de Cambio]],-2)</f>
        <v>#REF!</v>
      </c>
      <c r="Y33" s="39" t="e">
        <f>ROUND(Tabla2[[#This Row],[Valor Realización (US$)]]*Tabla2[[#This Row],[Tipo de Cambio]],-2)</f>
        <v>#REF!</v>
      </c>
      <c r="Z33" s="39">
        <f>+ROUND(Tabla2[[#This Row],[Importe Asegurable (US$)]]*Tabla2[[#This Row],[Tipo de Cambio]],-2)</f>
        <v>113100</v>
      </c>
      <c r="AA33" s="40"/>
      <c r="AB33" s="2" t="e">
        <f>+Tabla2[[#This Row],[Valor Comercial (US$)]]/Tabla2[[#This Row],[Área techada (m²)4]]</f>
        <v>#REF!</v>
      </c>
      <c r="AC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3" s="61" t="s">
        <v>41</v>
      </c>
      <c r="AE33" s="54">
        <f>IF(Tabla2[[#This Row],[Moneda]]="Soles",Tabla2[[#This Row],[Valor de Venta]]/Tabla2[[#This Row],[Área techada (m²)]]/Tabla2[[#This Row],[Tipo de Cambio]],Tabla2[[#This Row],[Valor de Venta]]/Tabla2[[#This Row],[Área techada (m²)]])</f>
        <v>963.42857142857144</v>
      </c>
      <c r="AF33" s="43" t="e">
        <f>_xlfn.XLOOKUP(Tabla2[[#This Row],[VISTA]],[1]!Table1[Clase],[1]!Table1[VUE (USD)],0,0,1)</f>
        <v>#REF!</v>
      </c>
      <c r="AG33" s="55" t="e">
        <f>+Tabla2[[#This Row],[Valor Comercial (S/.)]]/Tabla2[[#This Row],[Valor de Venta]]-1</f>
        <v>#REF!</v>
      </c>
    </row>
    <row r="34" spans="1:33" s="1" customFormat="1" ht="15" customHeight="1" x14ac:dyDescent="0.25">
      <c r="A34" s="60" t="s">
        <v>27</v>
      </c>
      <c r="B34" s="14">
        <v>307</v>
      </c>
      <c r="C34" s="11">
        <v>3</v>
      </c>
      <c r="D34" s="15"/>
      <c r="E34" s="15"/>
      <c r="F34" s="51">
        <f>ROUND(Tabla2[[#This Row],[Área ocupada (m²)]]/20*1.4,2)</f>
        <v>4.38</v>
      </c>
      <c r="G34" s="46">
        <v>62.5</v>
      </c>
      <c r="H34" s="46">
        <v>62.5</v>
      </c>
      <c r="I34" s="51">
        <f>ROUND(Tabla2[[#This Row],[Área techada (m²)]]*0.15,2)</f>
        <v>9.3800000000000008</v>
      </c>
      <c r="J34" s="47" t="s">
        <v>30</v>
      </c>
      <c r="K34" s="48">
        <v>203750</v>
      </c>
      <c r="L34" s="51">
        <f>ROUND(Tabla2[[#This Row],[Área ocupada (m²)3]]/20*1.4,2)</f>
        <v>4.38</v>
      </c>
      <c r="M34" s="37">
        <f>ROUND(Tabla2[[#This Row],[Área ocupada (m²)]],2)</f>
        <v>62.5</v>
      </c>
      <c r="N34" s="37">
        <f>ROUND(Tabla2[[#This Row],[Área techada (m²)]],2)</f>
        <v>62.5</v>
      </c>
      <c r="O34" s="52">
        <f>ROUND(Tabla2[[#This Row],[Área techada (m²)4]]*0.15,2)</f>
        <v>9.3800000000000008</v>
      </c>
      <c r="P34" s="52">
        <f>ROUND(Tabla2[[#This Row],[Área del terreno (m²)2]]*[1]DATA!$A$2,-2)</f>
        <v>3100</v>
      </c>
      <c r="Q34" s="38" t="e">
        <f>+Tabla2[[#This Row],[Valor Comercial (US$)]]-Tabla2[[#This Row],[Valor del terreno (US$)]]</f>
        <v>#REF!</v>
      </c>
      <c r="R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4" s="53" t="e">
        <f>ROUND(Tabla2[[#This Row],[Valor Comercial (US$)]]*0.8,-2)</f>
        <v>#REF!</v>
      </c>
      <c r="T34" s="53">
        <f>IF($H$6=$G$5,R34,ROUND(Tabla2[[#This Row],[Área techada (m²)4]]*[1]DATA!$B$2*1.15,-2))</f>
        <v>32300</v>
      </c>
      <c r="U34" s="6">
        <f t="shared" si="0"/>
        <v>3.5</v>
      </c>
      <c r="V34" s="39">
        <f>ROUND(Tabla2[[#This Row],[Valor del terreno (US$)]]*Tabla2[[#This Row],[Tipo de Cambio]],-2)</f>
        <v>10900</v>
      </c>
      <c r="W34" s="39" t="e">
        <f>Tabla2[[#This Row],[Valor Comercial (S/.)]]-Tabla2[[#This Row],[Valor del terreno (S/.)]]</f>
        <v>#REF!</v>
      </c>
      <c r="X34" s="39" t="e">
        <f>ROUND(Tabla2[[#This Row],[Valor Comercial (US$)]]*Tabla2[[#This Row],[Tipo de Cambio]],-2)</f>
        <v>#REF!</v>
      </c>
      <c r="Y34" s="39" t="e">
        <f>ROUND(Tabla2[[#This Row],[Valor Realización (US$)]]*Tabla2[[#This Row],[Tipo de Cambio]],-2)</f>
        <v>#REF!</v>
      </c>
      <c r="Z34" s="39">
        <f>+ROUND(Tabla2[[#This Row],[Importe Asegurable (US$)]]*Tabla2[[#This Row],[Tipo de Cambio]],-2)</f>
        <v>113100</v>
      </c>
      <c r="AA34" s="40"/>
      <c r="AB34" s="2" t="e">
        <f>+Tabla2[[#This Row],[Valor Comercial (US$)]]/Tabla2[[#This Row],[Área techada (m²)4]]</f>
        <v>#REF!</v>
      </c>
      <c r="AC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4" s="61" t="s">
        <v>42</v>
      </c>
      <c r="AE34" s="54">
        <f>IF(Tabla2[[#This Row],[Moneda]]="Soles",Tabla2[[#This Row],[Valor de Venta]]/Tabla2[[#This Row],[Área techada (m²)]]/Tabla2[[#This Row],[Tipo de Cambio]],Tabla2[[#This Row],[Valor de Venta]]/Tabla2[[#This Row],[Área techada (m²)]])</f>
        <v>931.42857142857144</v>
      </c>
      <c r="AF34" s="43" t="e">
        <f>_xlfn.XLOOKUP(Tabla2[[#This Row],[VISTA]],[1]!Table1[Clase],[1]!Table1[VUE (USD)],0,0,1)</f>
        <v>#REF!</v>
      </c>
      <c r="AG34" s="55" t="e">
        <f>+Tabla2[[#This Row],[Valor Comercial (S/.)]]/Tabla2[[#This Row],[Valor de Venta]]-1</f>
        <v>#REF!</v>
      </c>
    </row>
    <row r="35" spans="1:33" s="1" customFormat="1" ht="15" customHeight="1" x14ac:dyDescent="0.25">
      <c r="A35" s="60" t="s">
        <v>27</v>
      </c>
      <c r="B35" s="14">
        <v>308</v>
      </c>
      <c r="C35" s="11">
        <v>3</v>
      </c>
      <c r="D35" s="15"/>
      <c r="E35" s="15"/>
      <c r="F35" s="51">
        <f>ROUND(Tabla2[[#This Row],[Área ocupada (m²)]]/20*1.4,2)</f>
        <v>4.58</v>
      </c>
      <c r="G35" s="46">
        <v>65.400000000000006</v>
      </c>
      <c r="H35" s="46">
        <v>65.400000000000006</v>
      </c>
      <c r="I35" s="51">
        <f>ROUND(Tabla2[[#This Row],[Área techada (m²)]]*0.15,2)</f>
        <v>9.81</v>
      </c>
      <c r="J35" s="47" t="s">
        <v>30</v>
      </c>
      <c r="K35" s="48">
        <v>223750</v>
      </c>
      <c r="L35" s="51">
        <f>ROUND(Tabla2[[#This Row],[Área ocupada (m²)3]]/20*1.4,2)</f>
        <v>4.58</v>
      </c>
      <c r="M35" s="37">
        <f>ROUND(Tabla2[[#This Row],[Área ocupada (m²)]],2)</f>
        <v>65.400000000000006</v>
      </c>
      <c r="N35" s="37">
        <f>ROUND(Tabla2[[#This Row],[Área techada (m²)]],2)</f>
        <v>65.400000000000006</v>
      </c>
      <c r="O35" s="52">
        <f>ROUND(Tabla2[[#This Row],[Área techada (m²)4]]*0.15,2)</f>
        <v>9.81</v>
      </c>
      <c r="P35" s="52">
        <f>ROUND(Tabla2[[#This Row],[Área del terreno (m²)2]]*[1]DATA!$A$2,-2)</f>
        <v>3200</v>
      </c>
      <c r="Q35" s="38" t="e">
        <f>+Tabla2[[#This Row],[Valor Comercial (US$)]]-Tabla2[[#This Row],[Valor del terreno (US$)]]</f>
        <v>#REF!</v>
      </c>
      <c r="R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5" s="53" t="e">
        <f>ROUND(Tabla2[[#This Row],[Valor Comercial (US$)]]*0.8,-2)</f>
        <v>#REF!</v>
      </c>
      <c r="T35" s="53">
        <f>IF($H$6=$G$5,R35,ROUND(Tabla2[[#This Row],[Área techada (m²)4]]*[1]DATA!$B$2*1.15,-2))</f>
        <v>33800</v>
      </c>
      <c r="U35" s="6">
        <f t="shared" si="0"/>
        <v>3.5</v>
      </c>
      <c r="V35" s="39">
        <f>ROUND(Tabla2[[#This Row],[Valor del terreno (US$)]]*Tabla2[[#This Row],[Tipo de Cambio]],-2)</f>
        <v>11200</v>
      </c>
      <c r="W35" s="39" t="e">
        <f>Tabla2[[#This Row],[Valor Comercial (S/.)]]-Tabla2[[#This Row],[Valor del terreno (S/.)]]</f>
        <v>#REF!</v>
      </c>
      <c r="X35" s="39" t="e">
        <f>ROUND(Tabla2[[#This Row],[Valor Comercial (US$)]]*Tabla2[[#This Row],[Tipo de Cambio]],-2)</f>
        <v>#REF!</v>
      </c>
      <c r="Y35" s="39" t="e">
        <f>ROUND(Tabla2[[#This Row],[Valor Realización (US$)]]*Tabla2[[#This Row],[Tipo de Cambio]],-2)</f>
        <v>#REF!</v>
      </c>
      <c r="Z35" s="39">
        <f>+ROUND(Tabla2[[#This Row],[Importe Asegurable (US$)]]*Tabla2[[#This Row],[Tipo de Cambio]],-2)</f>
        <v>118300</v>
      </c>
      <c r="AA35" s="40"/>
      <c r="AB35" s="2" t="e">
        <f>+Tabla2[[#This Row],[Valor Comercial (US$)]]/Tabla2[[#This Row],[Área techada (m²)4]]</f>
        <v>#REF!</v>
      </c>
      <c r="AC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5" s="61" t="s">
        <v>41</v>
      </c>
      <c r="AE35" s="54">
        <f>IF(Tabla2[[#This Row],[Moneda]]="Soles",Tabla2[[#This Row],[Valor de Venta]]/Tabla2[[#This Row],[Área techada (m²)]]/Tabla2[[#This Row],[Tipo de Cambio]],Tabla2[[#This Row],[Valor de Venta]]/Tabla2[[#This Row],[Área techada (m²)]])</f>
        <v>977.50109217999113</v>
      </c>
      <c r="AF35" s="43" t="e">
        <f>_xlfn.XLOOKUP(Tabla2[[#This Row],[VISTA]],[1]!Table1[Clase],[1]!Table1[VUE (USD)],0,0,1)</f>
        <v>#REF!</v>
      </c>
      <c r="AG35" s="55" t="e">
        <f>+Tabla2[[#This Row],[Valor Comercial (S/.)]]/Tabla2[[#This Row],[Valor de Venta]]-1</f>
        <v>#REF!</v>
      </c>
    </row>
    <row r="36" spans="1:33" s="1" customFormat="1" ht="15" customHeight="1" x14ac:dyDescent="0.25">
      <c r="A36" s="60" t="s">
        <v>27</v>
      </c>
      <c r="B36" s="14">
        <v>401</v>
      </c>
      <c r="C36" s="11">
        <v>4</v>
      </c>
      <c r="D36" s="15"/>
      <c r="E36" s="15"/>
      <c r="F36" s="51">
        <f>ROUND(Tabla2[[#This Row],[Área ocupada (m²)]]/20*1.4,2)</f>
        <v>4.58</v>
      </c>
      <c r="G36" s="46">
        <v>65.400000000000006</v>
      </c>
      <c r="H36" s="46">
        <v>65.400000000000006</v>
      </c>
      <c r="I36" s="51">
        <f>ROUND(Tabla2[[#This Row],[Área techada (m²)]]*0.15,2)</f>
        <v>9.81</v>
      </c>
      <c r="J36" s="47" t="s">
        <v>30</v>
      </c>
      <c r="K36" s="48">
        <v>214650</v>
      </c>
      <c r="L36" s="51">
        <f>ROUND(Tabla2[[#This Row],[Área ocupada (m²)3]]/20*1.4,2)</f>
        <v>4.58</v>
      </c>
      <c r="M36" s="37">
        <f>ROUND(Tabla2[[#This Row],[Área ocupada (m²)]],2)</f>
        <v>65.400000000000006</v>
      </c>
      <c r="N36" s="37">
        <f>ROUND(Tabla2[[#This Row],[Área techada (m²)]],2)</f>
        <v>65.400000000000006</v>
      </c>
      <c r="O36" s="52">
        <f>ROUND(Tabla2[[#This Row],[Área techada (m²)4]]*0.15,2)</f>
        <v>9.81</v>
      </c>
      <c r="P36" s="52">
        <f>ROUND(Tabla2[[#This Row],[Área del terreno (m²)2]]*[1]DATA!$A$2,-2)</f>
        <v>3200</v>
      </c>
      <c r="Q36" s="38" t="e">
        <f>+Tabla2[[#This Row],[Valor Comercial (US$)]]-Tabla2[[#This Row],[Valor del terreno (US$)]]</f>
        <v>#REF!</v>
      </c>
      <c r="R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6" s="53" t="e">
        <f>ROUND(Tabla2[[#This Row],[Valor Comercial (US$)]]*0.8,-2)</f>
        <v>#REF!</v>
      </c>
      <c r="T36" s="53">
        <f>IF($H$6=$G$5,R36,ROUND(Tabla2[[#This Row],[Área techada (m²)4]]*[1]DATA!$B$2*1.15,-2))</f>
        <v>33800</v>
      </c>
      <c r="U36" s="6">
        <f t="shared" si="0"/>
        <v>3.5</v>
      </c>
      <c r="V36" s="39">
        <f>ROUND(Tabla2[[#This Row],[Valor del terreno (US$)]]*Tabla2[[#This Row],[Tipo de Cambio]],-2)</f>
        <v>11200</v>
      </c>
      <c r="W36" s="39" t="e">
        <f>Tabla2[[#This Row],[Valor Comercial (S/.)]]-Tabla2[[#This Row],[Valor del terreno (S/.)]]</f>
        <v>#REF!</v>
      </c>
      <c r="X36" s="39" t="e">
        <f>ROUND(Tabla2[[#This Row],[Valor Comercial (US$)]]*Tabla2[[#This Row],[Tipo de Cambio]],-2)</f>
        <v>#REF!</v>
      </c>
      <c r="Y36" s="39" t="e">
        <f>ROUND(Tabla2[[#This Row],[Valor Realización (US$)]]*Tabla2[[#This Row],[Tipo de Cambio]],-2)</f>
        <v>#REF!</v>
      </c>
      <c r="Z36" s="39">
        <f>+ROUND(Tabla2[[#This Row],[Importe Asegurable (US$)]]*Tabla2[[#This Row],[Tipo de Cambio]],-2)</f>
        <v>118300</v>
      </c>
      <c r="AA36" s="40"/>
      <c r="AB36" s="2" t="e">
        <f>+Tabla2[[#This Row],[Valor Comercial (US$)]]/Tabla2[[#This Row],[Área techada (m²)4]]</f>
        <v>#REF!</v>
      </c>
      <c r="AC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6" s="61" t="s">
        <v>41</v>
      </c>
      <c r="AE36" s="54">
        <f>IF(Tabla2[[#This Row],[Moneda]]="Soles",Tabla2[[#This Row],[Valor de Venta]]/Tabla2[[#This Row],[Área techada (m²)]]/Tabla2[[#This Row],[Tipo de Cambio]],Tabla2[[#This Row],[Valor de Venta]]/Tabla2[[#This Row],[Área techada (m²)]])</f>
        <v>937.74574049803402</v>
      </c>
      <c r="AF36" s="43" t="e">
        <f>_xlfn.XLOOKUP(Tabla2[[#This Row],[VISTA]],[1]!Table1[Clase],[1]!Table1[VUE (USD)],0,0,1)</f>
        <v>#REF!</v>
      </c>
      <c r="AG36" s="55" t="e">
        <f>+Tabla2[[#This Row],[Valor Comercial (S/.)]]/Tabla2[[#This Row],[Valor de Venta]]-1</f>
        <v>#REF!</v>
      </c>
    </row>
    <row r="37" spans="1:33" s="1" customFormat="1" ht="15" customHeight="1" x14ac:dyDescent="0.25">
      <c r="A37" s="60" t="s">
        <v>27</v>
      </c>
      <c r="B37" s="14">
        <v>402</v>
      </c>
      <c r="C37" s="11">
        <v>4</v>
      </c>
      <c r="D37" s="15"/>
      <c r="E37" s="15"/>
      <c r="F37" s="51">
        <f>ROUND(Tabla2[[#This Row],[Área ocupada (m²)]]/20*1.4,2)</f>
        <v>4.38</v>
      </c>
      <c r="G37" s="46">
        <v>62.5</v>
      </c>
      <c r="H37" s="46">
        <v>62.5</v>
      </c>
      <c r="I37" s="51">
        <f>ROUND(Tabla2[[#This Row],[Área techada (m²)]]*0.15,2)</f>
        <v>9.3800000000000008</v>
      </c>
      <c r="J37" s="47" t="s">
        <v>30</v>
      </c>
      <c r="K37" s="48">
        <v>201750</v>
      </c>
      <c r="L37" s="51">
        <f>ROUND(Tabla2[[#This Row],[Área ocupada (m²)3]]/20*1.4,2)</f>
        <v>4.38</v>
      </c>
      <c r="M37" s="37">
        <f>ROUND(Tabla2[[#This Row],[Área ocupada (m²)]],2)</f>
        <v>62.5</v>
      </c>
      <c r="N37" s="37">
        <f>ROUND(Tabla2[[#This Row],[Área techada (m²)]],2)</f>
        <v>62.5</v>
      </c>
      <c r="O37" s="52">
        <f>ROUND(Tabla2[[#This Row],[Área techada (m²)4]]*0.15,2)</f>
        <v>9.3800000000000008</v>
      </c>
      <c r="P37" s="52">
        <f>ROUND(Tabla2[[#This Row],[Área del terreno (m²)2]]*[1]DATA!$A$2,-2)</f>
        <v>3100</v>
      </c>
      <c r="Q37" s="38" t="e">
        <f>+Tabla2[[#This Row],[Valor Comercial (US$)]]-Tabla2[[#This Row],[Valor del terreno (US$)]]</f>
        <v>#REF!</v>
      </c>
      <c r="R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7" s="53" t="e">
        <f>ROUND(Tabla2[[#This Row],[Valor Comercial (US$)]]*0.8,-2)</f>
        <v>#REF!</v>
      </c>
      <c r="T37" s="53">
        <f>IF($H$6=$G$5,R37,ROUND(Tabla2[[#This Row],[Área techada (m²)4]]*[1]DATA!$B$2*1.15,-2))</f>
        <v>32300</v>
      </c>
      <c r="U37" s="6">
        <f t="shared" si="0"/>
        <v>3.5</v>
      </c>
      <c r="V37" s="39">
        <f>ROUND(Tabla2[[#This Row],[Valor del terreno (US$)]]*Tabla2[[#This Row],[Tipo de Cambio]],-2)</f>
        <v>10900</v>
      </c>
      <c r="W37" s="39" t="e">
        <f>Tabla2[[#This Row],[Valor Comercial (S/.)]]-Tabla2[[#This Row],[Valor del terreno (S/.)]]</f>
        <v>#REF!</v>
      </c>
      <c r="X37" s="39" t="e">
        <f>ROUND(Tabla2[[#This Row],[Valor Comercial (US$)]]*Tabla2[[#This Row],[Tipo de Cambio]],-2)</f>
        <v>#REF!</v>
      </c>
      <c r="Y37" s="39" t="e">
        <f>ROUND(Tabla2[[#This Row],[Valor Realización (US$)]]*Tabla2[[#This Row],[Tipo de Cambio]],-2)</f>
        <v>#REF!</v>
      </c>
      <c r="Z37" s="39">
        <f>+ROUND(Tabla2[[#This Row],[Importe Asegurable (US$)]]*Tabla2[[#This Row],[Tipo de Cambio]],-2)</f>
        <v>113100</v>
      </c>
      <c r="AA37" s="40"/>
      <c r="AB37" s="2" t="e">
        <f>+Tabla2[[#This Row],[Valor Comercial (US$)]]/Tabla2[[#This Row],[Área techada (m²)4]]</f>
        <v>#REF!</v>
      </c>
      <c r="AC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7" s="61" t="s">
        <v>42</v>
      </c>
      <c r="AE37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37" s="43" t="e">
        <f>_xlfn.XLOOKUP(Tabla2[[#This Row],[VISTA]],[1]!Table1[Clase],[1]!Table1[VUE (USD)],0,0,1)</f>
        <v>#REF!</v>
      </c>
      <c r="AG37" s="55" t="e">
        <f>+Tabla2[[#This Row],[Valor Comercial (S/.)]]/Tabla2[[#This Row],[Valor de Venta]]-1</f>
        <v>#REF!</v>
      </c>
    </row>
    <row r="38" spans="1:33" s="1" customFormat="1" ht="15" customHeight="1" x14ac:dyDescent="0.25">
      <c r="A38" s="60" t="s">
        <v>27</v>
      </c>
      <c r="B38" s="14">
        <v>403</v>
      </c>
      <c r="C38" s="11">
        <v>4</v>
      </c>
      <c r="D38" s="15"/>
      <c r="E38" s="15"/>
      <c r="F38" s="51">
        <f>ROUND(Tabla2[[#This Row],[Área ocupada (m²)]]/20*1.4,2)</f>
        <v>4.38</v>
      </c>
      <c r="G38" s="46">
        <v>62.5</v>
      </c>
      <c r="H38" s="46">
        <v>62.5</v>
      </c>
      <c r="I38" s="51">
        <f>ROUND(Tabla2[[#This Row],[Área techada (m²)]]*0.15,2)</f>
        <v>9.3800000000000008</v>
      </c>
      <c r="J38" s="47" t="s">
        <v>30</v>
      </c>
      <c r="K38" s="48">
        <v>198750</v>
      </c>
      <c r="L38" s="51">
        <f>ROUND(Tabla2[[#This Row],[Área ocupada (m²)3]]/20*1.4,2)</f>
        <v>4.38</v>
      </c>
      <c r="M38" s="37">
        <f>ROUND(Tabla2[[#This Row],[Área ocupada (m²)]],2)</f>
        <v>62.5</v>
      </c>
      <c r="N38" s="37">
        <f>ROUND(Tabla2[[#This Row],[Área techada (m²)]],2)</f>
        <v>62.5</v>
      </c>
      <c r="O38" s="52">
        <f>ROUND(Tabla2[[#This Row],[Área techada (m²)4]]*0.15,2)</f>
        <v>9.3800000000000008</v>
      </c>
      <c r="P38" s="52">
        <f>ROUND(Tabla2[[#This Row],[Área del terreno (m²)2]]*[1]DATA!$A$2,-2)</f>
        <v>3100</v>
      </c>
      <c r="Q38" s="38" t="e">
        <f>+Tabla2[[#This Row],[Valor Comercial (US$)]]-Tabla2[[#This Row],[Valor del terreno (US$)]]</f>
        <v>#REF!</v>
      </c>
      <c r="R3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8" s="53" t="e">
        <f>ROUND(Tabla2[[#This Row],[Valor Comercial (US$)]]*0.8,-2)</f>
        <v>#REF!</v>
      </c>
      <c r="T38" s="53">
        <f>IF($H$6=$G$5,R38,ROUND(Tabla2[[#This Row],[Área techada (m²)4]]*[1]DATA!$B$2*1.15,-2))</f>
        <v>32300</v>
      </c>
      <c r="U38" s="6">
        <f t="shared" si="0"/>
        <v>3.5</v>
      </c>
      <c r="V38" s="39">
        <f>ROUND(Tabla2[[#This Row],[Valor del terreno (US$)]]*Tabla2[[#This Row],[Tipo de Cambio]],-2)</f>
        <v>10900</v>
      </c>
      <c r="W38" s="39" t="e">
        <f>Tabla2[[#This Row],[Valor Comercial (S/.)]]-Tabla2[[#This Row],[Valor del terreno (S/.)]]</f>
        <v>#REF!</v>
      </c>
      <c r="X38" s="39" t="e">
        <f>ROUND(Tabla2[[#This Row],[Valor Comercial (US$)]]*Tabla2[[#This Row],[Tipo de Cambio]],-2)</f>
        <v>#REF!</v>
      </c>
      <c r="Y38" s="39" t="e">
        <f>ROUND(Tabla2[[#This Row],[Valor Realización (US$)]]*Tabla2[[#This Row],[Tipo de Cambio]],-2)</f>
        <v>#REF!</v>
      </c>
      <c r="Z38" s="39">
        <f>+ROUND(Tabla2[[#This Row],[Importe Asegurable (US$)]]*Tabla2[[#This Row],[Tipo de Cambio]],-2)</f>
        <v>113100</v>
      </c>
      <c r="AA38" s="40"/>
      <c r="AB38" s="2" t="e">
        <f>+Tabla2[[#This Row],[Valor Comercial (US$)]]/Tabla2[[#This Row],[Área techada (m²)4]]</f>
        <v>#REF!</v>
      </c>
      <c r="AC3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8" s="61" t="s">
        <v>42</v>
      </c>
      <c r="AE38" s="54">
        <f>IF(Tabla2[[#This Row],[Moneda]]="Soles",Tabla2[[#This Row],[Valor de Venta]]/Tabla2[[#This Row],[Área techada (m²)]]/Tabla2[[#This Row],[Tipo de Cambio]],Tabla2[[#This Row],[Valor de Venta]]/Tabla2[[#This Row],[Área techada (m²)]])</f>
        <v>908.57142857142856</v>
      </c>
      <c r="AF38" s="43" t="e">
        <f>_xlfn.XLOOKUP(Tabla2[[#This Row],[VISTA]],[1]!Table1[Clase],[1]!Table1[VUE (USD)],0,0,1)</f>
        <v>#REF!</v>
      </c>
      <c r="AG38" s="55" t="e">
        <f>+Tabla2[[#This Row],[Valor Comercial (S/.)]]/Tabla2[[#This Row],[Valor de Venta]]-1</f>
        <v>#REF!</v>
      </c>
    </row>
    <row r="39" spans="1:33" s="1" customFormat="1" ht="15" customHeight="1" x14ac:dyDescent="0.25">
      <c r="A39" s="60" t="s">
        <v>27</v>
      </c>
      <c r="B39" s="14">
        <v>404</v>
      </c>
      <c r="C39" s="11">
        <v>4</v>
      </c>
      <c r="D39" s="15"/>
      <c r="E39" s="15"/>
      <c r="F39" s="51">
        <f>ROUND(Tabla2[[#This Row],[Área ocupada (m²)]]/20*1.4,2)</f>
        <v>4.58</v>
      </c>
      <c r="G39" s="46">
        <v>65.400000000000006</v>
      </c>
      <c r="H39" s="46">
        <v>65.400000000000006</v>
      </c>
      <c r="I39" s="51">
        <f>ROUND(Tabla2[[#This Row],[Área techada (m²)]]*0.15,2)</f>
        <v>9.81</v>
      </c>
      <c r="J39" s="47" t="s">
        <v>30</v>
      </c>
      <c r="K39" s="48">
        <v>218650</v>
      </c>
      <c r="L39" s="51">
        <f>ROUND(Tabla2[[#This Row],[Área ocupada (m²)3]]/20*1.4,2)</f>
        <v>4.58</v>
      </c>
      <c r="M39" s="37">
        <f>ROUND(Tabla2[[#This Row],[Área ocupada (m²)]],2)</f>
        <v>65.400000000000006</v>
      </c>
      <c r="N39" s="37">
        <f>ROUND(Tabla2[[#This Row],[Área techada (m²)]],2)</f>
        <v>65.400000000000006</v>
      </c>
      <c r="O39" s="52">
        <f>ROUND(Tabla2[[#This Row],[Área techada (m²)4]]*0.15,2)</f>
        <v>9.81</v>
      </c>
      <c r="P39" s="52">
        <f>ROUND(Tabla2[[#This Row],[Área del terreno (m²)2]]*[1]DATA!$A$2,-2)</f>
        <v>3200</v>
      </c>
      <c r="Q39" s="38" t="e">
        <f>+Tabla2[[#This Row],[Valor Comercial (US$)]]-Tabla2[[#This Row],[Valor del terreno (US$)]]</f>
        <v>#REF!</v>
      </c>
      <c r="R3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9" s="53" t="e">
        <f>ROUND(Tabla2[[#This Row],[Valor Comercial (US$)]]*0.8,-2)</f>
        <v>#REF!</v>
      </c>
      <c r="T39" s="53">
        <f>IF($H$6=$G$5,R39,ROUND(Tabla2[[#This Row],[Área techada (m²)4]]*[1]DATA!$B$2*1.15,-2))</f>
        <v>33800</v>
      </c>
      <c r="U39" s="6">
        <f t="shared" si="0"/>
        <v>3.5</v>
      </c>
      <c r="V39" s="39">
        <f>ROUND(Tabla2[[#This Row],[Valor del terreno (US$)]]*Tabla2[[#This Row],[Tipo de Cambio]],-2)</f>
        <v>11200</v>
      </c>
      <c r="W39" s="39" t="e">
        <f>Tabla2[[#This Row],[Valor Comercial (S/.)]]-Tabla2[[#This Row],[Valor del terreno (S/.)]]</f>
        <v>#REF!</v>
      </c>
      <c r="X39" s="39" t="e">
        <f>ROUND(Tabla2[[#This Row],[Valor Comercial (US$)]]*Tabla2[[#This Row],[Tipo de Cambio]],-2)</f>
        <v>#REF!</v>
      </c>
      <c r="Y39" s="39" t="e">
        <f>ROUND(Tabla2[[#This Row],[Valor Realización (US$)]]*Tabla2[[#This Row],[Tipo de Cambio]],-2)</f>
        <v>#REF!</v>
      </c>
      <c r="Z39" s="39">
        <f>+ROUND(Tabla2[[#This Row],[Importe Asegurable (US$)]]*Tabla2[[#This Row],[Tipo de Cambio]],-2)</f>
        <v>118300</v>
      </c>
      <c r="AA39" s="40"/>
      <c r="AB39" s="2" t="e">
        <f>+Tabla2[[#This Row],[Valor Comercial (US$)]]/Tabla2[[#This Row],[Área techada (m²)4]]</f>
        <v>#REF!</v>
      </c>
      <c r="AC3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9" s="61" t="s">
        <v>41</v>
      </c>
      <c r="AE39" s="54">
        <f>IF(Tabla2[[#This Row],[Moneda]]="Soles",Tabla2[[#This Row],[Valor de Venta]]/Tabla2[[#This Row],[Área techada (m²)]]/Tabla2[[#This Row],[Tipo de Cambio]],Tabla2[[#This Row],[Valor de Venta]]/Tabla2[[#This Row],[Área techada (m²)]])</f>
        <v>955.2206203582349</v>
      </c>
      <c r="AF39" s="43" t="e">
        <f>_xlfn.XLOOKUP(Tabla2[[#This Row],[VISTA]],[1]!Table1[Clase],[1]!Table1[VUE (USD)],0,0,1)</f>
        <v>#REF!</v>
      </c>
      <c r="AG39" s="55" t="e">
        <f>+Tabla2[[#This Row],[Valor Comercial (S/.)]]/Tabla2[[#This Row],[Valor de Venta]]-1</f>
        <v>#REF!</v>
      </c>
    </row>
    <row r="40" spans="1:33" s="1" customFormat="1" ht="15" customHeight="1" x14ac:dyDescent="0.25">
      <c r="A40" s="60" t="s">
        <v>27</v>
      </c>
      <c r="B40" s="14">
        <v>405</v>
      </c>
      <c r="C40" s="11">
        <v>4</v>
      </c>
      <c r="D40" s="15"/>
      <c r="E40" s="15"/>
      <c r="F40" s="51">
        <f>ROUND(Tabla2[[#This Row],[Área ocupada (m²)]]/20*1.4,2)</f>
        <v>4.58</v>
      </c>
      <c r="G40" s="46">
        <v>65.400000000000006</v>
      </c>
      <c r="H40" s="46">
        <v>65.400000000000006</v>
      </c>
      <c r="I40" s="51">
        <f>ROUND(Tabla2[[#This Row],[Área techada (m²)]]*0.15,2)</f>
        <v>9.81</v>
      </c>
      <c r="J40" s="47" t="s">
        <v>30</v>
      </c>
      <c r="K40" s="48">
        <v>217650</v>
      </c>
      <c r="L40" s="51">
        <f>ROUND(Tabla2[[#This Row],[Área ocupada (m²)3]]/20*1.4,2)</f>
        <v>4.58</v>
      </c>
      <c r="M40" s="37">
        <f>ROUND(Tabla2[[#This Row],[Área ocupada (m²)]],2)</f>
        <v>65.400000000000006</v>
      </c>
      <c r="N40" s="37">
        <f>ROUND(Tabla2[[#This Row],[Área techada (m²)]],2)</f>
        <v>65.400000000000006</v>
      </c>
      <c r="O40" s="52">
        <f>ROUND(Tabla2[[#This Row],[Área techada (m²)4]]*0.15,2)</f>
        <v>9.81</v>
      </c>
      <c r="P40" s="52">
        <f>ROUND(Tabla2[[#This Row],[Área del terreno (m²)2]]*[1]DATA!$A$2,-2)</f>
        <v>3200</v>
      </c>
      <c r="Q40" s="38" t="e">
        <f>+Tabla2[[#This Row],[Valor Comercial (US$)]]-Tabla2[[#This Row],[Valor del terreno (US$)]]</f>
        <v>#REF!</v>
      </c>
      <c r="R4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0" s="53" t="e">
        <f>ROUND(Tabla2[[#This Row],[Valor Comercial (US$)]]*0.8,-2)</f>
        <v>#REF!</v>
      </c>
      <c r="T40" s="53">
        <f>IF($H$6=$G$5,R40,ROUND(Tabla2[[#This Row],[Área techada (m²)4]]*[1]DATA!$B$2*1.15,-2))</f>
        <v>33800</v>
      </c>
      <c r="U40" s="6">
        <f t="shared" si="0"/>
        <v>3.5</v>
      </c>
      <c r="V40" s="39">
        <f>ROUND(Tabla2[[#This Row],[Valor del terreno (US$)]]*Tabla2[[#This Row],[Tipo de Cambio]],-2)</f>
        <v>11200</v>
      </c>
      <c r="W40" s="39" t="e">
        <f>Tabla2[[#This Row],[Valor Comercial (S/.)]]-Tabla2[[#This Row],[Valor del terreno (S/.)]]</f>
        <v>#REF!</v>
      </c>
      <c r="X40" s="39" t="e">
        <f>ROUND(Tabla2[[#This Row],[Valor Comercial (US$)]]*Tabla2[[#This Row],[Tipo de Cambio]],-2)</f>
        <v>#REF!</v>
      </c>
      <c r="Y40" s="39" t="e">
        <f>ROUND(Tabla2[[#This Row],[Valor Realización (US$)]]*Tabla2[[#This Row],[Tipo de Cambio]],-2)</f>
        <v>#REF!</v>
      </c>
      <c r="Z40" s="39">
        <f>+ROUND(Tabla2[[#This Row],[Importe Asegurable (US$)]]*Tabla2[[#This Row],[Tipo de Cambio]],-2)</f>
        <v>118300</v>
      </c>
      <c r="AA40" s="40"/>
      <c r="AB40" s="2" t="e">
        <f>+Tabla2[[#This Row],[Valor Comercial (US$)]]/Tabla2[[#This Row],[Área techada (m²)4]]</f>
        <v>#REF!</v>
      </c>
      <c r="AC4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0" s="61" t="s">
        <v>41</v>
      </c>
      <c r="AE40" s="54">
        <f>IF(Tabla2[[#This Row],[Moneda]]="Soles",Tabla2[[#This Row],[Valor de Venta]]/Tabla2[[#This Row],[Área techada (m²)]]/Tabla2[[#This Row],[Tipo de Cambio]],Tabla2[[#This Row],[Valor de Venta]]/Tabla2[[#This Row],[Área techada (m²)]])</f>
        <v>950.85190039318479</v>
      </c>
      <c r="AF40" s="43" t="e">
        <f>_xlfn.XLOOKUP(Tabla2[[#This Row],[VISTA]],[1]!Table1[Clase],[1]!Table1[VUE (USD)],0,0,1)</f>
        <v>#REF!</v>
      </c>
      <c r="AG40" s="55" t="e">
        <f>+Tabla2[[#This Row],[Valor Comercial (S/.)]]/Tabla2[[#This Row],[Valor de Venta]]-1</f>
        <v>#REF!</v>
      </c>
    </row>
    <row r="41" spans="1:33" s="1" customFormat="1" ht="15" customHeight="1" x14ac:dyDescent="0.25">
      <c r="A41" s="60" t="s">
        <v>27</v>
      </c>
      <c r="B41" s="14">
        <v>406</v>
      </c>
      <c r="C41" s="11">
        <v>4</v>
      </c>
      <c r="D41" s="15"/>
      <c r="E41" s="15"/>
      <c r="F41" s="51">
        <f>ROUND(Tabla2[[#This Row],[Área ocupada (m²)]]/20*1.4,2)</f>
        <v>4.38</v>
      </c>
      <c r="G41" s="46">
        <v>62.5</v>
      </c>
      <c r="H41" s="46">
        <v>62.5</v>
      </c>
      <c r="I41" s="51">
        <f>ROUND(Tabla2[[#This Row],[Área techada (m²)]]*0.15,2)</f>
        <v>9.3800000000000008</v>
      </c>
      <c r="J41" s="47" t="s">
        <v>30</v>
      </c>
      <c r="K41" s="48">
        <v>208750</v>
      </c>
      <c r="L41" s="51">
        <f>ROUND(Tabla2[[#This Row],[Área ocupada (m²)3]]/20*1.4,2)</f>
        <v>4.38</v>
      </c>
      <c r="M41" s="37">
        <f>ROUND(Tabla2[[#This Row],[Área ocupada (m²)]],2)</f>
        <v>62.5</v>
      </c>
      <c r="N41" s="37">
        <f>ROUND(Tabla2[[#This Row],[Área techada (m²)]],2)</f>
        <v>62.5</v>
      </c>
      <c r="O41" s="52">
        <f>ROUND(Tabla2[[#This Row],[Área techada (m²)4]]*0.15,2)</f>
        <v>9.3800000000000008</v>
      </c>
      <c r="P41" s="52">
        <f>ROUND(Tabla2[[#This Row],[Área del terreno (m²)2]]*[1]DATA!$A$2,-2)</f>
        <v>3100</v>
      </c>
      <c r="Q41" s="38" t="e">
        <f>+Tabla2[[#This Row],[Valor Comercial (US$)]]-Tabla2[[#This Row],[Valor del terreno (US$)]]</f>
        <v>#REF!</v>
      </c>
      <c r="R4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1" s="53" t="e">
        <f>ROUND(Tabla2[[#This Row],[Valor Comercial (US$)]]*0.8,-2)</f>
        <v>#REF!</v>
      </c>
      <c r="T41" s="53">
        <f>IF($H$6=$G$5,R41,ROUND(Tabla2[[#This Row],[Área techada (m²)4]]*[1]DATA!$B$2*1.15,-2))</f>
        <v>32300</v>
      </c>
      <c r="U41" s="6">
        <f t="shared" si="0"/>
        <v>3.5</v>
      </c>
      <c r="V41" s="39">
        <f>ROUND(Tabla2[[#This Row],[Valor del terreno (US$)]]*Tabla2[[#This Row],[Tipo de Cambio]],-2)</f>
        <v>10900</v>
      </c>
      <c r="W41" s="39" t="e">
        <f>Tabla2[[#This Row],[Valor Comercial (S/.)]]-Tabla2[[#This Row],[Valor del terreno (S/.)]]</f>
        <v>#REF!</v>
      </c>
      <c r="X41" s="39" t="e">
        <f>ROUND(Tabla2[[#This Row],[Valor Comercial (US$)]]*Tabla2[[#This Row],[Tipo de Cambio]],-2)</f>
        <v>#REF!</v>
      </c>
      <c r="Y41" s="39" t="e">
        <f>ROUND(Tabla2[[#This Row],[Valor Realización (US$)]]*Tabla2[[#This Row],[Tipo de Cambio]],-2)</f>
        <v>#REF!</v>
      </c>
      <c r="Z41" s="39">
        <f>+ROUND(Tabla2[[#This Row],[Importe Asegurable (US$)]]*Tabla2[[#This Row],[Tipo de Cambio]],-2)</f>
        <v>113100</v>
      </c>
      <c r="AA41" s="40"/>
      <c r="AB41" s="2" t="e">
        <f>+Tabla2[[#This Row],[Valor Comercial (US$)]]/Tabla2[[#This Row],[Área techada (m²)4]]</f>
        <v>#REF!</v>
      </c>
      <c r="AC4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1" s="61" t="s">
        <v>41</v>
      </c>
      <c r="AE41" s="54">
        <f>IF(Tabla2[[#This Row],[Moneda]]="Soles",Tabla2[[#This Row],[Valor de Venta]]/Tabla2[[#This Row],[Área techada (m²)]]/Tabla2[[#This Row],[Tipo de Cambio]],Tabla2[[#This Row],[Valor de Venta]]/Tabla2[[#This Row],[Área techada (m²)]])</f>
        <v>954.28571428571433</v>
      </c>
      <c r="AF41" s="43" t="e">
        <f>_xlfn.XLOOKUP(Tabla2[[#This Row],[VISTA]],[1]!Table1[Clase],[1]!Table1[VUE (USD)],0,0,1)</f>
        <v>#REF!</v>
      </c>
      <c r="AG41" s="55" t="e">
        <f>+Tabla2[[#This Row],[Valor Comercial (S/.)]]/Tabla2[[#This Row],[Valor de Venta]]-1</f>
        <v>#REF!</v>
      </c>
    </row>
    <row r="42" spans="1:33" s="1" customFormat="1" ht="15" customHeight="1" x14ac:dyDescent="0.25">
      <c r="A42" s="60" t="s">
        <v>27</v>
      </c>
      <c r="B42" s="14">
        <v>407</v>
      </c>
      <c r="C42" s="11">
        <v>4</v>
      </c>
      <c r="D42" s="15"/>
      <c r="E42" s="15"/>
      <c r="F42" s="51">
        <f>ROUND(Tabla2[[#This Row],[Área ocupada (m²)]]/20*1.4,2)</f>
        <v>4.38</v>
      </c>
      <c r="G42" s="46">
        <v>62.5</v>
      </c>
      <c r="H42" s="46">
        <v>62.5</v>
      </c>
      <c r="I42" s="51">
        <f>ROUND(Tabla2[[#This Row],[Área techada (m²)]]*0.15,2)</f>
        <v>9.3800000000000008</v>
      </c>
      <c r="J42" s="47" t="s">
        <v>30</v>
      </c>
      <c r="K42" s="48">
        <v>200750</v>
      </c>
      <c r="L42" s="51">
        <f>ROUND(Tabla2[[#This Row],[Área ocupada (m²)3]]/20*1.4,2)</f>
        <v>4.38</v>
      </c>
      <c r="M42" s="37">
        <f>ROUND(Tabla2[[#This Row],[Área ocupada (m²)]],2)</f>
        <v>62.5</v>
      </c>
      <c r="N42" s="37">
        <f>ROUND(Tabla2[[#This Row],[Área techada (m²)]],2)</f>
        <v>62.5</v>
      </c>
      <c r="O42" s="52">
        <f>ROUND(Tabla2[[#This Row],[Área techada (m²)4]]*0.15,2)</f>
        <v>9.3800000000000008</v>
      </c>
      <c r="P42" s="52">
        <f>ROUND(Tabla2[[#This Row],[Área del terreno (m²)2]]*[1]DATA!$A$2,-2)</f>
        <v>3100</v>
      </c>
      <c r="Q42" s="38">
        <f>+Tabla2[[#This Row],[Valor Comercial (US$)]]-Tabla2[[#This Row],[Valor del terreno (US$)]]</f>
        <v>57100</v>
      </c>
      <c r="R42" s="53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60200</v>
      </c>
      <c r="S42" s="53">
        <f>ROUND(Tabla2[[#This Row],[Valor Comercial (US$)]]*0.8,-2)</f>
        <v>48200</v>
      </c>
      <c r="T42" s="53">
        <f>IF($H$6=$G$5,R42,ROUND(Tabla2[[#This Row],[Área techada (m²)4]]*[1]DATA!$B$2*1.15,-2))</f>
        <v>32300</v>
      </c>
      <c r="U42" s="6">
        <f t="shared" si="0"/>
        <v>3.5</v>
      </c>
      <c r="V42" s="39">
        <f>ROUND(Tabla2[[#This Row],[Valor del terreno (US$)]]*Tabla2[[#This Row],[Tipo de Cambio]],-2)</f>
        <v>10900</v>
      </c>
      <c r="W42" s="39">
        <f>Tabla2[[#This Row],[Valor Comercial (S/.)]]-Tabla2[[#This Row],[Valor del terreno (S/.)]]</f>
        <v>199800</v>
      </c>
      <c r="X42" s="39">
        <f>ROUND(Tabla2[[#This Row],[Valor Comercial (US$)]]*Tabla2[[#This Row],[Tipo de Cambio]],-2)</f>
        <v>210700</v>
      </c>
      <c r="Y42" s="39">
        <f>ROUND(Tabla2[[#This Row],[Valor Realización (US$)]]*Tabla2[[#This Row],[Tipo de Cambio]],-2)</f>
        <v>168700</v>
      </c>
      <c r="Z42" s="39">
        <f>+ROUND(Tabla2[[#This Row],[Importe Asegurable (US$)]]*Tabla2[[#This Row],[Tipo de Cambio]],-2)</f>
        <v>113100</v>
      </c>
      <c r="AA42" s="40"/>
      <c r="AB42" s="2">
        <f>+Tabla2[[#This Row],[Valor Comercial (US$)]]/Tabla2[[#This Row],[Área techada (m²)4]]</f>
        <v>963.2</v>
      </c>
      <c r="AC42" s="1" t="str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OK</v>
      </c>
      <c r="AD42" s="61" t="s">
        <v>42</v>
      </c>
      <c r="AE42" s="54">
        <f>IF(Tabla2[[#This Row],[Moneda]]="Soles",Tabla2[[#This Row],[Valor de Venta]]/Tabla2[[#This Row],[Área techada (m²)]]/Tabla2[[#This Row],[Tipo de Cambio]],Tabla2[[#This Row],[Valor de Venta]]/Tabla2[[#This Row],[Área techada (m²)]])</f>
        <v>917.71428571428567</v>
      </c>
      <c r="AF42" s="69">
        <f>+Tabla2[[#This Row],[Ratio de precio de venta USD]]*1.05</f>
        <v>963.6</v>
      </c>
      <c r="AG42" s="55">
        <f>+Tabla2[[#This Row],[Valor Comercial (S/.)]]/Tabla2[[#This Row],[Valor de Venta]]-1</f>
        <v>4.9564134495641454E-2</v>
      </c>
    </row>
    <row r="43" spans="1:33" s="1" customFormat="1" ht="15" customHeight="1" x14ac:dyDescent="0.25">
      <c r="A43" s="60" t="s">
        <v>27</v>
      </c>
      <c r="B43" s="14">
        <v>408</v>
      </c>
      <c r="C43" s="11">
        <v>4</v>
      </c>
      <c r="D43" s="15"/>
      <c r="E43" s="15"/>
      <c r="F43" s="51">
        <f>ROUND(Tabla2[[#This Row],[Área ocupada (m²)]]/20*1.4,2)</f>
        <v>4.58</v>
      </c>
      <c r="G43" s="46">
        <v>65.400000000000006</v>
      </c>
      <c r="H43" s="46">
        <v>65.400000000000006</v>
      </c>
      <c r="I43" s="51">
        <f>ROUND(Tabla2[[#This Row],[Área techada (m²)]]*0.15,2)</f>
        <v>9.81</v>
      </c>
      <c r="J43" s="47" t="s">
        <v>30</v>
      </c>
      <c r="K43" s="48">
        <v>221650</v>
      </c>
      <c r="L43" s="51">
        <f>ROUND(Tabla2[[#This Row],[Área ocupada (m²)3]]/20*1.4,2)</f>
        <v>4.58</v>
      </c>
      <c r="M43" s="37">
        <f>ROUND(Tabla2[[#This Row],[Área ocupada (m²)]],2)</f>
        <v>65.400000000000006</v>
      </c>
      <c r="N43" s="37">
        <f>ROUND(Tabla2[[#This Row],[Área techada (m²)]],2)</f>
        <v>65.400000000000006</v>
      </c>
      <c r="O43" s="52">
        <f>ROUND(Tabla2[[#This Row],[Área techada (m²)4]]*0.15,2)</f>
        <v>9.81</v>
      </c>
      <c r="P43" s="52">
        <f>ROUND(Tabla2[[#This Row],[Área del terreno (m²)2]]*[1]DATA!$A$2,-2)</f>
        <v>3200</v>
      </c>
      <c r="Q43" s="38" t="e">
        <f>+Tabla2[[#This Row],[Valor Comercial (US$)]]-Tabla2[[#This Row],[Valor del terreno (US$)]]</f>
        <v>#REF!</v>
      </c>
      <c r="R4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3" s="53" t="e">
        <f>ROUND(Tabla2[[#This Row],[Valor Comercial (US$)]]*0.8,-2)</f>
        <v>#REF!</v>
      </c>
      <c r="T43" s="53">
        <f>IF($H$6=$G$5,R43,ROUND(Tabla2[[#This Row],[Área techada (m²)4]]*[1]DATA!$B$2*1.15,-2))</f>
        <v>33800</v>
      </c>
      <c r="U43" s="6">
        <f t="shared" si="0"/>
        <v>3.5</v>
      </c>
      <c r="V43" s="39">
        <f>ROUND(Tabla2[[#This Row],[Valor del terreno (US$)]]*Tabla2[[#This Row],[Tipo de Cambio]],-2)</f>
        <v>11200</v>
      </c>
      <c r="W43" s="39" t="e">
        <f>Tabla2[[#This Row],[Valor Comercial (S/.)]]-Tabla2[[#This Row],[Valor del terreno (S/.)]]</f>
        <v>#REF!</v>
      </c>
      <c r="X43" s="39" t="e">
        <f>ROUND(Tabla2[[#This Row],[Valor Comercial (US$)]]*Tabla2[[#This Row],[Tipo de Cambio]],-2)</f>
        <v>#REF!</v>
      </c>
      <c r="Y43" s="39" t="e">
        <f>ROUND(Tabla2[[#This Row],[Valor Realización (US$)]]*Tabla2[[#This Row],[Tipo de Cambio]],-2)</f>
        <v>#REF!</v>
      </c>
      <c r="Z43" s="39">
        <f>+ROUND(Tabla2[[#This Row],[Importe Asegurable (US$)]]*Tabla2[[#This Row],[Tipo de Cambio]],-2)</f>
        <v>118300</v>
      </c>
      <c r="AA43" s="40"/>
      <c r="AB43" s="2" t="e">
        <f>+Tabla2[[#This Row],[Valor Comercial (US$)]]/Tabla2[[#This Row],[Área techada (m²)4]]</f>
        <v>#REF!</v>
      </c>
      <c r="AC4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3" s="61" t="s">
        <v>41</v>
      </c>
      <c r="AE43" s="54">
        <f>IF(Tabla2[[#This Row],[Moneda]]="Soles",Tabla2[[#This Row],[Valor de Venta]]/Tabla2[[#This Row],[Área techada (m²)]]/Tabla2[[#This Row],[Tipo de Cambio]],Tabla2[[#This Row],[Valor de Venta]]/Tabla2[[#This Row],[Área techada (m²)]])</f>
        <v>968.32678025338566</v>
      </c>
      <c r="AF43" s="43" t="e">
        <f>_xlfn.XLOOKUP(Tabla2[[#This Row],[VISTA]],[1]!Table1[Clase],[1]!Table1[VUE (USD)],0,0,1)</f>
        <v>#REF!</v>
      </c>
      <c r="AG43" s="55" t="e">
        <f>+Tabla2[[#This Row],[Valor Comercial (S/.)]]/Tabla2[[#This Row],[Valor de Venta]]-1</f>
        <v>#REF!</v>
      </c>
    </row>
    <row r="44" spans="1:33" s="1" customFormat="1" ht="15" customHeight="1" x14ac:dyDescent="0.25">
      <c r="A44" s="60" t="s">
        <v>27</v>
      </c>
      <c r="B44" s="14">
        <v>501</v>
      </c>
      <c r="C44" s="11">
        <v>5</v>
      </c>
      <c r="D44" s="15"/>
      <c r="E44" s="15"/>
      <c r="F44" s="51">
        <f>ROUND(Tabla2[[#This Row],[Área ocupada (m²)]]/20*1.4,2)</f>
        <v>4.58</v>
      </c>
      <c r="G44" s="46">
        <v>65.400000000000006</v>
      </c>
      <c r="H44" s="46">
        <v>65.400000000000006</v>
      </c>
      <c r="I44" s="51">
        <f>ROUND(Tabla2[[#This Row],[Área techada (m²)]]*0.15,2)</f>
        <v>9.81</v>
      </c>
      <c r="J44" s="47" t="s">
        <v>30</v>
      </c>
      <c r="K44" s="48">
        <v>209550</v>
      </c>
      <c r="L44" s="51">
        <f>ROUND(Tabla2[[#This Row],[Área ocupada (m²)3]]/20*1.4,2)</f>
        <v>4.58</v>
      </c>
      <c r="M44" s="37">
        <f>ROUND(Tabla2[[#This Row],[Área ocupada (m²)]],2)</f>
        <v>65.400000000000006</v>
      </c>
      <c r="N44" s="37">
        <f>ROUND(Tabla2[[#This Row],[Área techada (m²)]],2)</f>
        <v>65.400000000000006</v>
      </c>
      <c r="O44" s="52">
        <f>ROUND(Tabla2[[#This Row],[Área techada (m²)4]]*0.15,2)</f>
        <v>9.81</v>
      </c>
      <c r="P44" s="52">
        <f>ROUND(Tabla2[[#This Row],[Área del terreno (m²)2]]*[1]DATA!$A$2,-2)</f>
        <v>3200</v>
      </c>
      <c r="Q44" s="38" t="e">
        <f>+Tabla2[[#This Row],[Valor Comercial (US$)]]-Tabla2[[#This Row],[Valor del terreno (US$)]]</f>
        <v>#REF!</v>
      </c>
      <c r="R4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4" s="53" t="e">
        <f>ROUND(Tabla2[[#This Row],[Valor Comercial (US$)]]*0.8,-2)</f>
        <v>#REF!</v>
      </c>
      <c r="T44" s="53">
        <f>IF($H$6=$G$5,R44,ROUND(Tabla2[[#This Row],[Área techada (m²)4]]*[1]DATA!$B$2*1.15,-2))</f>
        <v>33800</v>
      </c>
      <c r="U44" s="6">
        <f t="shared" si="0"/>
        <v>3.5</v>
      </c>
      <c r="V44" s="39">
        <f>ROUND(Tabla2[[#This Row],[Valor del terreno (US$)]]*Tabla2[[#This Row],[Tipo de Cambio]],-2)</f>
        <v>11200</v>
      </c>
      <c r="W44" s="39" t="e">
        <f>Tabla2[[#This Row],[Valor Comercial (S/.)]]-Tabla2[[#This Row],[Valor del terreno (S/.)]]</f>
        <v>#REF!</v>
      </c>
      <c r="X44" s="39" t="e">
        <f>ROUND(Tabla2[[#This Row],[Valor Comercial (US$)]]*Tabla2[[#This Row],[Tipo de Cambio]],-2)</f>
        <v>#REF!</v>
      </c>
      <c r="Y44" s="39" t="e">
        <f>ROUND(Tabla2[[#This Row],[Valor Realización (US$)]]*Tabla2[[#This Row],[Tipo de Cambio]],-2)</f>
        <v>#REF!</v>
      </c>
      <c r="Z44" s="39">
        <f>+ROUND(Tabla2[[#This Row],[Importe Asegurable (US$)]]*Tabla2[[#This Row],[Tipo de Cambio]],-2)</f>
        <v>118300</v>
      </c>
      <c r="AA44" s="40"/>
      <c r="AB44" s="2" t="e">
        <f>+Tabla2[[#This Row],[Valor Comercial (US$)]]/Tabla2[[#This Row],[Área techada (m²)4]]</f>
        <v>#REF!</v>
      </c>
      <c r="AC4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4" s="61" t="s">
        <v>42</v>
      </c>
      <c r="AE44" s="54">
        <f>IF(Tabla2[[#This Row],[Moneda]]="Soles",Tabla2[[#This Row],[Valor de Venta]]/Tabla2[[#This Row],[Área techada (m²)]]/Tabla2[[#This Row],[Tipo de Cambio]],Tabla2[[#This Row],[Valor de Venta]]/Tabla2[[#This Row],[Área techada (m²)]])</f>
        <v>915.46526867627767</v>
      </c>
      <c r="AF44" s="43" t="e">
        <f>_xlfn.XLOOKUP(Tabla2[[#This Row],[VISTA]],[1]!Table1[Clase],[1]!Table1[VUE (USD)],0,0,1)</f>
        <v>#REF!</v>
      </c>
      <c r="AG44" s="55" t="e">
        <f>+Tabla2[[#This Row],[Valor Comercial (S/.)]]/Tabla2[[#This Row],[Valor de Venta]]-1</f>
        <v>#REF!</v>
      </c>
    </row>
    <row r="45" spans="1:33" s="1" customFormat="1" ht="15" customHeight="1" x14ac:dyDescent="0.25">
      <c r="A45" s="60" t="s">
        <v>27</v>
      </c>
      <c r="B45" s="14">
        <v>502</v>
      </c>
      <c r="C45" s="11">
        <v>5</v>
      </c>
      <c r="D45" s="15"/>
      <c r="E45" s="15"/>
      <c r="F45" s="51">
        <f>ROUND(Tabla2[[#This Row],[Área ocupada (m²)]]/20*1.4,2)</f>
        <v>4.38</v>
      </c>
      <c r="G45" s="46">
        <v>62.5</v>
      </c>
      <c r="H45" s="46">
        <v>62.5</v>
      </c>
      <c r="I45" s="51">
        <f>ROUND(Tabla2[[#This Row],[Área techada (m²)]]*0.15,2)</f>
        <v>9.3800000000000008</v>
      </c>
      <c r="J45" s="47" t="s">
        <v>30</v>
      </c>
      <c r="K45" s="48">
        <v>195750</v>
      </c>
      <c r="L45" s="51">
        <f>ROUND(Tabla2[[#This Row],[Área ocupada (m²)3]]/20*1.4,2)</f>
        <v>4.38</v>
      </c>
      <c r="M45" s="37">
        <f>ROUND(Tabla2[[#This Row],[Área ocupada (m²)]],2)</f>
        <v>62.5</v>
      </c>
      <c r="N45" s="37">
        <f>ROUND(Tabla2[[#This Row],[Área techada (m²)]],2)</f>
        <v>62.5</v>
      </c>
      <c r="O45" s="52">
        <f>ROUND(Tabla2[[#This Row],[Área techada (m²)4]]*0.15,2)</f>
        <v>9.3800000000000008</v>
      </c>
      <c r="P45" s="52">
        <f>ROUND(Tabla2[[#This Row],[Área del terreno (m²)2]]*[1]DATA!$A$2,-2)</f>
        <v>3100</v>
      </c>
      <c r="Q45" s="38" t="e">
        <f>+Tabla2[[#This Row],[Valor Comercial (US$)]]-Tabla2[[#This Row],[Valor del terreno (US$)]]</f>
        <v>#REF!</v>
      </c>
      <c r="R4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5" s="53" t="e">
        <f>ROUND(Tabla2[[#This Row],[Valor Comercial (US$)]]*0.8,-2)</f>
        <v>#REF!</v>
      </c>
      <c r="T45" s="53">
        <f>IF($H$6=$G$5,R45,ROUND(Tabla2[[#This Row],[Área techada (m²)4]]*[1]DATA!$B$2*1.15,-2))</f>
        <v>32300</v>
      </c>
      <c r="U45" s="6">
        <f t="shared" si="0"/>
        <v>3.5</v>
      </c>
      <c r="V45" s="39">
        <f>ROUND(Tabla2[[#This Row],[Valor del terreno (US$)]]*Tabla2[[#This Row],[Tipo de Cambio]],-2)</f>
        <v>10900</v>
      </c>
      <c r="W45" s="39" t="e">
        <f>Tabla2[[#This Row],[Valor Comercial (S/.)]]-Tabla2[[#This Row],[Valor del terreno (S/.)]]</f>
        <v>#REF!</v>
      </c>
      <c r="X45" s="39" t="e">
        <f>ROUND(Tabla2[[#This Row],[Valor Comercial (US$)]]*Tabla2[[#This Row],[Tipo de Cambio]],-2)</f>
        <v>#REF!</v>
      </c>
      <c r="Y45" s="39" t="e">
        <f>ROUND(Tabla2[[#This Row],[Valor Realización (US$)]]*Tabla2[[#This Row],[Tipo de Cambio]],-2)</f>
        <v>#REF!</v>
      </c>
      <c r="Z45" s="39">
        <f>+ROUND(Tabla2[[#This Row],[Importe Asegurable (US$)]]*Tabla2[[#This Row],[Tipo de Cambio]],-2)</f>
        <v>113100</v>
      </c>
      <c r="AA45" s="40"/>
      <c r="AB45" s="2" t="e">
        <f>+Tabla2[[#This Row],[Valor Comercial (US$)]]/Tabla2[[#This Row],[Área techada (m²)4]]</f>
        <v>#REF!</v>
      </c>
      <c r="AC4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5" s="61" t="s">
        <v>42</v>
      </c>
      <c r="AE45" s="54">
        <f>IF(Tabla2[[#This Row],[Moneda]]="Soles",Tabla2[[#This Row],[Valor de Venta]]/Tabla2[[#This Row],[Área techada (m²)]]/Tabla2[[#This Row],[Tipo de Cambio]],Tabla2[[#This Row],[Valor de Venta]]/Tabla2[[#This Row],[Área techada (m²)]])</f>
        <v>894.85714285714289</v>
      </c>
      <c r="AF45" s="43" t="e">
        <f>_xlfn.XLOOKUP(Tabla2[[#This Row],[VISTA]],[1]!Table1[Clase],[1]!Table1[VUE (USD)],0,0,1)</f>
        <v>#REF!</v>
      </c>
      <c r="AG45" s="55" t="e">
        <f>+Tabla2[[#This Row],[Valor Comercial (S/.)]]/Tabla2[[#This Row],[Valor de Venta]]-1</f>
        <v>#REF!</v>
      </c>
    </row>
    <row r="46" spans="1:33" s="1" customFormat="1" ht="15" customHeight="1" x14ac:dyDescent="0.25">
      <c r="A46" s="60" t="s">
        <v>27</v>
      </c>
      <c r="B46" s="14">
        <v>503</v>
      </c>
      <c r="C46" s="11">
        <v>5</v>
      </c>
      <c r="D46" s="15"/>
      <c r="E46" s="15"/>
      <c r="F46" s="51">
        <f>ROUND(Tabla2[[#This Row],[Área ocupada (m²)]]/20*1.4,2)</f>
        <v>4.38</v>
      </c>
      <c r="G46" s="46">
        <v>62.5</v>
      </c>
      <c r="H46" s="46">
        <v>62.5</v>
      </c>
      <c r="I46" s="51">
        <f>ROUND(Tabla2[[#This Row],[Área techada (m²)]]*0.15,2)</f>
        <v>9.3800000000000008</v>
      </c>
      <c r="J46" s="47" t="s">
        <v>30</v>
      </c>
      <c r="K46" s="48">
        <v>201750</v>
      </c>
      <c r="L46" s="51">
        <f>ROUND(Tabla2[[#This Row],[Área ocupada (m²)3]]/20*1.4,2)</f>
        <v>4.38</v>
      </c>
      <c r="M46" s="37">
        <f>ROUND(Tabla2[[#This Row],[Área ocupada (m²)]],2)</f>
        <v>62.5</v>
      </c>
      <c r="N46" s="37">
        <f>ROUND(Tabla2[[#This Row],[Área techada (m²)]],2)</f>
        <v>62.5</v>
      </c>
      <c r="O46" s="52">
        <f>ROUND(Tabla2[[#This Row],[Área techada (m²)4]]*0.15,2)</f>
        <v>9.3800000000000008</v>
      </c>
      <c r="P46" s="52">
        <f>ROUND(Tabla2[[#This Row],[Área del terreno (m²)2]]*[1]DATA!$A$2,-2)</f>
        <v>3100</v>
      </c>
      <c r="Q46" s="38" t="e">
        <f>+Tabla2[[#This Row],[Valor Comercial (US$)]]-Tabla2[[#This Row],[Valor del terreno (US$)]]</f>
        <v>#REF!</v>
      </c>
      <c r="R4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6" s="53" t="e">
        <f>ROUND(Tabla2[[#This Row],[Valor Comercial (US$)]]*0.8,-2)</f>
        <v>#REF!</v>
      </c>
      <c r="T46" s="53">
        <f>IF($H$6=$G$5,R46,ROUND(Tabla2[[#This Row],[Área techada (m²)4]]*[1]DATA!$B$2*1.15,-2))</f>
        <v>32300</v>
      </c>
      <c r="U46" s="6">
        <f t="shared" si="0"/>
        <v>3.5</v>
      </c>
      <c r="V46" s="39">
        <f>ROUND(Tabla2[[#This Row],[Valor del terreno (US$)]]*Tabla2[[#This Row],[Tipo de Cambio]],-2)</f>
        <v>10900</v>
      </c>
      <c r="W46" s="39" t="e">
        <f>Tabla2[[#This Row],[Valor Comercial (S/.)]]-Tabla2[[#This Row],[Valor del terreno (S/.)]]</f>
        <v>#REF!</v>
      </c>
      <c r="X46" s="39" t="e">
        <f>ROUND(Tabla2[[#This Row],[Valor Comercial (US$)]]*Tabla2[[#This Row],[Tipo de Cambio]],-2)</f>
        <v>#REF!</v>
      </c>
      <c r="Y46" s="39" t="e">
        <f>ROUND(Tabla2[[#This Row],[Valor Realización (US$)]]*Tabla2[[#This Row],[Tipo de Cambio]],-2)</f>
        <v>#REF!</v>
      </c>
      <c r="Z46" s="39">
        <f>+ROUND(Tabla2[[#This Row],[Importe Asegurable (US$)]]*Tabla2[[#This Row],[Tipo de Cambio]],-2)</f>
        <v>113100</v>
      </c>
      <c r="AA46" s="40"/>
      <c r="AB46" s="2" t="e">
        <f>+Tabla2[[#This Row],[Valor Comercial (US$)]]/Tabla2[[#This Row],[Área techada (m²)4]]</f>
        <v>#REF!</v>
      </c>
      <c r="AC4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6" s="61" t="s">
        <v>42</v>
      </c>
      <c r="AE46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46" s="43" t="e">
        <f>_xlfn.XLOOKUP(Tabla2[[#This Row],[VISTA]],[1]!Table1[Clase],[1]!Table1[VUE (USD)],0,0,1)</f>
        <v>#REF!</v>
      </c>
      <c r="AG46" s="55" t="e">
        <f>+Tabla2[[#This Row],[Valor Comercial (S/.)]]/Tabla2[[#This Row],[Valor de Venta]]-1</f>
        <v>#REF!</v>
      </c>
    </row>
    <row r="47" spans="1:33" s="1" customFormat="1" ht="15" customHeight="1" x14ac:dyDescent="0.25">
      <c r="A47" s="60" t="s">
        <v>27</v>
      </c>
      <c r="B47" s="14">
        <v>504</v>
      </c>
      <c r="C47" s="11">
        <v>5</v>
      </c>
      <c r="D47" s="15"/>
      <c r="E47" s="15"/>
      <c r="F47" s="51">
        <f>ROUND(Tabla2[[#This Row],[Área ocupada (m²)]]/20*1.4,2)</f>
        <v>4.58</v>
      </c>
      <c r="G47" s="46">
        <v>65.400000000000006</v>
      </c>
      <c r="H47" s="46">
        <v>65.400000000000006</v>
      </c>
      <c r="I47" s="51">
        <f>ROUND(Tabla2[[#This Row],[Área techada (m²)]]*0.15,2)</f>
        <v>9.81</v>
      </c>
      <c r="J47" s="47" t="s">
        <v>30</v>
      </c>
      <c r="K47" s="48">
        <v>223550</v>
      </c>
      <c r="L47" s="51">
        <f>ROUND(Tabla2[[#This Row],[Área ocupada (m²)3]]/20*1.4,2)</f>
        <v>4.58</v>
      </c>
      <c r="M47" s="37">
        <f>ROUND(Tabla2[[#This Row],[Área ocupada (m²)]],2)</f>
        <v>65.400000000000006</v>
      </c>
      <c r="N47" s="37">
        <f>ROUND(Tabla2[[#This Row],[Área techada (m²)]],2)</f>
        <v>65.400000000000006</v>
      </c>
      <c r="O47" s="52">
        <f>ROUND(Tabla2[[#This Row],[Área techada (m²)4]]*0.15,2)</f>
        <v>9.81</v>
      </c>
      <c r="P47" s="52">
        <f>ROUND(Tabla2[[#This Row],[Área del terreno (m²)2]]*[1]DATA!$A$2,-2)</f>
        <v>3200</v>
      </c>
      <c r="Q47" s="38" t="e">
        <f>+Tabla2[[#This Row],[Valor Comercial (US$)]]-Tabla2[[#This Row],[Valor del terreno (US$)]]</f>
        <v>#REF!</v>
      </c>
      <c r="R4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7" s="53" t="e">
        <f>ROUND(Tabla2[[#This Row],[Valor Comercial (US$)]]*0.8,-2)</f>
        <v>#REF!</v>
      </c>
      <c r="T47" s="53">
        <f>IF($H$6=$G$5,R47,ROUND(Tabla2[[#This Row],[Área techada (m²)4]]*[1]DATA!$B$2*1.15,-2))</f>
        <v>33800</v>
      </c>
      <c r="U47" s="6">
        <f t="shared" si="0"/>
        <v>3.5</v>
      </c>
      <c r="V47" s="39">
        <f>ROUND(Tabla2[[#This Row],[Valor del terreno (US$)]]*Tabla2[[#This Row],[Tipo de Cambio]],-2)</f>
        <v>11200</v>
      </c>
      <c r="W47" s="39" t="e">
        <f>Tabla2[[#This Row],[Valor Comercial (S/.)]]-Tabla2[[#This Row],[Valor del terreno (S/.)]]</f>
        <v>#REF!</v>
      </c>
      <c r="X47" s="39" t="e">
        <f>ROUND(Tabla2[[#This Row],[Valor Comercial (US$)]]*Tabla2[[#This Row],[Tipo de Cambio]],-2)</f>
        <v>#REF!</v>
      </c>
      <c r="Y47" s="39" t="e">
        <f>ROUND(Tabla2[[#This Row],[Valor Realización (US$)]]*Tabla2[[#This Row],[Tipo de Cambio]],-2)</f>
        <v>#REF!</v>
      </c>
      <c r="Z47" s="39">
        <f>+ROUND(Tabla2[[#This Row],[Importe Asegurable (US$)]]*Tabla2[[#This Row],[Tipo de Cambio]],-2)</f>
        <v>118300</v>
      </c>
      <c r="AA47" s="40"/>
      <c r="AB47" s="2" t="e">
        <f>+Tabla2[[#This Row],[Valor Comercial (US$)]]/Tabla2[[#This Row],[Área techada (m²)4]]</f>
        <v>#REF!</v>
      </c>
      <c r="AC4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7" s="61" t="s">
        <v>41</v>
      </c>
      <c r="AE47" s="54">
        <f>IF(Tabla2[[#This Row],[Moneda]]="Soles",Tabla2[[#This Row],[Valor de Venta]]/Tabla2[[#This Row],[Área techada (m²)]]/Tabla2[[#This Row],[Tipo de Cambio]],Tabla2[[#This Row],[Valor de Venta]]/Tabla2[[#This Row],[Área techada (m²)]])</f>
        <v>976.62734818698118</v>
      </c>
      <c r="AF47" s="43" t="e">
        <f>_xlfn.XLOOKUP(Tabla2[[#This Row],[VISTA]],[1]!Table1[Clase],[1]!Table1[VUE (USD)],0,0,1)</f>
        <v>#REF!</v>
      </c>
      <c r="AG47" s="55" t="e">
        <f>+Tabla2[[#This Row],[Valor Comercial (S/.)]]/Tabla2[[#This Row],[Valor de Venta]]-1</f>
        <v>#REF!</v>
      </c>
    </row>
    <row r="48" spans="1:33" s="1" customFormat="1" ht="15" customHeight="1" x14ac:dyDescent="0.25">
      <c r="A48" s="60" t="s">
        <v>27</v>
      </c>
      <c r="B48" s="14">
        <v>505</v>
      </c>
      <c r="C48" s="11">
        <v>5</v>
      </c>
      <c r="D48" s="15"/>
      <c r="E48" s="15"/>
      <c r="F48" s="51">
        <f>ROUND(Tabla2[[#This Row],[Área ocupada (m²)]]/20*1.4,2)</f>
        <v>4.58</v>
      </c>
      <c r="G48" s="46">
        <v>65.400000000000006</v>
      </c>
      <c r="H48" s="46">
        <v>65.400000000000006</v>
      </c>
      <c r="I48" s="51">
        <f>ROUND(Tabla2[[#This Row],[Área techada (m²)]]*0.15,2)</f>
        <v>9.81</v>
      </c>
      <c r="J48" s="47" t="s">
        <v>30</v>
      </c>
      <c r="K48" s="48">
        <v>220550</v>
      </c>
      <c r="L48" s="51">
        <f>ROUND(Tabla2[[#This Row],[Área ocupada (m²)3]]/20*1.4,2)</f>
        <v>4.58</v>
      </c>
      <c r="M48" s="37">
        <f>ROUND(Tabla2[[#This Row],[Área ocupada (m²)]],2)</f>
        <v>65.400000000000006</v>
      </c>
      <c r="N48" s="37">
        <f>ROUND(Tabla2[[#This Row],[Área techada (m²)]],2)</f>
        <v>65.400000000000006</v>
      </c>
      <c r="O48" s="52">
        <f>ROUND(Tabla2[[#This Row],[Área techada (m²)4]]*0.15,2)</f>
        <v>9.81</v>
      </c>
      <c r="P48" s="52">
        <f>ROUND(Tabla2[[#This Row],[Área del terreno (m²)2]]*[1]DATA!$A$2,-2)</f>
        <v>3200</v>
      </c>
      <c r="Q48" s="38" t="e">
        <f>+Tabla2[[#This Row],[Valor Comercial (US$)]]-Tabla2[[#This Row],[Valor del terreno (US$)]]</f>
        <v>#REF!</v>
      </c>
      <c r="R4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8" s="53" t="e">
        <f>ROUND(Tabla2[[#This Row],[Valor Comercial (US$)]]*0.8,-2)</f>
        <v>#REF!</v>
      </c>
      <c r="T48" s="53">
        <f>IF($H$6=$G$5,R48,ROUND(Tabla2[[#This Row],[Área techada (m²)4]]*[1]DATA!$B$2*1.15,-2))</f>
        <v>33800</v>
      </c>
      <c r="U48" s="6">
        <f t="shared" si="0"/>
        <v>3.5</v>
      </c>
      <c r="V48" s="39">
        <f>ROUND(Tabla2[[#This Row],[Valor del terreno (US$)]]*Tabla2[[#This Row],[Tipo de Cambio]],-2)</f>
        <v>11200</v>
      </c>
      <c r="W48" s="39" t="e">
        <f>Tabla2[[#This Row],[Valor Comercial (S/.)]]-Tabla2[[#This Row],[Valor del terreno (S/.)]]</f>
        <v>#REF!</v>
      </c>
      <c r="X48" s="39" t="e">
        <f>ROUND(Tabla2[[#This Row],[Valor Comercial (US$)]]*Tabla2[[#This Row],[Tipo de Cambio]],-2)</f>
        <v>#REF!</v>
      </c>
      <c r="Y48" s="39" t="e">
        <f>ROUND(Tabla2[[#This Row],[Valor Realización (US$)]]*Tabla2[[#This Row],[Tipo de Cambio]],-2)</f>
        <v>#REF!</v>
      </c>
      <c r="Z48" s="39">
        <f>+ROUND(Tabla2[[#This Row],[Importe Asegurable (US$)]]*Tabla2[[#This Row],[Tipo de Cambio]],-2)</f>
        <v>118300</v>
      </c>
      <c r="AA48" s="40"/>
      <c r="AB48" s="2" t="e">
        <f>+Tabla2[[#This Row],[Valor Comercial (US$)]]/Tabla2[[#This Row],[Área techada (m²)4]]</f>
        <v>#REF!</v>
      </c>
      <c r="AC4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8" s="61" t="s">
        <v>41</v>
      </c>
      <c r="AE48" s="54">
        <f>IF(Tabla2[[#This Row],[Moneda]]="Soles",Tabla2[[#This Row],[Valor de Venta]]/Tabla2[[#This Row],[Área techada (m²)]]/Tabla2[[#This Row],[Tipo de Cambio]],Tabla2[[#This Row],[Valor de Venta]]/Tabla2[[#This Row],[Área techada (m²)]])</f>
        <v>963.52118829183041</v>
      </c>
      <c r="AF48" s="43" t="e">
        <f>_xlfn.XLOOKUP(Tabla2[[#This Row],[VISTA]],[1]!Table1[Clase],[1]!Table1[VUE (USD)],0,0,1)</f>
        <v>#REF!</v>
      </c>
      <c r="AG48" s="55" t="e">
        <f>+Tabla2[[#This Row],[Valor Comercial (S/.)]]/Tabla2[[#This Row],[Valor de Venta]]-1</f>
        <v>#REF!</v>
      </c>
    </row>
    <row r="49" spans="1:33" s="1" customFormat="1" ht="15" customHeight="1" x14ac:dyDescent="0.25">
      <c r="A49" s="60" t="s">
        <v>27</v>
      </c>
      <c r="B49" s="14">
        <v>506</v>
      </c>
      <c r="C49" s="11">
        <v>5</v>
      </c>
      <c r="D49" s="15"/>
      <c r="E49" s="15"/>
      <c r="F49" s="51">
        <f>ROUND(Tabla2[[#This Row],[Área ocupada (m²)]]/20*1.4,2)</f>
        <v>4.38</v>
      </c>
      <c r="G49" s="46">
        <v>62.5</v>
      </c>
      <c r="H49" s="46">
        <v>62.5</v>
      </c>
      <c r="I49" s="51">
        <f>ROUND(Tabla2[[#This Row],[Área techada (m²)]]*0.15,2)</f>
        <v>9.3800000000000008</v>
      </c>
      <c r="J49" s="47" t="s">
        <v>30</v>
      </c>
      <c r="K49" s="48">
        <v>206750</v>
      </c>
      <c r="L49" s="51">
        <f>ROUND(Tabla2[[#This Row],[Área ocupada (m²)3]]/20*1.4,2)</f>
        <v>4.38</v>
      </c>
      <c r="M49" s="37">
        <f>ROUND(Tabla2[[#This Row],[Área ocupada (m²)]],2)</f>
        <v>62.5</v>
      </c>
      <c r="N49" s="37">
        <f>ROUND(Tabla2[[#This Row],[Área techada (m²)]],2)</f>
        <v>62.5</v>
      </c>
      <c r="O49" s="52">
        <f>ROUND(Tabla2[[#This Row],[Área techada (m²)4]]*0.15,2)</f>
        <v>9.3800000000000008</v>
      </c>
      <c r="P49" s="52">
        <f>ROUND(Tabla2[[#This Row],[Área del terreno (m²)2]]*[1]DATA!$A$2,-2)</f>
        <v>3100</v>
      </c>
      <c r="Q49" s="38" t="e">
        <f>+Tabla2[[#This Row],[Valor Comercial (US$)]]-Tabla2[[#This Row],[Valor del terreno (US$)]]</f>
        <v>#REF!</v>
      </c>
      <c r="R4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9" s="53" t="e">
        <f>ROUND(Tabla2[[#This Row],[Valor Comercial (US$)]]*0.8,-2)</f>
        <v>#REF!</v>
      </c>
      <c r="T49" s="53">
        <f>IF($H$6=$G$5,R49,ROUND(Tabla2[[#This Row],[Área techada (m²)4]]*[1]DATA!$B$2*1.15,-2))</f>
        <v>32300</v>
      </c>
      <c r="U49" s="6">
        <f t="shared" si="0"/>
        <v>3.5</v>
      </c>
      <c r="V49" s="39">
        <f>ROUND(Tabla2[[#This Row],[Valor del terreno (US$)]]*Tabla2[[#This Row],[Tipo de Cambio]],-2)</f>
        <v>10900</v>
      </c>
      <c r="W49" s="39" t="e">
        <f>Tabla2[[#This Row],[Valor Comercial (S/.)]]-Tabla2[[#This Row],[Valor del terreno (S/.)]]</f>
        <v>#REF!</v>
      </c>
      <c r="X49" s="39" t="e">
        <f>ROUND(Tabla2[[#This Row],[Valor Comercial (US$)]]*Tabla2[[#This Row],[Tipo de Cambio]],-2)</f>
        <v>#REF!</v>
      </c>
      <c r="Y49" s="39" t="e">
        <f>ROUND(Tabla2[[#This Row],[Valor Realización (US$)]]*Tabla2[[#This Row],[Tipo de Cambio]],-2)</f>
        <v>#REF!</v>
      </c>
      <c r="Z49" s="39">
        <f>+ROUND(Tabla2[[#This Row],[Importe Asegurable (US$)]]*Tabla2[[#This Row],[Tipo de Cambio]],-2)</f>
        <v>113100</v>
      </c>
      <c r="AA49" s="40"/>
      <c r="AB49" s="2" t="e">
        <f>+Tabla2[[#This Row],[Valor Comercial (US$)]]/Tabla2[[#This Row],[Área techada (m²)4]]</f>
        <v>#REF!</v>
      </c>
      <c r="AC4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9" s="61" t="s">
        <v>41</v>
      </c>
      <c r="AE49" s="54">
        <f>IF(Tabla2[[#This Row],[Moneda]]="Soles",Tabla2[[#This Row],[Valor de Venta]]/Tabla2[[#This Row],[Área techada (m²)]]/Tabla2[[#This Row],[Tipo de Cambio]],Tabla2[[#This Row],[Valor de Venta]]/Tabla2[[#This Row],[Área techada (m²)]])</f>
        <v>945.14285714285711</v>
      </c>
      <c r="AF49" s="43" t="e">
        <f>_xlfn.XLOOKUP(Tabla2[[#This Row],[VISTA]],[1]!Table1[Clase],[1]!Table1[VUE (USD)],0,0,1)</f>
        <v>#REF!</v>
      </c>
      <c r="AG49" s="55" t="e">
        <f>+Tabla2[[#This Row],[Valor Comercial (S/.)]]/Tabla2[[#This Row],[Valor de Venta]]-1</f>
        <v>#REF!</v>
      </c>
    </row>
    <row r="50" spans="1:33" s="1" customFormat="1" ht="15" customHeight="1" x14ac:dyDescent="0.25">
      <c r="A50" s="60" t="s">
        <v>27</v>
      </c>
      <c r="B50" s="14">
        <v>507</v>
      </c>
      <c r="C50" s="11">
        <v>5</v>
      </c>
      <c r="D50" s="15"/>
      <c r="E50" s="15"/>
      <c r="F50" s="51">
        <f>ROUND(Tabla2[[#This Row],[Área ocupada (m²)]]/20*1.4,2)</f>
        <v>4.38</v>
      </c>
      <c r="G50" s="46">
        <v>62.5</v>
      </c>
      <c r="H50" s="46">
        <v>62.5</v>
      </c>
      <c r="I50" s="51">
        <f>ROUND(Tabla2[[#This Row],[Área techada (m²)]]*0.15,2)</f>
        <v>9.3800000000000008</v>
      </c>
      <c r="J50" s="47" t="s">
        <v>30</v>
      </c>
      <c r="K50" s="48">
        <v>196750</v>
      </c>
      <c r="L50" s="51">
        <f>ROUND(Tabla2[[#This Row],[Área ocupada (m²)3]]/20*1.4,2)</f>
        <v>4.38</v>
      </c>
      <c r="M50" s="37">
        <f>ROUND(Tabla2[[#This Row],[Área ocupada (m²)]],2)</f>
        <v>62.5</v>
      </c>
      <c r="N50" s="37">
        <f>ROUND(Tabla2[[#This Row],[Área techada (m²)]],2)</f>
        <v>62.5</v>
      </c>
      <c r="O50" s="52">
        <f>ROUND(Tabla2[[#This Row],[Área techada (m²)4]]*0.15,2)</f>
        <v>9.3800000000000008</v>
      </c>
      <c r="P50" s="52">
        <f>ROUND(Tabla2[[#This Row],[Área del terreno (m²)2]]*[1]DATA!$A$2,-2)</f>
        <v>3100</v>
      </c>
      <c r="Q50" s="38" t="e">
        <f>+Tabla2[[#This Row],[Valor Comercial (US$)]]-Tabla2[[#This Row],[Valor del terreno (US$)]]</f>
        <v>#REF!</v>
      </c>
      <c r="R5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0" s="53" t="e">
        <f>ROUND(Tabla2[[#This Row],[Valor Comercial (US$)]]*0.8,-2)</f>
        <v>#REF!</v>
      </c>
      <c r="T50" s="53">
        <f>IF($H$6=$G$5,R50,ROUND(Tabla2[[#This Row],[Área techada (m²)4]]*[1]DATA!$B$2*1.15,-2))</f>
        <v>32300</v>
      </c>
      <c r="U50" s="6">
        <f t="shared" si="0"/>
        <v>3.5</v>
      </c>
      <c r="V50" s="39">
        <f>ROUND(Tabla2[[#This Row],[Valor del terreno (US$)]]*Tabla2[[#This Row],[Tipo de Cambio]],-2)</f>
        <v>10900</v>
      </c>
      <c r="W50" s="39" t="e">
        <f>Tabla2[[#This Row],[Valor Comercial (S/.)]]-Tabla2[[#This Row],[Valor del terreno (S/.)]]</f>
        <v>#REF!</v>
      </c>
      <c r="X50" s="39" t="e">
        <f>ROUND(Tabla2[[#This Row],[Valor Comercial (US$)]]*Tabla2[[#This Row],[Tipo de Cambio]],-2)</f>
        <v>#REF!</v>
      </c>
      <c r="Y50" s="39" t="e">
        <f>ROUND(Tabla2[[#This Row],[Valor Realización (US$)]]*Tabla2[[#This Row],[Tipo de Cambio]],-2)</f>
        <v>#REF!</v>
      </c>
      <c r="Z50" s="39">
        <f>+ROUND(Tabla2[[#This Row],[Importe Asegurable (US$)]]*Tabla2[[#This Row],[Tipo de Cambio]],-2)</f>
        <v>113100</v>
      </c>
      <c r="AA50" s="40"/>
      <c r="AB50" s="2" t="e">
        <f>+Tabla2[[#This Row],[Valor Comercial (US$)]]/Tabla2[[#This Row],[Área techada (m²)4]]</f>
        <v>#REF!</v>
      </c>
      <c r="AC5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0" s="61" t="s">
        <v>42</v>
      </c>
      <c r="AE50" s="54">
        <f>IF(Tabla2[[#This Row],[Moneda]]="Soles",Tabla2[[#This Row],[Valor de Venta]]/Tabla2[[#This Row],[Área techada (m²)]]/Tabla2[[#This Row],[Tipo de Cambio]],Tabla2[[#This Row],[Valor de Venta]]/Tabla2[[#This Row],[Área techada (m²)]])</f>
        <v>899.42857142857144</v>
      </c>
      <c r="AF50" s="43" t="e">
        <f>_xlfn.XLOOKUP(Tabla2[[#This Row],[VISTA]],[1]!Table1[Clase],[1]!Table1[VUE (USD)],0,0,1)</f>
        <v>#REF!</v>
      </c>
      <c r="AG50" s="55" t="e">
        <f>+Tabla2[[#This Row],[Valor Comercial (S/.)]]/Tabla2[[#This Row],[Valor de Venta]]-1</f>
        <v>#REF!</v>
      </c>
    </row>
    <row r="51" spans="1:33" s="1" customFormat="1" ht="15" customHeight="1" x14ac:dyDescent="0.25">
      <c r="A51" s="60" t="s">
        <v>27</v>
      </c>
      <c r="B51" s="14">
        <v>508</v>
      </c>
      <c r="C51" s="11">
        <v>5</v>
      </c>
      <c r="D51" s="15"/>
      <c r="E51" s="15"/>
      <c r="F51" s="51">
        <f>ROUND(Tabla2[[#This Row],[Área ocupada (m²)]]/20*1.4,2)</f>
        <v>4.58</v>
      </c>
      <c r="G51" s="46">
        <v>65.400000000000006</v>
      </c>
      <c r="H51" s="46">
        <v>65.400000000000006</v>
      </c>
      <c r="I51" s="51">
        <f>ROUND(Tabla2[[#This Row],[Área techada (m²)]]*0.15,2)</f>
        <v>9.81</v>
      </c>
      <c r="J51" s="47" t="s">
        <v>30</v>
      </c>
      <c r="K51" s="48">
        <v>219550</v>
      </c>
      <c r="L51" s="51">
        <f>ROUND(Tabla2[[#This Row],[Área ocupada (m²)3]]/20*1.4,2)</f>
        <v>4.58</v>
      </c>
      <c r="M51" s="37">
        <f>ROUND(Tabla2[[#This Row],[Área ocupada (m²)]],2)</f>
        <v>65.400000000000006</v>
      </c>
      <c r="N51" s="37">
        <f>ROUND(Tabla2[[#This Row],[Área techada (m²)]],2)</f>
        <v>65.400000000000006</v>
      </c>
      <c r="O51" s="52">
        <f>ROUND(Tabla2[[#This Row],[Área techada (m²)4]]*0.15,2)</f>
        <v>9.81</v>
      </c>
      <c r="P51" s="52">
        <f>ROUND(Tabla2[[#This Row],[Área del terreno (m²)2]]*[1]DATA!$A$2,-2)</f>
        <v>3200</v>
      </c>
      <c r="Q51" s="38" t="e">
        <f>+Tabla2[[#This Row],[Valor Comercial (US$)]]-Tabla2[[#This Row],[Valor del terreno (US$)]]</f>
        <v>#REF!</v>
      </c>
      <c r="R5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1" s="53" t="e">
        <f>ROUND(Tabla2[[#This Row],[Valor Comercial (US$)]]*0.8,-2)</f>
        <v>#REF!</v>
      </c>
      <c r="T51" s="53">
        <f>IF($H$6=$G$5,R51,ROUND(Tabla2[[#This Row],[Área techada (m²)4]]*[1]DATA!$B$2*1.15,-2))</f>
        <v>33800</v>
      </c>
      <c r="U51" s="6">
        <f t="shared" si="0"/>
        <v>3.5</v>
      </c>
      <c r="V51" s="39">
        <f>ROUND(Tabla2[[#This Row],[Valor del terreno (US$)]]*Tabla2[[#This Row],[Tipo de Cambio]],-2)</f>
        <v>11200</v>
      </c>
      <c r="W51" s="39" t="e">
        <f>Tabla2[[#This Row],[Valor Comercial (S/.)]]-Tabla2[[#This Row],[Valor del terreno (S/.)]]</f>
        <v>#REF!</v>
      </c>
      <c r="X51" s="39" t="e">
        <f>ROUND(Tabla2[[#This Row],[Valor Comercial (US$)]]*Tabla2[[#This Row],[Tipo de Cambio]],-2)</f>
        <v>#REF!</v>
      </c>
      <c r="Y51" s="39" t="e">
        <f>ROUND(Tabla2[[#This Row],[Valor Realización (US$)]]*Tabla2[[#This Row],[Tipo de Cambio]],-2)</f>
        <v>#REF!</v>
      </c>
      <c r="Z51" s="39">
        <f>+ROUND(Tabla2[[#This Row],[Importe Asegurable (US$)]]*Tabla2[[#This Row],[Tipo de Cambio]],-2)</f>
        <v>118300</v>
      </c>
      <c r="AA51" s="40"/>
      <c r="AB51" s="2" t="e">
        <f>+Tabla2[[#This Row],[Valor Comercial (US$)]]/Tabla2[[#This Row],[Área techada (m²)4]]</f>
        <v>#REF!</v>
      </c>
      <c r="AC5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1" s="61" t="s">
        <v>41</v>
      </c>
      <c r="AE51" s="54">
        <f>IF(Tabla2[[#This Row],[Moneda]]="Soles",Tabla2[[#This Row],[Valor de Venta]]/Tabla2[[#This Row],[Área techada (m²)]]/Tabla2[[#This Row],[Tipo de Cambio]],Tabla2[[#This Row],[Valor de Venta]]/Tabla2[[#This Row],[Área techada (m²)]])</f>
        <v>959.15246832678008</v>
      </c>
      <c r="AF51" s="43" t="e">
        <f>_xlfn.XLOOKUP(Tabla2[[#This Row],[VISTA]],[1]!Table1[Clase],[1]!Table1[VUE (USD)],0,0,1)</f>
        <v>#REF!</v>
      </c>
      <c r="AG51" s="55" t="e">
        <f>+Tabla2[[#This Row],[Valor Comercial (S/.)]]/Tabla2[[#This Row],[Valor de Venta]]-1</f>
        <v>#REF!</v>
      </c>
    </row>
    <row r="52" spans="1:33" s="1" customFormat="1" ht="15" customHeight="1" x14ac:dyDescent="0.25">
      <c r="A52" s="60" t="s">
        <v>27</v>
      </c>
      <c r="B52" s="14">
        <v>601</v>
      </c>
      <c r="C52" s="11">
        <v>6</v>
      </c>
      <c r="D52" s="15"/>
      <c r="E52" s="15"/>
      <c r="F52" s="51">
        <f>ROUND(Tabla2[[#This Row],[Área ocupada (m²)]]/20*1.4,2)</f>
        <v>4.5599999999999996</v>
      </c>
      <c r="G52" s="46">
        <v>65.2</v>
      </c>
      <c r="H52" s="46">
        <v>65.2</v>
      </c>
      <c r="I52" s="51">
        <f>ROUND(Tabla2[[#This Row],[Área techada (m²)]]*0.15,2)</f>
        <v>9.7799999999999994</v>
      </c>
      <c r="J52" s="47" t="s">
        <v>30</v>
      </c>
      <c r="K52" s="48">
        <v>206850</v>
      </c>
      <c r="L52" s="51">
        <f>ROUND(Tabla2[[#This Row],[Área ocupada (m²)3]]/20*1.4,2)</f>
        <v>4.5599999999999996</v>
      </c>
      <c r="M52" s="37">
        <f>ROUND(Tabla2[[#This Row],[Área ocupada (m²)]],2)</f>
        <v>65.2</v>
      </c>
      <c r="N52" s="37">
        <f>ROUND(Tabla2[[#This Row],[Área techada (m²)]],2)</f>
        <v>65.2</v>
      </c>
      <c r="O52" s="52">
        <f>ROUND(Tabla2[[#This Row],[Área techada (m²)4]]*0.15,2)</f>
        <v>9.7799999999999994</v>
      </c>
      <c r="P52" s="52">
        <f>ROUND(Tabla2[[#This Row],[Área del terreno (m²)2]]*[1]DATA!$A$2,-2)</f>
        <v>3200</v>
      </c>
      <c r="Q52" s="38" t="e">
        <f>+Tabla2[[#This Row],[Valor Comercial (US$)]]-Tabla2[[#This Row],[Valor del terreno (US$)]]</f>
        <v>#REF!</v>
      </c>
      <c r="R5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2" s="53" t="e">
        <f>ROUND(Tabla2[[#This Row],[Valor Comercial (US$)]]*0.8,-2)</f>
        <v>#REF!</v>
      </c>
      <c r="T52" s="53">
        <f>IF($H$6=$G$5,R52,ROUND(Tabla2[[#This Row],[Área techada (m²)4]]*[1]DATA!$B$2*1.15,-2))</f>
        <v>33700</v>
      </c>
      <c r="U52" s="6">
        <f t="shared" si="0"/>
        <v>3.5</v>
      </c>
      <c r="V52" s="39">
        <f>ROUND(Tabla2[[#This Row],[Valor del terreno (US$)]]*Tabla2[[#This Row],[Tipo de Cambio]],-2)</f>
        <v>11200</v>
      </c>
      <c r="W52" s="39" t="e">
        <f>Tabla2[[#This Row],[Valor Comercial (S/.)]]-Tabla2[[#This Row],[Valor del terreno (S/.)]]</f>
        <v>#REF!</v>
      </c>
      <c r="X52" s="39" t="e">
        <f>ROUND(Tabla2[[#This Row],[Valor Comercial (US$)]]*Tabla2[[#This Row],[Tipo de Cambio]],-2)</f>
        <v>#REF!</v>
      </c>
      <c r="Y52" s="39" t="e">
        <f>ROUND(Tabla2[[#This Row],[Valor Realización (US$)]]*Tabla2[[#This Row],[Tipo de Cambio]],-2)</f>
        <v>#REF!</v>
      </c>
      <c r="Z52" s="39">
        <f>+ROUND(Tabla2[[#This Row],[Importe Asegurable (US$)]]*Tabla2[[#This Row],[Tipo de Cambio]],-2)</f>
        <v>118000</v>
      </c>
      <c r="AA52" s="40"/>
      <c r="AB52" s="2" t="e">
        <f>+Tabla2[[#This Row],[Valor Comercial (US$)]]/Tabla2[[#This Row],[Área techada (m²)4]]</f>
        <v>#REF!</v>
      </c>
      <c r="AC5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2" s="61" t="s">
        <v>42</v>
      </c>
      <c r="AE52" s="54">
        <f>IF(Tabla2[[#This Row],[Moneda]]="Soles",Tabla2[[#This Row],[Valor de Venta]]/Tabla2[[#This Row],[Área techada (m²)]]/Tabla2[[#This Row],[Tipo de Cambio]],Tabla2[[#This Row],[Valor de Venta]]/Tabla2[[#This Row],[Área techada (m²)]])</f>
        <v>906.44171779141107</v>
      </c>
      <c r="AF52" s="43" t="e">
        <f>_xlfn.XLOOKUP(Tabla2[[#This Row],[VISTA]],[1]!Table1[Clase],[1]!Table1[VUE (USD)],0,0,1)</f>
        <v>#REF!</v>
      </c>
      <c r="AG52" s="55" t="e">
        <f>+Tabla2[[#This Row],[Valor Comercial (S/.)]]/Tabla2[[#This Row],[Valor de Venta]]-1</f>
        <v>#REF!</v>
      </c>
    </row>
    <row r="53" spans="1:33" s="1" customFormat="1" ht="15" customHeight="1" x14ac:dyDescent="0.25">
      <c r="A53" s="60" t="s">
        <v>27</v>
      </c>
      <c r="B53" s="14">
        <v>602</v>
      </c>
      <c r="C53" s="11">
        <v>6</v>
      </c>
      <c r="D53" s="15"/>
      <c r="E53" s="15"/>
      <c r="F53" s="51">
        <f>ROUND(Tabla2[[#This Row],[Área ocupada (m²)]]/20*1.4,2)</f>
        <v>4.38</v>
      </c>
      <c r="G53" s="46">
        <v>62.5</v>
      </c>
      <c r="H53" s="46">
        <v>62.5</v>
      </c>
      <c r="I53" s="51">
        <f>ROUND(Tabla2[[#This Row],[Área techada (m²)]]*0.15,2)</f>
        <v>9.3800000000000008</v>
      </c>
      <c r="J53" s="47" t="s">
        <v>30</v>
      </c>
      <c r="K53" s="48">
        <v>191750</v>
      </c>
      <c r="L53" s="51">
        <f>ROUND(Tabla2[[#This Row],[Área ocupada (m²)3]]/20*1.4,2)</f>
        <v>4.38</v>
      </c>
      <c r="M53" s="37">
        <f>ROUND(Tabla2[[#This Row],[Área ocupada (m²)]],2)</f>
        <v>62.5</v>
      </c>
      <c r="N53" s="37">
        <f>ROUND(Tabla2[[#This Row],[Área techada (m²)]],2)</f>
        <v>62.5</v>
      </c>
      <c r="O53" s="52">
        <f>ROUND(Tabla2[[#This Row],[Área techada (m²)4]]*0.15,2)</f>
        <v>9.3800000000000008</v>
      </c>
      <c r="P53" s="52">
        <f>ROUND(Tabla2[[#This Row],[Área del terreno (m²)2]]*[1]DATA!$A$2,-2)</f>
        <v>3100</v>
      </c>
      <c r="Q53" s="38" t="e">
        <f>+Tabla2[[#This Row],[Valor Comercial (US$)]]-Tabla2[[#This Row],[Valor del terreno (US$)]]</f>
        <v>#REF!</v>
      </c>
      <c r="R5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3" s="53" t="e">
        <f>ROUND(Tabla2[[#This Row],[Valor Comercial (US$)]]*0.8,-2)</f>
        <v>#REF!</v>
      </c>
      <c r="T53" s="53">
        <f>IF($H$6=$G$5,R53,ROUND(Tabla2[[#This Row],[Área techada (m²)4]]*[1]DATA!$B$2*1.15,-2))</f>
        <v>32300</v>
      </c>
      <c r="U53" s="6">
        <f t="shared" si="0"/>
        <v>3.5</v>
      </c>
      <c r="V53" s="39">
        <f>ROUND(Tabla2[[#This Row],[Valor del terreno (US$)]]*Tabla2[[#This Row],[Tipo de Cambio]],-2)</f>
        <v>10900</v>
      </c>
      <c r="W53" s="39" t="e">
        <f>Tabla2[[#This Row],[Valor Comercial (S/.)]]-Tabla2[[#This Row],[Valor del terreno (S/.)]]</f>
        <v>#REF!</v>
      </c>
      <c r="X53" s="39" t="e">
        <f>ROUND(Tabla2[[#This Row],[Valor Comercial (US$)]]*Tabla2[[#This Row],[Tipo de Cambio]],-2)</f>
        <v>#REF!</v>
      </c>
      <c r="Y53" s="39" t="e">
        <f>ROUND(Tabla2[[#This Row],[Valor Realización (US$)]]*Tabla2[[#This Row],[Tipo de Cambio]],-2)</f>
        <v>#REF!</v>
      </c>
      <c r="Z53" s="39">
        <f>+ROUND(Tabla2[[#This Row],[Importe Asegurable (US$)]]*Tabla2[[#This Row],[Tipo de Cambio]],-2)</f>
        <v>113100</v>
      </c>
      <c r="AA53" s="40"/>
      <c r="AB53" s="2" t="e">
        <f>+Tabla2[[#This Row],[Valor Comercial (US$)]]/Tabla2[[#This Row],[Área techada (m²)4]]</f>
        <v>#REF!</v>
      </c>
      <c r="AC5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3" s="61" t="s">
        <v>43</v>
      </c>
      <c r="AE53" s="54">
        <f>IF(Tabla2[[#This Row],[Moneda]]="Soles",Tabla2[[#This Row],[Valor de Venta]]/Tabla2[[#This Row],[Área techada (m²)]]/Tabla2[[#This Row],[Tipo de Cambio]],Tabla2[[#This Row],[Valor de Venta]]/Tabla2[[#This Row],[Área techada (m²)]])</f>
        <v>876.57142857142856</v>
      </c>
      <c r="AF53" s="43" t="e">
        <f>_xlfn.XLOOKUP(Tabla2[[#This Row],[VISTA]],[1]!Table1[Clase],[1]!Table1[VUE (USD)],0,0,1)</f>
        <v>#REF!</v>
      </c>
      <c r="AG53" s="55" t="e">
        <f>+Tabla2[[#This Row],[Valor Comercial (S/.)]]/Tabla2[[#This Row],[Valor de Venta]]-1</f>
        <v>#REF!</v>
      </c>
    </row>
    <row r="54" spans="1:33" s="1" customFormat="1" ht="15" customHeight="1" x14ac:dyDescent="0.25">
      <c r="A54" s="60" t="s">
        <v>27</v>
      </c>
      <c r="B54" s="14">
        <v>603</v>
      </c>
      <c r="C54" s="11">
        <v>6</v>
      </c>
      <c r="D54" s="15"/>
      <c r="E54" s="15"/>
      <c r="F54" s="51">
        <f>ROUND(Tabla2[[#This Row],[Área ocupada (m²)]]/20*1.4,2)</f>
        <v>4.38</v>
      </c>
      <c r="G54" s="46">
        <v>62.5</v>
      </c>
      <c r="H54" s="46">
        <v>62.5</v>
      </c>
      <c r="I54" s="51">
        <f>ROUND(Tabla2[[#This Row],[Área techada (m²)]]*0.15,2)</f>
        <v>9.3800000000000008</v>
      </c>
      <c r="J54" s="47" t="s">
        <v>30</v>
      </c>
      <c r="K54" s="48">
        <v>201750</v>
      </c>
      <c r="L54" s="51">
        <f>ROUND(Tabla2[[#This Row],[Área ocupada (m²)3]]/20*1.4,2)</f>
        <v>4.38</v>
      </c>
      <c r="M54" s="37">
        <f>ROUND(Tabla2[[#This Row],[Área ocupada (m²)]],2)</f>
        <v>62.5</v>
      </c>
      <c r="N54" s="37">
        <f>ROUND(Tabla2[[#This Row],[Área techada (m²)]],2)</f>
        <v>62.5</v>
      </c>
      <c r="O54" s="52">
        <f>ROUND(Tabla2[[#This Row],[Área techada (m²)4]]*0.15,2)</f>
        <v>9.3800000000000008</v>
      </c>
      <c r="P54" s="52">
        <f>ROUND(Tabla2[[#This Row],[Área del terreno (m²)2]]*[1]DATA!$A$2,-2)</f>
        <v>3100</v>
      </c>
      <c r="Q54" s="38" t="e">
        <f>+Tabla2[[#This Row],[Valor Comercial (US$)]]-Tabla2[[#This Row],[Valor del terreno (US$)]]</f>
        <v>#REF!</v>
      </c>
      <c r="R5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4" s="53" t="e">
        <f>ROUND(Tabla2[[#This Row],[Valor Comercial (US$)]]*0.8,-2)</f>
        <v>#REF!</v>
      </c>
      <c r="T54" s="53">
        <f>IF($H$6=$G$5,R54,ROUND(Tabla2[[#This Row],[Área techada (m²)4]]*[1]DATA!$B$2*1.15,-2))</f>
        <v>32300</v>
      </c>
      <c r="U54" s="6">
        <f t="shared" si="0"/>
        <v>3.5</v>
      </c>
      <c r="V54" s="39">
        <f>ROUND(Tabla2[[#This Row],[Valor del terreno (US$)]]*Tabla2[[#This Row],[Tipo de Cambio]],-2)</f>
        <v>10900</v>
      </c>
      <c r="W54" s="39" t="e">
        <f>Tabla2[[#This Row],[Valor Comercial (S/.)]]-Tabla2[[#This Row],[Valor del terreno (S/.)]]</f>
        <v>#REF!</v>
      </c>
      <c r="X54" s="39" t="e">
        <f>ROUND(Tabla2[[#This Row],[Valor Comercial (US$)]]*Tabla2[[#This Row],[Tipo de Cambio]],-2)</f>
        <v>#REF!</v>
      </c>
      <c r="Y54" s="39" t="e">
        <f>ROUND(Tabla2[[#This Row],[Valor Realización (US$)]]*Tabla2[[#This Row],[Tipo de Cambio]],-2)</f>
        <v>#REF!</v>
      </c>
      <c r="Z54" s="39">
        <f>+ROUND(Tabla2[[#This Row],[Importe Asegurable (US$)]]*Tabla2[[#This Row],[Tipo de Cambio]],-2)</f>
        <v>113100</v>
      </c>
      <c r="AA54" s="40"/>
      <c r="AB54" s="2" t="e">
        <f>+Tabla2[[#This Row],[Valor Comercial (US$)]]/Tabla2[[#This Row],[Área techada (m²)4]]</f>
        <v>#REF!</v>
      </c>
      <c r="AC5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4" s="61" t="s">
        <v>42</v>
      </c>
      <c r="AE54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54" s="43" t="e">
        <f>_xlfn.XLOOKUP(Tabla2[[#This Row],[VISTA]],[1]!Table1[Clase],[1]!Table1[VUE (USD)],0,0,1)</f>
        <v>#REF!</v>
      </c>
      <c r="AG54" s="55" t="e">
        <f>+Tabla2[[#This Row],[Valor Comercial (S/.)]]/Tabla2[[#This Row],[Valor de Venta]]-1</f>
        <v>#REF!</v>
      </c>
    </row>
    <row r="55" spans="1:33" s="1" customFormat="1" ht="15" customHeight="1" x14ac:dyDescent="0.25">
      <c r="A55" s="60" t="s">
        <v>27</v>
      </c>
      <c r="B55" s="14">
        <v>604</v>
      </c>
      <c r="C55" s="11">
        <v>6</v>
      </c>
      <c r="D55" s="15"/>
      <c r="E55" s="15"/>
      <c r="F55" s="51">
        <f>ROUND(Tabla2[[#This Row],[Área ocupada (m²)]]/20*1.4,2)</f>
        <v>4.5599999999999996</v>
      </c>
      <c r="G55" s="46">
        <v>65.2</v>
      </c>
      <c r="H55" s="46">
        <v>65.2</v>
      </c>
      <c r="I55" s="51">
        <f>ROUND(Tabla2[[#This Row],[Área techada (m²)]]*0.15,2)</f>
        <v>9.7799999999999994</v>
      </c>
      <c r="J55" s="47" t="s">
        <v>30</v>
      </c>
      <c r="K55" s="48">
        <v>220850</v>
      </c>
      <c r="L55" s="51">
        <f>ROUND(Tabla2[[#This Row],[Área ocupada (m²)3]]/20*1.4,2)</f>
        <v>4.5599999999999996</v>
      </c>
      <c r="M55" s="37">
        <f>ROUND(Tabla2[[#This Row],[Área ocupada (m²)]],2)</f>
        <v>65.2</v>
      </c>
      <c r="N55" s="37">
        <f>ROUND(Tabla2[[#This Row],[Área techada (m²)]],2)</f>
        <v>65.2</v>
      </c>
      <c r="O55" s="52">
        <f>ROUND(Tabla2[[#This Row],[Área techada (m²)4]]*0.15,2)</f>
        <v>9.7799999999999994</v>
      </c>
      <c r="P55" s="52">
        <f>ROUND(Tabla2[[#This Row],[Área del terreno (m²)2]]*[1]DATA!$A$2,-2)</f>
        <v>3200</v>
      </c>
      <c r="Q55" s="38" t="e">
        <f>+Tabla2[[#This Row],[Valor Comercial (US$)]]-Tabla2[[#This Row],[Valor del terreno (US$)]]</f>
        <v>#REF!</v>
      </c>
      <c r="R5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5" s="53" t="e">
        <f>ROUND(Tabla2[[#This Row],[Valor Comercial (US$)]]*0.8,-2)</f>
        <v>#REF!</v>
      </c>
      <c r="T55" s="53">
        <f>IF($H$6=$G$5,R55,ROUND(Tabla2[[#This Row],[Área techada (m²)4]]*[1]DATA!$B$2*1.15,-2))</f>
        <v>33700</v>
      </c>
      <c r="U55" s="6">
        <f t="shared" si="0"/>
        <v>3.5</v>
      </c>
      <c r="V55" s="39">
        <f>ROUND(Tabla2[[#This Row],[Valor del terreno (US$)]]*Tabla2[[#This Row],[Tipo de Cambio]],-2)</f>
        <v>11200</v>
      </c>
      <c r="W55" s="39" t="e">
        <f>Tabla2[[#This Row],[Valor Comercial (S/.)]]-Tabla2[[#This Row],[Valor del terreno (S/.)]]</f>
        <v>#REF!</v>
      </c>
      <c r="X55" s="39" t="e">
        <f>ROUND(Tabla2[[#This Row],[Valor Comercial (US$)]]*Tabla2[[#This Row],[Tipo de Cambio]],-2)</f>
        <v>#REF!</v>
      </c>
      <c r="Y55" s="39" t="e">
        <f>ROUND(Tabla2[[#This Row],[Valor Realización (US$)]]*Tabla2[[#This Row],[Tipo de Cambio]],-2)</f>
        <v>#REF!</v>
      </c>
      <c r="Z55" s="39">
        <f>+ROUND(Tabla2[[#This Row],[Importe Asegurable (US$)]]*Tabla2[[#This Row],[Tipo de Cambio]],-2)</f>
        <v>118000</v>
      </c>
      <c r="AA55" s="40"/>
      <c r="AB55" s="2" t="e">
        <f>+Tabla2[[#This Row],[Valor Comercial (US$)]]/Tabla2[[#This Row],[Área techada (m²)4]]</f>
        <v>#REF!</v>
      </c>
      <c r="AC5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5" s="61" t="s">
        <v>41</v>
      </c>
      <c r="AE55" s="54">
        <f>IF(Tabla2[[#This Row],[Moneda]]="Soles",Tabla2[[#This Row],[Valor de Venta]]/Tabla2[[#This Row],[Área techada (m²)]]/Tabla2[[#This Row],[Tipo de Cambio]],Tabla2[[#This Row],[Valor de Venta]]/Tabla2[[#This Row],[Área techada (m²)]])</f>
        <v>967.79141104294479</v>
      </c>
      <c r="AF55" s="43" t="e">
        <f>_xlfn.XLOOKUP(Tabla2[[#This Row],[VISTA]],[1]!Table1[Clase],[1]!Table1[VUE (USD)],0,0,1)</f>
        <v>#REF!</v>
      </c>
      <c r="AG55" s="55" t="e">
        <f>+Tabla2[[#This Row],[Valor Comercial (S/.)]]/Tabla2[[#This Row],[Valor de Venta]]-1</f>
        <v>#REF!</v>
      </c>
    </row>
    <row r="56" spans="1:33" s="1" customFormat="1" ht="15" customHeight="1" x14ac:dyDescent="0.25">
      <c r="A56" s="60" t="s">
        <v>27</v>
      </c>
      <c r="B56" s="14">
        <v>605</v>
      </c>
      <c r="C56" s="11">
        <v>6</v>
      </c>
      <c r="D56" s="15"/>
      <c r="E56" s="15"/>
      <c r="F56" s="51">
        <f>ROUND(Tabla2[[#This Row],[Área ocupada (m²)]]/20*1.4,2)</f>
        <v>4.5599999999999996</v>
      </c>
      <c r="G56" s="46">
        <v>65.2</v>
      </c>
      <c r="H56" s="46">
        <v>65.2</v>
      </c>
      <c r="I56" s="51">
        <f>ROUND(Tabla2[[#This Row],[Área techada (m²)]]*0.15,2)</f>
        <v>9.7799999999999994</v>
      </c>
      <c r="J56" s="47" t="s">
        <v>30</v>
      </c>
      <c r="K56" s="48">
        <v>217850</v>
      </c>
      <c r="L56" s="51">
        <f>ROUND(Tabla2[[#This Row],[Área ocupada (m²)3]]/20*1.4,2)</f>
        <v>4.5599999999999996</v>
      </c>
      <c r="M56" s="37">
        <f>ROUND(Tabla2[[#This Row],[Área ocupada (m²)]],2)</f>
        <v>65.2</v>
      </c>
      <c r="N56" s="37">
        <f>ROUND(Tabla2[[#This Row],[Área techada (m²)]],2)</f>
        <v>65.2</v>
      </c>
      <c r="O56" s="52">
        <f>ROUND(Tabla2[[#This Row],[Área techada (m²)4]]*0.15,2)</f>
        <v>9.7799999999999994</v>
      </c>
      <c r="P56" s="52">
        <f>ROUND(Tabla2[[#This Row],[Área del terreno (m²)2]]*[1]DATA!$A$2,-2)</f>
        <v>3200</v>
      </c>
      <c r="Q56" s="38" t="e">
        <f>+Tabla2[[#This Row],[Valor Comercial (US$)]]-Tabla2[[#This Row],[Valor del terreno (US$)]]</f>
        <v>#REF!</v>
      </c>
      <c r="R5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6" s="53" t="e">
        <f>ROUND(Tabla2[[#This Row],[Valor Comercial (US$)]]*0.8,-2)</f>
        <v>#REF!</v>
      </c>
      <c r="T56" s="53">
        <f>IF($H$6=$G$5,R56,ROUND(Tabla2[[#This Row],[Área techada (m²)4]]*[1]DATA!$B$2*1.15,-2))</f>
        <v>33700</v>
      </c>
      <c r="U56" s="6">
        <f t="shared" si="0"/>
        <v>3.5</v>
      </c>
      <c r="V56" s="39">
        <f>ROUND(Tabla2[[#This Row],[Valor del terreno (US$)]]*Tabla2[[#This Row],[Tipo de Cambio]],-2)</f>
        <v>11200</v>
      </c>
      <c r="W56" s="39" t="e">
        <f>Tabla2[[#This Row],[Valor Comercial (S/.)]]-Tabla2[[#This Row],[Valor del terreno (S/.)]]</f>
        <v>#REF!</v>
      </c>
      <c r="X56" s="39" t="e">
        <f>ROUND(Tabla2[[#This Row],[Valor Comercial (US$)]]*Tabla2[[#This Row],[Tipo de Cambio]],-2)</f>
        <v>#REF!</v>
      </c>
      <c r="Y56" s="39" t="e">
        <f>ROUND(Tabla2[[#This Row],[Valor Realización (US$)]]*Tabla2[[#This Row],[Tipo de Cambio]],-2)</f>
        <v>#REF!</v>
      </c>
      <c r="Z56" s="39">
        <f>+ROUND(Tabla2[[#This Row],[Importe Asegurable (US$)]]*Tabla2[[#This Row],[Tipo de Cambio]],-2)</f>
        <v>118000</v>
      </c>
      <c r="AA56" s="40"/>
      <c r="AB56" s="2" t="e">
        <f>+Tabla2[[#This Row],[Valor Comercial (US$)]]/Tabla2[[#This Row],[Área techada (m²)4]]</f>
        <v>#REF!</v>
      </c>
      <c r="AC5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6" s="61" t="s">
        <v>41</v>
      </c>
      <c r="AE56" s="54">
        <f>IF(Tabla2[[#This Row],[Moneda]]="Soles",Tabla2[[#This Row],[Valor de Venta]]/Tabla2[[#This Row],[Área techada (m²)]]/Tabla2[[#This Row],[Tipo de Cambio]],Tabla2[[#This Row],[Valor de Venta]]/Tabla2[[#This Row],[Área techada (m²)]])</f>
        <v>954.64504820333036</v>
      </c>
      <c r="AF56" s="43" t="e">
        <f>_xlfn.XLOOKUP(Tabla2[[#This Row],[VISTA]],[1]!Table1[Clase],[1]!Table1[VUE (USD)],0,0,1)</f>
        <v>#REF!</v>
      </c>
      <c r="AG56" s="55" t="e">
        <f>+Tabla2[[#This Row],[Valor Comercial (S/.)]]/Tabla2[[#This Row],[Valor de Venta]]-1</f>
        <v>#REF!</v>
      </c>
    </row>
    <row r="57" spans="1:33" s="1" customFormat="1" ht="15" customHeight="1" x14ac:dyDescent="0.25">
      <c r="A57" s="60" t="s">
        <v>27</v>
      </c>
      <c r="B57" s="14">
        <v>606</v>
      </c>
      <c r="C57" s="11">
        <v>6</v>
      </c>
      <c r="D57" s="15"/>
      <c r="E57" s="15"/>
      <c r="F57" s="51">
        <f>ROUND(Tabla2[[#This Row],[Área ocupada (m²)]]/20*1.4,2)</f>
        <v>4.38</v>
      </c>
      <c r="G57" s="46">
        <v>62.5</v>
      </c>
      <c r="H57" s="46">
        <v>62.5</v>
      </c>
      <c r="I57" s="51">
        <f>ROUND(Tabla2[[#This Row],[Área techada (m²)]]*0.15,2)</f>
        <v>9.3800000000000008</v>
      </c>
      <c r="J57" s="47" t="s">
        <v>30</v>
      </c>
      <c r="K57" s="48">
        <v>204750</v>
      </c>
      <c r="L57" s="51">
        <f>ROUND(Tabla2[[#This Row],[Área ocupada (m²)3]]/20*1.4,2)</f>
        <v>4.38</v>
      </c>
      <c r="M57" s="37">
        <f>ROUND(Tabla2[[#This Row],[Área ocupada (m²)]],2)</f>
        <v>62.5</v>
      </c>
      <c r="N57" s="37">
        <f>ROUND(Tabla2[[#This Row],[Área techada (m²)]],2)</f>
        <v>62.5</v>
      </c>
      <c r="O57" s="52">
        <f>ROUND(Tabla2[[#This Row],[Área techada (m²)4]]*0.15,2)</f>
        <v>9.3800000000000008</v>
      </c>
      <c r="P57" s="52">
        <f>ROUND(Tabla2[[#This Row],[Área del terreno (m²)2]]*[1]DATA!$A$2,-2)</f>
        <v>3100</v>
      </c>
      <c r="Q57" s="38" t="e">
        <f>+Tabla2[[#This Row],[Valor Comercial (US$)]]-Tabla2[[#This Row],[Valor del terreno (US$)]]</f>
        <v>#REF!</v>
      </c>
      <c r="R5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7" s="53" t="e">
        <f>ROUND(Tabla2[[#This Row],[Valor Comercial (US$)]]*0.8,-2)</f>
        <v>#REF!</v>
      </c>
      <c r="T57" s="53">
        <f>IF($H$6=$G$5,R57,ROUND(Tabla2[[#This Row],[Área techada (m²)4]]*[1]DATA!$B$2*1.15,-2))</f>
        <v>32300</v>
      </c>
      <c r="U57" s="6">
        <f t="shared" si="0"/>
        <v>3.5</v>
      </c>
      <c r="V57" s="39">
        <f>ROUND(Tabla2[[#This Row],[Valor del terreno (US$)]]*Tabla2[[#This Row],[Tipo de Cambio]],-2)</f>
        <v>10900</v>
      </c>
      <c r="W57" s="39" t="e">
        <f>Tabla2[[#This Row],[Valor Comercial (S/.)]]-Tabla2[[#This Row],[Valor del terreno (S/.)]]</f>
        <v>#REF!</v>
      </c>
      <c r="X57" s="39" t="e">
        <f>ROUND(Tabla2[[#This Row],[Valor Comercial (US$)]]*Tabla2[[#This Row],[Tipo de Cambio]],-2)</f>
        <v>#REF!</v>
      </c>
      <c r="Y57" s="39" t="e">
        <f>ROUND(Tabla2[[#This Row],[Valor Realización (US$)]]*Tabla2[[#This Row],[Tipo de Cambio]],-2)</f>
        <v>#REF!</v>
      </c>
      <c r="Z57" s="39">
        <f>+ROUND(Tabla2[[#This Row],[Importe Asegurable (US$)]]*Tabla2[[#This Row],[Tipo de Cambio]],-2)</f>
        <v>113100</v>
      </c>
      <c r="AA57" s="40"/>
      <c r="AB57" s="2" t="e">
        <f>+Tabla2[[#This Row],[Valor Comercial (US$)]]/Tabla2[[#This Row],[Área techada (m²)4]]</f>
        <v>#REF!</v>
      </c>
      <c r="AC5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7" s="61" t="s">
        <v>41</v>
      </c>
      <c r="AE57" s="54">
        <f>IF(Tabla2[[#This Row],[Moneda]]="Soles",Tabla2[[#This Row],[Valor de Venta]]/Tabla2[[#This Row],[Área techada (m²)]]/Tabla2[[#This Row],[Tipo de Cambio]],Tabla2[[#This Row],[Valor de Venta]]/Tabla2[[#This Row],[Área techada (m²)]])</f>
        <v>936</v>
      </c>
      <c r="AF57" s="43" t="e">
        <f>_xlfn.XLOOKUP(Tabla2[[#This Row],[VISTA]],[1]!Table1[Clase],[1]!Table1[VUE (USD)],0,0,1)</f>
        <v>#REF!</v>
      </c>
      <c r="AG57" s="55" t="e">
        <f>+Tabla2[[#This Row],[Valor Comercial (S/.)]]/Tabla2[[#This Row],[Valor de Venta]]-1</f>
        <v>#REF!</v>
      </c>
    </row>
    <row r="58" spans="1:33" s="1" customFormat="1" ht="15" customHeight="1" x14ac:dyDescent="0.25">
      <c r="A58" s="60" t="s">
        <v>27</v>
      </c>
      <c r="B58" s="14">
        <v>607</v>
      </c>
      <c r="C58" s="11">
        <v>6</v>
      </c>
      <c r="D58" s="15"/>
      <c r="E58" s="15"/>
      <c r="F58" s="51">
        <f>ROUND(Tabla2[[#This Row],[Área ocupada (m²)]]/20*1.4,2)</f>
        <v>4.38</v>
      </c>
      <c r="G58" s="46">
        <v>62.5</v>
      </c>
      <c r="H58" s="46">
        <v>62.5</v>
      </c>
      <c r="I58" s="51">
        <f>ROUND(Tabla2[[#This Row],[Área techada (m²)]]*0.15,2)</f>
        <v>9.3800000000000008</v>
      </c>
      <c r="J58" s="47" t="s">
        <v>30</v>
      </c>
      <c r="K58" s="48">
        <v>192750</v>
      </c>
      <c r="L58" s="51">
        <f>ROUND(Tabla2[[#This Row],[Área ocupada (m²)3]]/20*1.4,2)</f>
        <v>4.38</v>
      </c>
      <c r="M58" s="37">
        <f>ROUND(Tabla2[[#This Row],[Área ocupada (m²)]],2)</f>
        <v>62.5</v>
      </c>
      <c r="N58" s="37">
        <f>ROUND(Tabla2[[#This Row],[Área techada (m²)]],2)</f>
        <v>62.5</v>
      </c>
      <c r="O58" s="52">
        <f>ROUND(Tabla2[[#This Row],[Área techada (m²)4]]*0.15,2)</f>
        <v>9.3800000000000008</v>
      </c>
      <c r="P58" s="52">
        <f>ROUND(Tabla2[[#This Row],[Área del terreno (m²)2]]*[1]DATA!$A$2,-2)</f>
        <v>3100</v>
      </c>
      <c r="Q58" s="38" t="e">
        <f>+Tabla2[[#This Row],[Valor Comercial (US$)]]-Tabla2[[#This Row],[Valor del terreno (US$)]]</f>
        <v>#REF!</v>
      </c>
      <c r="R5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8" s="53" t="e">
        <f>ROUND(Tabla2[[#This Row],[Valor Comercial (US$)]]*0.8,-2)</f>
        <v>#REF!</v>
      </c>
      <c r="T58" s="53">
        <f>IF($H$6=$G$5,R58,ROUND(Tabla2[[#This Row],[Área techada (m²)4]]*[1]DATA!$B$2*1.15,-2))</f>
        <v>32300</v>
      </c>
      <c r="U58" s="6">
        <f t="shared" si="0"/>
        <v>3.5</v>
      </c>
      <c r="V58" s="39">
        <f>ROUND(Tabla2[[#This Row],[Valor del terreno (US$)]]*Tabla2[[#This Row],[Tipo de Cambio]],-2)</f>
        <v>10900</v>
      </c>
      <c r="W58" s="39" t="e">
        <f>Tabla2[[#This Row],[Valor Comercial (S/.)]]-Tabla2[[#This Row],[Valor del terreno (S/.)]]</f>
        <v>#REF!</v>
      </c>
      <c r="X58" s="39" t="e">
        <f>ROUND(Tabla2[[#This Row],[Valor Comercial (US$)]]*Tabla2[[#This Row],[Tipo de Cambio]],-2)</f>
        <v>#REF!</v>
      </c>
      <c r="Y58" s="39" t="e">
        <f>ROUND(Tabla2[[#This Row],[Valor Realización (US$)]]*Tabla2[[#This Row],[Tipo de Cambio]],-2)</f>
        <v>#REF!</v>
      </c>
      <c r="Z58" s="39">
        <f>+ROUND(Tabla2[[#This Row],[Importe Asegurable (US$)]]*Tabla2[[#This Row],[Tipo de Cambio]],-2)</f>
        <v>113100</v>
      </c>
      <c r="AA58" s="40"/>
      <c r="AB58" s="2" t="e">
        <f>+Tabla2[[#This Row],[Valor Comercial (US$)]]/Tabla2[[#This Row],[Área techada (m²)4]]</f>
        <v>#REF!</v>
      </c>
      <c r="AC5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8" s="61" t="s">
        <v>43</v>
      </c>
      <c r="AE58" s="54">
        <f>IF(Tabla2[[#This Row],[Moneda]]="Soles",Tabla2[[#This Row],[Valor de Venta]]/Tabla2[[#This Row],[Área techada (m²)]]/Tabla2[[#This Row],[Tipo de Cambio]],Tabla2[[#This Row],[Valor de Venta]]/Tabla2[[#This Row],[Área techada (m²)]])</f>
        <v>881.14285714285711</v>
      </c>
      <c r="AF58" s="43" t="e">
        <f>_xlfn.XLOOKUP(Tabla2[[#This Row],[VISTA]],[1]!Table1[Clase],[1]!Table1[VUE (USD)],0,0,1)</f>
        <v>#REF!</v>
      </c>
      <c r="AG58" s="55" t="e">
        <f>+Tabla2[[#This Row],[Valor Comercial (S/.)]]/Tabla2[[#This Row],[Valor de Venta]]-1</f>
        <v>#REF!</v>
      </c>
    </row>
    <row r="59" spans="1:33" s="1" customFormat="1" ht="15" customHeight="1" x14ac:dyDescent="0.25">
      <c r="A59" s="60" t="s">
        <v>27</v>
      </c>
      <c r="B59" s="14">
        <v>608</v>
      </c>
      <c r="C59" s="11">
        <v>6</v>
      </c>
      <c r="D59" s="15"/>
      <c r="E59" s="15"/>
      <c r="F59" s="51">
        <f>ROUND(Tabla2[[#This Row],[Área ocupada (m²)]]/20*1.4,2)</f>
        <v>4.5599999999999996</v>
      </c>
      <c r="G59" s="46">
        <v>65.2</v>
      </c>
      <c r="H59" s="46">
        <v>65.2</v>
      </c>
      <c r="I59" s="51">
        <f>ROUND(Tabla2[[#This Row],[Área techada (m²)]]*0.15,2)</f>
        <v>9.7799999999999994</v>
      </c>
      <c r="J59" s="47" t="s">
        <v>30</v>
      </c>
      <c r="K59" s="48">
        <v>216850</v>
      </c>
      <c r="L59" s="51">
        <f>ROUND(Tabla2[[#This Row],[Área ocupada (m²)3]]/20*1.4,2)</f>
        <v>4.5599999999999996</v>
      </c>
      <c r="M59" s="37">
        <f>ROUND(Tabla2[[#This Row],[Área ocupada (m²)]],2)</f>
        <v>65.2</v>
      </c>
      <c r="N59" s="37">
        <f>ROUND(Tabla2[[#This Row],[Área techada (m²)]],2)</f>
        <v>65.2</v>
      </c>
      <c r="O59" s="52">
        <f>ROUND(Tabla2[[#This Row],[Área techada (m²)4]]*0.15,2)</f>
        <v>9.7799999999999994</v>
      </c>
      <c r="P59" s="52">
        <f>ROUND(Tabla2[[#This Row],[Área del terreno (m²)2]]*[1]DATA!$A$2,-2)</f>
        <v>3200</v>
      </c>
      <c r="Q59" s="38" t="e">
        <f>+Tabla2[[#This Row],[Valor Comercial (US$)]]-Tabla2[[#This Row],[Valor del terreno (US$)]]</f>
        <v>#REF!</v>
      </c>
      <c r="R5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9" s="53" t="e">
        <f>ROUND(Tabla2[[#This Row],[Valor Comercial (US$)]]*0.8,-2)</f>
        <v>#REF!</v>
      </c>
      <c r="T59" s="53">
        <f>IF($H$6=$G$5,R59,ROUND(Tabla2[[#This Row],[Área techada (m²)4]]*[1]DATA!$B$2*1.15,-2))</f>
        <v>33700</v>
      </c>
      <c r="U59" s="6">
        <f t="shared" si="0"/>
        <v>3.5</v>
      </c>
      <c r="V59" s="39">
        <f>ROUND(Tabla2[[#This Row],[Valor del terreno (US$)]]*Tabla2[[#This Row],[Tipo de Cambio]],-2)</f>
        <v>11200</v>
      </c>
      <c r="W59" s="39" t="e">
        <f>Tabla2[[#This Row],[Valor Comercial (S/.)]]-Tabla2[[#This Row],[Valor del terreno (S/.)]]</f>
        <v>#REF!</v>
      </c>
      <c r="X59" s="39" t="e">
        <f>ROUND(Tabla2[[#This Row],[Valor Comercial (US$)]]*Tabla2[[#This Row],[Tipo de Cambio]],-2)</f>
        <v>#REF!</v>
      </c>
      <c r="Y59" s="39" t="e">
        <f>ROUND(Tabla2[[#This Row],[Valor Realización (US$)]]*Tabla2[[#This Row],[Tipo de Cambio]],-2)</f>
        <v>#REF!</v>
      </c>
      <c r="Z59" s="39">
        <f>+ROUND(Tabla2[[#This Row],[Importe Asegurable (US$)]]*Tabla2[[#This Row],[Tipo de Cambio]],-2)</f>
        <v>118000</v>
      </c>
      <c r="AA59" s="40"/>
      <c r="AB59" s="2" t="e">
        <f>+Tabla2[[#This Row],[Valor Comercial (US$)]]/Tabla2[[#This Row],[Área techada (m²)4]]</f>
        <v>#REF!</v>
      </c>
      <c r="AC5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9" s="61" t="s">
        <v>41</v>
      </c>
      <c r="AE59" s="54">
        <f>IF(Tabla2[[#This Row],[Moneda]]="Soles",Tabla2[[#This Row],[Valor de Venta]]/Tabla2[[#This Row],[Área techada (m²)]]/Tabla2[[#This Row],[Tipo de Cambio]],Tabla2[[#This Row],[Valor de Venta]]/Tabla2[[#This Row],[Área techada (m²)]])</f>
        <v>950.26292725679218</v>
      </c>
      <c r="AF59" s="43" t="e">
        <f>_xlfn.XLOOKUP(Tabla2[[#This Row],[VISTA]],[1]!Table1[Clase],[1]!Table1[VUE (USD)],0,0,1)</f>
        <v>#REF!</v>
      </c>
      <c r="AG59" s="55" t="e">
        <f>+Tabla2[[#This Row],[Valor Comercial (S/.)]]/Tabla2[[#This Row],[Valor de Venta]]-1</f>
        <v>#REF!</v>
      </c>
    </row>
    <row r="60" spans="1:33" s="1" customFormat="1" ht="15" customHeight="1" x14ac:dyDescent="0.25">
      <c r="A60" s="60" t="s">
        <v>27</v>
      </c>
      <c r="B60" s="14">
        <v>701</v>
      </c>
      <c r="C60" s="11">
        <v>7</v>
      </c>
      <c r="D60" s="15"/>
      <c r="E60" s="15"/>
      <c r="F60" s="51">
        <f>ROUND(Tabla2[[#This Row],[Área ocupada (m²)]]/20*1.4,2)</f>
        <v>4.5599999999999996</v>
      </c>
      <c r="G60" s="46">
        <v>65.2</v>
      </c>
      <c r="H60" s="46">
        <v>65.2</v>
      </c>
      <c r="I60" s="51">
        <f>ROUND(Tabla2[[#This Row],[Área techada (m²)]]*0.15,2)</f>
        <v>9.7799999999999994</v>
      </c>
      <c r="J60" s="47" t="s">
        <v>30</v>
      </c>
      <c r="K60" s="48">
        <v>205750</v>
      </c>
      <c r="L60" s="51">
        <f>ROUND(Tabla2[[#This Row],[Área ocupada (m²)3]]/20*1.4,2)</f>
        <v>4.5599999999999996</v>
      </c>
      <c r="M60" s="37">
        <f>ROUND(Tabla2[[#This Row],[Área ocupada (m²)]],2)</f>
        <v>65.2</v>
      </c>
      <c r="N60" s="37">
        <f>ROUND(Tabla2[[#This Row],[Área techada (m²)]],2)</f>
        <v>65.2</v>
      </c>
      <c r="O60" s="52">
        <f>ROUND(Tabla2[[#This Row],[Área techada (m²)4]]*0.15,2)</f>
        <v>9.7799999999999994</v>
      </c>
      <c r="P60" s="52">
        <f>ROUND(Tabla2[[#This Row],[Área del terreno (m²)2]]*[1]DATA!$A$2,-2)</f>
        <v>3200</v>
      </c>
      <c r="Q60" s="38" t="e">
        <f>+Tabla2[[#This Row],[Valor Comercial (US$)]]-Tabla2[[#This Row],[Valor del terreno (US$)]]</f>
        <v>#REF!</v>
      </c>
      <c r="R6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0" s="53" t="e">
        <f>ROUND(Tabla2[[#This Row],[Valor Comercial (US$)]]*0.8,-2)</f>
        <v>#REF!</v>
      </c>
      <c r="T60" s="53">
        <f>IF($H$6=$G$5,R60,ROUND(Tabla2[[#This Row],[Área techada (m²)4]]*[1]DATA!$B$2*1.15,-2))</f>
        <v>33700</v>
      </c>
      <c r="U60" s="6">
        <f t="shared" si="0"/>
        <v>3.5</v>
      </c>
      <c r="V60" s="39">
        <f>ROUND(Tabla2[[#This Row],[Valor del terreno (US$)]]*Tabla2[[#This Row],[Tipo de Cambio]],-2)</f>
        <v>11200</v>
      </c>
      <c r="W60" s="39" t="e">
        <f>Tabla2[[#This Row],[Valor Comercial (S/.)]]-Tabla2[[#This Row],[Valor del terreno (S/.)]]</f>
        <v>#REF!</v>
      </c>
      <c r="X60" s="39" t="e">
        <f>ROUND(Tabla2[[#This Row],[Valor Comercial (US$)]]*Tabla2[[#This Row],[Tipo de Cambio]],-2)</f>
        <v>#REF!</v>
      </c>
      <c r="Y60" s="39" t="e">
        <f>ROUND(Tabla2[[#This Row],[Valor Realización (US$)]]*Tabla2[[#This Row],[Tipo de Cambio]],-2)</f>
        <v>#REF!</v>
      </c>
      <c r="Z60" s="39">
        <f>+ROUND(Tabla2[[#This Row],[Importe Asegurable (US$)]]*Tabla2[[#This Row],[Tipo de Cambio]],-2)</f>
        <v>118000</v>
      </c>
      <c r="AA60" s="40"/>
      <c r="AB60" s="2" t="e">
        <f>+Tabla2[[#This Row],[Valor Comercial (US$)]]/Tabla2[[#This Row],[Área techada (m²)4]]</f>
        <v>#REF!</v>
      </c>
      <c r="AC6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0" s="61" t="s">
        <v>42</v>
      </c>
      <c r="AE60" s="54">
        <f>IF(Tabla2[[#This Row],[Moneda]]="Soles",Tabla2[[#This Row],[Valor de Venta]]/Tabla2[[#This Row],[Área techada (m²)]]/Tabla2[[#This Row],[Tipo de Cambio]],Tabla2[[#This Row],[Valor de Venta]]/Tabla2[[#This Row],[Área techada (m²)]])</f>
        <v>901.62138475021914</v>
      </c>
      <c r="AF60" s="43" t="e">
        <f>_xlfn.XLOOKUP(Tabla2[[#This Row],[VISTA]],[1]!Table1[Clase],[1]!Table1[VUE (USD)],0,0,1)</f>
        <v>#REF!</v>
      </c>
      <c r="AG60" s="55" t="e">
        <f>+Tabla2[[#This Row],[Valor Comercial (S/.)]]/Tabla2[[#This Row],[Valor de Venta]]-1</f>
        <v>#REF!</v>
      </c>
    </row>
    <row r="61" spans="1:33" s="1" customFormat="1" ht="15" customHeight="1" x14ac:dyDescent="0.25">
      <c r="A61" s="60" t="s">
        <v>27</v>
      </c>
      <c r="B61" s="14">
        <v>702</v>
      </c>
      <c r="C61" s="11">
        <v>7</v>
      </c>
      <c r="D61" s="15"/>
      <c r="E61" s="15"/>
      <c r="F61" s="51">
        <f>ROUND(Tabla2[[#This Row],[Área ocupada (m²)]]/20*1.4,2)</f>
        <v>4.38</v>
      </c>
      <c r="G61" s="46">
        <v>62.5</v>
      </c>
      <c r="H61" s="46">
        <v>62.5</v>
      </c>
      <c r="I61" s="51">
        <f>ROUND(Tabla2[[#This Row],[Área techada (m²)]]*0.15,2)</f>
        <v>9.3800000000000008</v>
      </c>
      <c r="J61" s="47" t="s">
        <v>30</v>
      </c>
      <c r="K61" s="48">
        <v>194750</v>
      </c>
      <c r="L61" s="51">
        <f>ROUND(Tabla2[[#This Row],[Área ocupada (m²)3]]/20*1.4,2)</f>
        <v>4.38</v>
      </c>
      <c r="M61" s="37">
        <f>ROUND(Tabla2[[#This Row],[Área ocupada (m²)]],2)</f>
        <v>62.5</v>
      </c>
      <c r="N61" s="37">
        <f>ROUND(Tabla2[[#This Row],[Área techada (m²)]],2)</f>
        <v>62.5</v>
      </c>
      <c r="O61" s="52">
        <f>ROUND(Tabla2[[#This Row],[Área techada (m²)4]]*0.15,2)</f>
        <v>9.3800000000000008</v>
      </c>
      <c r="P61" s="52">
        <f>ROUND(Tabla2[[#This Row],[Área del terreno (m²)2]]*[1]DATA!$A$2,-2)</f>
        <v>3100</v>
      </c>
      <c r="Q61" s="38" t="e">
        <f>+Tabla2[[#This Row],[Valor Comercial (US$)]]-Tabla2[[#This Row],[Valor del terreno (US$)]]</f>
        <v>#REF!</v>
      </c>
      <c r="R6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1" s="53" t="e">
        <f>ROUND(Tabla2[[#This Row],[Valor Comercial (US$)]]*0.8,-2)</f>
        <v>#REF!</v>
      </c>
      <c r="T61" s="53">
        <f>IF($H$6=$G$5,R61,ROUND(Tabla2[[#This Row],[Área techada (m²)4]]*[1]DATA!$B$2*1.15,-2))</f>
        <v>32300</v>
      </c>
      <c r="U61" s="6">
        <f t="shared" si="0"/>
        <v>3.5</v>
      </c>
      <c r="V61" s="39">
        <f>ROUND(Tabla2[[#This Row],[Valor del terreno (US$)]]*Tabla2[[#This Row],[Tipo de Cambio]],-2)</f>
        <v>10900</v>
      </c>
      <c r="W61" s="39" t="e">
        <f>Tabla2[[#This Row],[Valor Comercial (S/.)]]-Tabla2[[#This Row],[Valor del terreno (S/.)]]</f>
        <v>#REF!</v>
      </c>
      <c r="X61" s="39" t="e">
        <f>ROUND(Tabla2[[#This Row],[Valor Comercial (US$)]]*Tabla2[[#This Row],[Tipo de Cambio]],-2)</f>
        <v>#REF!</v>
      </c>
      <c r="Y61" s="39" t="e">
        <f>ROUND(Tabla2[[#This Row],[Valor Realización (US$)]]*Tabla2[[#This Row],[Tipo de Cambio]],-2)</f>
        <v>#REF!</v>
      </c>
      <c r="Z61" s="39">
        <f>+ROUND(Tabla2[[#This Row],[Importe Asegurable (US$)]]*Tabla2[[#This Row],[Tipo de Cambio]],-2)</f>
        <v>113100</v>
      </c>
      <c r="AA61" s="40"/>
      <c r="AB61" s="2" t="e">
        <f>+Tabla2[[#This Row],[Valor Comercial (US$)]]/Tabla2[[#This Row],[Área techada (m²)4]]</f>
        <v>#REF!</v>
      </c>
      <c r="AC6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1" s="61" t="s">
        <v>42</v>
      </c>
      <c r="AE61" s="54">
        <f>IF(Tabla2[[#This Row],[Moneda]]="Soles",Tabla2[[#This Row],[Valor de Venta]]/Tabla2[[#This Row],[Área techada (m²)]]/Tabla2[[#This Row],[Tipo de Cambio]],Tabla2[[#This Row],[Valor de Venta]]/Tabla2[[#This Row],[Área techada (m²)]])</f>
        <v>890.28571428571433</v>
      </c>
      <c r="AF61" s="43" t="e">
        <f>_xlfn.XLOOKUP(Tabla2[[#This Row],[VISTA]],[1]!Table1[Clase],[1]!Table1[VUE (USD)],0,0,1)</f>
        <v>#REF!</v>
      </c>
      <c r="AG61" s="55" t="e">
        <f>+Tabla2[[#This Row],[Valor Comercial (S/.)]]/Tabla2[[#This Row],[Valor de Venta]]-1</f>
        <v>#REF!</v>
      </c>
    </row>
    <row r="62" spans="1:33" s="1" customFormat="1" ht="15" customHeight="1" x14ac:dyDescent="0.25">
      <c r="A62" s="60" t="s">
        <v>27</v>
      </c>
      <c r="B62" s="14">
        <v>703</v>
      </c>
      <c r="C62" s="11">
        <v>7</v>
      </c>
      <c r="D62" s="15"/>
      <c r="E62" s="15"/>
      <c r="F62" s="51">
        <f>ROUND(Tabla2[[#This Row],[Área ocupada (m²)]]/20*1.4,2)</f>
        <v>4.38</v>
      </c>
      <c r="G62" s="46">
        <v>62.5</v>
      </c>
      <c r="H62" s="46">
        <v>62.5</v>
      </c>
      <c r="I62" s="51">
        <f>ROUND(Tabla2[[#This Row],[Área techada (m²)]]*0.15,2)</f>
        <v>9.3800000000000008</v>
      </c>
      <c r="J62" s="47" t="s">
        <v>30</v>
      </c>
      <c r="K62" s="48">
        <v>199750</v>
      </c>
      <c r="L62" s="51">
        <f>ROUND(Tabla2[[#This Row],[Área ocupada (m²)3]]/20*1.4,2)</f>
        <v>4.38</v>
      </c>
      <c r="M62" s="37">
        <f>ROUND(Tabla2[[#This Row],[Área ocupada (m²)]],2)</f>
        <v>62.5</v>
      </c>
      <c r="N62" s="37">
        <f>ROUND(Tabla2[[#This Row],[Área techada (m²)]],2)</f>
        <v>62.5</v>
      </c>
      <c r="O62" s="52">
        <f>ROUND(Tabla2[[#This Row],[Área techada (m²)4]]*0.15,2)</f>
        <v>9.3800000000000008</v>
      </c>
      <c r="P62" s="52">
        <f>ROUND(Tabla2[[#This Row],[Área del terreno (m²)2]]*[1]DATA!$A$2,-2)</f>
        <v>3100</v>
      </c>
      <c r="Q62" s="38" t="e">
        <f>+Tabla2[[#This Row],[Valor Comercial (US$)]]-Tabla2[[#This Row],[Valor del terreno (US$)]]</f>
        <v>#REF!</v>
      </c>
      <c r="R6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2" s="53" t="e">
        <f>ROUND(Tabla2[[#This Row],[Valor Comercial (US$)]]*0.8,-2)</f>
        <v>#REF!</v>
      </c>
      <c r="T62" s="53">
        <f>IF($H$6=$G$5,R62,ROUND(Tabla2[[#This Row],[Área techada (m²)4]]*[1]DATA!$B$2*1.15,-2))</f>
        <v>32300</v>
      </c>
      <c r="U62" s="6">
        <f t="shared" si="0"/>
        <v>3.5</v>
      </c>
      <c r="V62" s="39">
        <f>ROUND(Tabla2[[#This Row],[Valor del terreno (US$)]]*Tabla2[[#This Row],[Tipo de Cambio]],-2)</f>
        <v>10900</v>
      </c>
      <c r="W62" s="39" t="e">
        <f>Tabla2[[#This Row],[Valor Comercial (S/.)]]-Tabla2[[#This Row],[Valor del terreno (S/.)]]</f>
        <v>#REF!</v>
      </c>
      <c r="X62" s="39" t="e">
        <f>ROUND(Tabla2[[#This Row],[Valor Comercial (US$)]]*Tabla2[[#This Row],[Tipo de Cambio]],-2)</f>
        <v>#REF!</v>
      </c>
      <c r="Y62" s="39" t="e">
        <f>ROUND(Tabla2[[#This Row],[Valor Realización (US$)]]*Tabla2[[#This Row],[Tipo de Cambio]],-2)</f>
        <v>#REF!</v>
      </c>
      <c r="Z62" s="39">
        <f>+ROUND(Tabla2[[#This Row],[Importe Asegurable (US$)]]*Tabla2[[#This Row],[Tipo de Cambio]],-2)</f>
        <v>113100</v>
      </c>
      <c r="AA62" s="40"/>
      <c r="AB62" s="2" t="e">
        <f>+Tabla2[[#This Row],[Valor Comercial (US$)]]/Tabla2[[#This Row],[Área techada (m²)4]]</f>
        <v>#REF!</v>
      </c>
      <c r="AC6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2" s="61" t="s">
        <v>42</v>
      </c>
      <c r="AE62" s="54">
        <f>IF(Tabla2[[#This Row],[Moneda]]="Soles",Tabla2[[#This Row],[Valor de Venta]]/Tabla2[[#This Row],[Área techada (m²)]]/Tabla2[[#This Row],[Tipo de Cambio]],Tabla2[[#This Row],[Valor de Venta]]/Tabla2[[#This Row],[Área techada (m²)]])</f>
        <v>913.14285714285711</v>
      </c>
      <c r="AF62" s="43" t="e">
        <f>_xlfn.XLOOKUP(Tabla2[[#This Row],[VISTA]],[1]!Table1[Clase],[1]!Table1[VUE (USD)],0,0,1)</f>
        <v>#REF!</v>
      </c>
      <c r="AG62" s="55" t="e">
        <f>+Tabla2[[#This Row],[Valor Comercial (S/.)]]/Tabla2[[#This Row],[Valor de Venta]]-1</f>
        <v>#REF!</v>
      </c>
    </row>
    <row r="63" spans="1:33" s="1" customFormat="1" ht="15" customHeight="1" x14ac:dyDescent="0.25">
      <c r="A63" s="60" t="s">
        <v>27</v>
      </c>
      <c r="B63" s="14">
        <v>704</v>
      </c>
      <c r="C63" s="11">
        <v>7</v>
      </c>
      <c r="D63" s="15"/>
      <c r="E63" s="15"/>
      <c r="F63" s="51">
        <f>ROUND(Tabla2[[#This Row],[Área ocupada (m²)]]/20*1.4,2)</f>
        <v>4.5599999999999996</v>
      </c>
      <c r="G63" s="46">
        <v>65.2</v>
      </c>
      <c r="H63" s="46">
        <v>65.2</v>
      </c>
      <c r="I63" s="51">
        <f>ROUND(Tabla2[[#This Row],[Área techada (m²)]]*0.15,2)</f>
        <v>9.7799999999999994</v>
      </c>
      <c r="J63" s="47" t="s">
        <v>30</v>
      </c>
      <c r="K63" s="48">
        <v>218750</v>
      </c>
      <c r="L63" s="51">
        <f>ROUND(Tabla2[[#This Row],[Área ocupada (m²)3]]/20*1.4,2)</f>
        <v>4.5599999999999996</v>
      </c>
      <c r="M63" s="37">
        <f>ROUND(Tabla2[[#This Row],[Área ocupada (m²)]],2)</f>
        <v>65.2</v>
      </c>
      <c r="N63" s="37">
        <f>ROUND(Tabla2[[#This Row],[Área techada (m²)]],2)</f>
        <v>65.2</v>
      </c>
      <c r="O63" s="52">
        <f>ROUND(Tabla2[[#This Row],[Área techada (m²)4]]*0.15,2)</f>
        <v>9.7799999999999994</v>
      </c>
      <c r="P63" s="52">
        <f>ROUND(Tabla2[[#This Row],[Área del terreno (m²)2]]*[1]DATA!$A$2,-2)</f>
        <v>3200</v>
      </c>
      <c r="Q63" s="38" t="e">
        <f>+Tabla2[[#This Row],[Valor Comercial (US$)]]-Tabla2[[#This Row],[Valor del terreno (US$)]]</f>
        <v>#REF!</v>
      </c>
      <c r="R6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3" s="53" t="e">
        <f>ROUND(Tabla2[[#This Row],[Valor Comercial (US$)]]*0.8,-2)</f>
        <v>#REF!</v>
      </c>
      <c r="T63" s="53">
        <f>IF($H$6=$G$5,R63,ROUND(Tabla2[[#This Row],[Área techada (m²)4]]*[1]DATA!$B$2*1.15,-2))</f>
        <v>33700</v>
      </c>
      <c r="U63" s="6">
        <f t="shared" si="0"/>
        <v>3.5</v>
      </c>
      <c r="V63" s="39">
        <f>ROUND(Tabla2[[#This Row],[Valor del terreno (US$)]]*Tabla2[[#This Row],[Tipo de Cambio]],-2)</f>
        <v>11200</v>
      </c>
      <c r="W63" s="39" t="e">
        <f>Tabla2[[#This Row],[Valor Comercial (S/.)]]-Tabla2[[#This Row],[Valor del terreno (S/.)]]</f>
        <v>#REF!</v>
      </c>
      <c r="X63" s="39" t="e">
        <f>ROUND(Tabla2[[#This Row],[Valor Comercial (US$)]]*Tabla2[[#This Row],[Tipo de Cambio]],-2)</f>
        <v>#REF!</v>
      </c>
      <c r="Y63" s="39" t="e">
        <f>ROUND(Tabla2[[#This Row],[Valor Realización (US$)]]*Tabla2[[#This Row],[Tipo de Cambio]],-2)</f>
        <v>#REF!</v>
      </c>
      <c r="Z63" s="39">
        <f>+ROUND(Tabla2[[#This Row],[Importe Asegurable (US$)]]*Tabla2[[#This Row],[Tipo de Cambio]],-2)</f>
        <v>118000</v>
      </c>
      <c r="AA63" s="40"/>
      <c r="AB63" s="2" t="e">
        <f>+Tabla2[[#This Row],[Valor Comercial (US$)]]/Tabla2[[#This Row],[Área techada (m²)4]]</f>
        <v>#REF!</v>
      </c>
      <c r="AC6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3" s="61" t="s">
        <v>41</v>
      </c>
      <c r="AE63" s="54">
        <f>IF(Tabla2[[#This Row],[Moneda]]="Soles",Tabla2[[#This Row],[Valor de Venta]]/Tabla2[[#This Row],[Área techada (m²)]]/Tabla2[[#This Row],[Tipo de Cambio]],Tabla2[[#This Row],[Valor de Venta]]/Tabla2[[#This Row],[Área techada (m²)]])</f>
        <v>958.58895705521468</v>
      </c>
      <c r="AF63" s="43" t="e">
        <f>_xlfn.XLOOKUP(Tabla2[[#This Row],[VISTA]],[1]!Table1[Clase],[1]!Table1[VUE (USD)],0,0,1)</f>
        <v>#REF!</v>
      </c>
      <c r="AG63" s="55" t="e">
        <f>+Tabla2[[#This Row],[Valor Comercial (S/.)]]/Tabla2[[#This Row],[Valor de Venta]]-1</f>
        <v>#REF!</v>
      </c>
    </row>
    <row r="64" spans="1:33" s="1" customFormat="1" ht="15" customHeight="1" x14ac:dyDescent="0.25">
      <c r="A64" s="60" t="s">
        <v>27</v>
      </c>
      <c r="B64" s="14">
        <v>705</v>
      </c>
      <c r="C64" s="11">
        <v>7</v>
      </c>
      <c r="D64" s="15"/>
      <c r="E64" s="15"/>
      <c r="F64" s="51">
        <f>ROUND(Tabla2[[#This Row],[Área ocupada (m²)]]/20*1.4,2)</f>
        <v>4.5599999999999996</v>
      </c>
      <c r="G64" s="46">
        <v>65.2</v>
      </c>
      <c r="H64" s="46">
        <v>65.2</v>
      </c>
      <c r="I64" s="51">
        <f>ROUND(Tabla2[[#This Row],[Área techada (m²)]]*0.15,2)</f>
        <v>9.7799999999999994</v>
      </c>
      <c r="J64" s="47" t="s">
        <v>30</v>
      </c>
      <c r="K64" s="48">
        <v>215750</v>
      </c>
      <c r="L64" s="51">
        <f>ROUND(Tabla2[[#This Row],[Área ocupada (m²)3]]/20*1.4,2)</f>
        <v>4.5599999999999996</v>
      </c>
      <c r="M64" s="37">
        <f>ROUND(Tabla2[[#This Row],[Área ocupada (m²)]],2)</f>
        <v>65.2</v>
      </c>
      <c r="N64" s="37">
        <f>ROUND(Tabla2[[#This Row],[Área techada (m²)]],2)</f>
        <v>65.2</v>
      </c>
      <c r="O64" s="52">
        <f>ROUND(Tabla2[[#This Row],[Área techada (m²)4]]*0.15,2)</f>
        <v>9.7799999999999994</v>
      </c>
      <c r="P64" s="52">
        <f>ROUND(Tabla2[[#This Row],[Área del terreno (m²)2]]*[1]DATA!$A$2,-2)</f>
        <v>3200</v>
      </c>
      <c r="Q64" s="38" t="e">
        <f>+Tabla2[[#This Row],[Valor Comercial (US$)]]-Tabla2[[#This Row],[Valor del terreno (US$)]]</f>
        <v>#REF!</v>
      </c>
      <c r="R6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4" s="53" t="e">
        <f>ROUND(Tabla2[[#This Row],[Valor Comercial (US$)]]*0.8,-2)</f>
        <v>#REF!</v>
      </c>
      <c r="T64" s="53">
        <f>IF($H$6=$G$5,R64,ROUND(Tabla2[[#This Row],[Área techada (m²)4]]*[1]DATA!$B$2*1.15,-2))</f>
        <v>33700</v>
      </c>
      <c r="U64" s="6">
        <f t="shared" si="0"/>
        <v>3.5</v>
      </c>
      <c r="V64" s="39">
        <f>ROUND(Tabla2[[#This Row],[Valor del terreno (US$)]]*Tabla2[[#This Row],[Tipo de Cambio]],-2)</f>
        <v>11200</v>
      </c>
      <c r="W64" s="39" t="e">
        <f>Tabla2[[#This Row],[Valor Comercial (S/.)]]-Tabla2[[#This Row],[Valor del terreno (S/.)]]</f>
        <v>#REF!</v>
      </c>
      <c r="X64" s="39" t="e">
        <f>ROUND(Tabla2[[#This Row],[Valor Comercial (US$)]]*Tabla2[[#This Row],[Tipo de Cambio]],-2)</f>
        <v>#REF!</v>
      </c>
      <c r="Y64" s="39" t="e">
        <f>ROUND(Tabla2[[#This Row],[Valor Realización (US$)]]*Tabla2[[#This Row],[Tipo de Cambio]],-2)</f>
        <v>#REF!</v>
      </c>
      <c r="Z64" s="39">
        <f>+ROUND(Tabla2[[#This Row],[Importe Asegurable (US$)]]*Tabla2[[#This Row],[Tipo de Cambio]],-2)</f>
        <v>118000</v>
      </c>
      <c r="AA64" s="40"/>
      <c r="AB64" s="2" t="e">
        <f>+Tabla2[[#This Row],[Valor Comercial (US$)]]/Tabla2[[#This Row],[Área techada (m²)4]]</f>
        <v>#REF!</v>
      </c>
      <c r="AC6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4" s="61" t="s">
        <v>41</v>
      </c>
      <c r="AE64" s="54">
        <f>IF(Tabla2[[#This Row],[Moneda]]="Soles",Tabla2[[#This Row],[Valor de Venta]]/Tabla2[[#This Row],[Área techada (m²)]]/Tabla2[[#This Row],[Tipo de Cambio]],Tabla2[[#This Row],[Valor de Venta]]/Tabla2[[#This Row],[Área techada (m²)]])</f>
        <v>945.44259421560037</v>
      </c>
      <c r="AF64" s="43" t="e">
        <f>_xlfn.XLOOKUP(Tabla2[[#This Row],[VISTA]],[1]!Table1[Clase],[1]!Table1[VUE (USD)],0,0,1)</f>
        <v>#REF!</v>
      </c>
      <c r="AG64" s="55" t="e">
        <f>+Tabla2[[#This Row],[Valor Comercial (S/.)]]/Tabla2[[#This Row],[Valor de Venta]]-1</f>
        <v>#REF!</v>
      </c>
    </row>
    <row r="65" spans="1:33" s="1" customFormat="1" ht="15" customHeight="1" x14ac:dyDescent="0.25">
      <c r="A65" s="60" t="s">
        <v>27</v>
      </c>
      <c r="B65" s="14">
        <v>706</v>
      </c>
      <c r="C65" s="11">
        <v>7</v>
      </c>
      <c r="D65" s="15"/>
      <c r="E65" s="15"/>
      <c r="F65" s="51">
        <f>ROUND(Tabla2[[#This Row],[Área ocupada (m²)]]/20*1.4,2)</f>
        <v>4.38</v>
      </c>
      <c r="G65" s="46">
        <v>62.5</v>
      </c>
      <c r="H65" s="46">
        <v>62.5</v>
      </c>
      <c r="I65" s="51">
        <f>ROUND(Tabla2[[#This Row],[Área techada (m²)]]*0.15,2)</f>
        <v>9.3800000000000008</v>
      </c>
      <c r="J65" s="47" t="s">
        <v>30</v>
      </c>
      <c r="K65" s="48">
        <v>202750</v>
      </c>
      <c r="L65" s="51">
        <f>ROUND(Tabla2[[#This Row],[Área ocupada (m²)3]]/20*1.4,2)</f>
        <v>4.38</v>
      </c>
      <c r="M65" s="37">
        <f>ROUND(Tabla2[[#This Row],[Área ocupada (m²)]],2)</f>
        <v>62.5</v>
      </c>
      <c r="N65" s="37">
        <f>ROUND(Tabla2[[#This Row],[Área techada (m²)]],2)</f>
        <v>62.5</v>
      </c>
      <c r="O65" s="52">
        <f>ROUND(Tabla2[[#This Row],[Área techada (m²)4]]*0.15,2)</f>
        <v>9.3800000000000008</v>
      </c>
      <c r="P65" s="52">
        <f>ROUND(Tabla2[[#This Row],[Área del terreno (m²)2]]*[1]DATA!$A$2,-2)</f>
        <v>3100</v>
      </c>
      <c r="Q65" s="38" t="e">
        <f>+Tabla2[[#This Row],[Valor Comercial (US$)]]-Tabla2[[#This Row],[Valor del terreno (US$)]]</f>
        <v>#REF!</v>
      </c>
      <c r="R6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5" s="53" t="e">
        <f>ROUND(Tabla2[[#This Row],[Valor Comercial (US$)]]*0.8,-2)</f>
        <v>#REF!</v>
      </c>
      <c r="T65" s="53">
        <f>IF($H$6=$G$5,R65,ROUND(Tabla2[[#This Row],[Área techada (m²)4]]*[1]DATA!$B$2*1.15,-2))</f>
        <v>32300</v>
      </c>
      <c r="U65" s="6">
        <f t="shared" si="0"/>
        <v>3.5</v>
      </c>
      <c r="V65" s="39">
        <f>ROUND(Tabla2[[#This Row],[Valor del terreno (US$)]]*Tabla2[[#This Row],[Tipo de Cambio]],-2)</f>
        <v>10900</v>
      </c>
      <c r="W65" s="39" t="e">
        <f>Tabla2[[#This Row],[Valor Comercial (S/.)]]-Tabla2[[#This Row],[Valor del terreno (S/.)]]</f>
        <v>#REF!</v>
      </c>
      <c r="X65" s="39" t="e">
        <f>ROUND(Tabla2[[#This Row],[Valor Comercial (US$)]]*Tabla2[[#This Row],[Tipo de Cambio]],-2)</f>
        <v>#REF!</v>
      </c>
      <c r="Y65" s="39" t="e">
        <f>ROUND(Tabla2[[#This Row],[Valor Realización (US$)]]*Tabla2[[#This Row],[Tipo de Cambio]],-2)</f>
        <v>#REF!</v>
      </c>
      <c r="Z65" s="39">
        <f>+ROUND(Tabla2[[#This Row],[Importe Asegurable (US$)]]*Tabla2[[#This Row],[Tipo de Cambio]],-2)</f>
        <v>113100</v>
      </c>
      <c r="AA65" s="40"/>
      <c r="AB65" s="2" t="e">
        <f>+Tabla2[[#This Row],[Valor Comercial (US$)]]/Tabla2[[#This Row],[Área techada (m²)4]]</f>
        <v>#REF!</v>
      </c>
      <c r="AC6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5" s="61" t="s">
        <v>42</v>
      </c>
      <c r="AE65" s="54">
        <f>IF(Tabla2[[#This Row],[Moneda]]="Soles",Tabla2[[#This Row],[Valor de Venta]]/Tabla2[[#This Row],[Área techada (m²)]]/Tabla2[[#This Row],[Tipo de Cambio]],Tabla2[[#This Row],[Valor de Venta]]/Tabla2[[#This Row],[Área techada (m²)]])</f>
        <v>926.85714285714289</v>
      </c>
      <c r="AF65" s="43" t="e">
        <f>_xlfn.XLOOKUP(Tabla2[[#This Row],[VISTA]],[1]!Table1[Clase],[1]!Table1[VUE (USD)],0,0,1)</f>
        <v>#REF!</v>
      </c>
      <c r="AG65" s="55" t="e">
        <f>+Tabla2[[#This Row],[Valor Comercial (S/.)]]/Tabla2[[#This Row],[Valor de Venta]]-1</f>
        <v>#REF!</v>
      </c>
    </row>
    <row r="66" spans="1:33" s="1" customFormat="1" ht="15" customHeight="1" x14ac:dyDescent="0.25">
      <c r="A66" s="60" t="s">
        <v>27</v>
      </c>
      <c r="B66" s="14">
        <v>707</v>
      </c>
      <c r="C66" s="11">
        <v>7</v>
      </c>
      <c r="D66" s="15"/>
      <c r="E66" s="15"/>
      <c r="F66" s="51">
        <f>ROUND(Tabla2[[#This Row],[Área ocupada (m²)]]/20*1.4,2)</f>
        <v>4.38</v>
      </c>
      <c r="G66" s="46">
        <v>62.5</v>
      </c>
      <c r="H66" s="46">
        <v>62.5</v>
      </c>
      <c r="I66" s="51">
        <f>ROUND(Tabla2[[#This Row],[Área techada (m²)]]*0.15,2)</f>
        <v>9.3800000000000008</v>
      </c>
      <c r="J66" s="47" t="s">
        <v>30</v>
      </c>
      <c r="K66" s="48">
        <v>190750</v>
      </c>
      <c r="L66" s="51">
        <f>ROUND(Tabla2[[#This Row],[Área ocupada (m²)3]]/20*1.4,2)</f>
        <v>4.38</v>
      </c>
      <c r="M66" s="37">
        <f>ROUND(Tabla2[[#This Row],[Área ocupada (m²)]],2)</f>
        <v>62.5</v>
      </c>
      <c r="N66" s="37">
        <f>ROUND(Tabla2[[#This Row],[Área techada (m²)]],2)</f>
        <v>62.5</v>
      </c>
      <c r="O66" s="52">
        <f>ROUND(Tabla2[[#This Row],[Área techada (m²)4]]*0.15,2)</f>
        <v>9.3800000000000008</v>
      </c>
      <c r="P66" s="52">
        <f>ROUND(Tabla2[[#This Row],[Área del terreno (m²)2]]*[1]DATA!$A$2,-2)</f>
        <v>3100</v>
      </c>
      <c r="Q66" s="38" t="e">
        <f>+Tabla2[[#This Row],[Valor Comercial (US$)]]-Tabla2[[#This Row],[Valor del terreno (US$)]]</f>
        <v>#REF!</v>
      </c>
      <c r="R6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6" s="53" t="e">
        <f>ROUND(Tabla2[[#This Row],[Valor Comercial (US$)]]*0.8,-2)</f>
        <v>#REF!</v>
      </c>
      <c r="T66" s="53">
        <f>IF($H$6=$G$5,R66,ROUND(Tabla2[[#This Row],[Área techada (m²)4]]*[1]DATA!$B$2*1.15,-2))</f>
        <v>32300</v>
      </c>
      <c r="U66" s="6">
        <f t="shared" si="0"/>
        <v>3.5</v>
      </c>
      <c r="V66" s="39">
        <f>ROUND(Tabla2[[#This Row],[Valor del terreno (US$)]]*Tabla2[[#This Row],[Tipo de Cambio]],-2)</f>
        <v>10900</v>
      </c>
      <c r="W66" s="39" t="e">
        <f>Tabla2[[#This Row],[Valor Comercial (S/.)]]-Tabla2[[#This Row],[Valor del terreno (S/.)]]</f>
        <v>#REF!</v>
      </c>
      <c r="X66" s="39" t="e">
        <f>ROUND(Tabla2[[#This Row],[Valor Comercial (US$)]]*Tabla2[[#This Row],[Tipo de Cambio]],-2)</f>
        <v>#REF!</v>
      </c>
      <c r="Y66" s="39" t="e">
        <f>ROUND(Tabla2[[#This Row],[Valor Realización (US$)]]*Tabla2[[#This Row],[Tipo de Cambio]],-2)</f>
        <v>#REF!</v>
      </c>
      <c r="Z66" s="39">
        <f>+ROUND(Tabla2[[#This Row],[Importe Asegurable (US$)]]*Tabla2[[#This Row],[Tipo de Cambio]],-2)</f>
        <v>113100</v>
      </c>
      <c r="AA66" s="40"/>
      <c r="AB66" s="2" t="e">
        <f>+Tabla2[[#This Row],[Valor Comercial (US$)]]/Tabla2[[#This Row],[Área techada (m²)4]]</f>
        <v>#REF!</v>
      </c>
      <c r="AC6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6" s="61" t="s">
        <v>43</v>
      </c>
      <c r="AE66" s="54">
        <f>IF(Tabla2[[#This Row],[Moneda]]="Soles",Tabla2[[#This Row],[Valor de Venta]]/Tabla2[[#This Row],[Área techada (m²)]]/Tabla2[[#This Row],[Tipo de Cambio]],Tabla2[[#This Row],[Valor de Venta]]/Tabla2[[#This Row],[Área techada (m²)]])</f>
        <v>872</v>
      </c>
      <c r="AF66" s="43" t="e">
        <f>_xlfn.XLOOKUP(Tabla2[[#This Row],[VISTA]],[1]!Table1[Clase],[1]!Table1[VUE (USD)],0,0,1)</f>
        <v>#REF!</v>
      </c>
      <c r="AG66" s="55" t="e">
        <f>+Tabla2[[#This Row],[Valor Comercial (S/.)]]/Tabla2[[#This Row],[Valor de Venta]]-1</f>
        <v>#REF!</v>
      </c>
    </row>
    <row r="67" spans="1:33" s="1" customFormat="1" ht="15" customHeight="1" x14ac:dyDescent="0.25">
      <c r="A67" s="60" t="s">
        <v>27</v>
      </c>
      <c r="B67" s="14">
        <v>708</v>
      </c>
      <c r="C67" s="11">
        <v>7</v>
      </c>
      <c r="D67" s="15"/>
      <c r="E67" s="15"/>
      <c r="F67" s="51">
        <f>ROUND(Tabla2[[#This Row],[Área ocupada (m²)]]/20*1.4,2)</f>
        <v>4.5599999999999996</v>
      </c>
      <c r="G67" s="46">
        <v>65.2</v>
      </c>
      <c r="H67" s="46">
        <v>65.2</v>
      </c>
      <c r="I67" s="51">
        <f>ROUND(Tabla2[[#This Row],[Área techada (m²)]]*0.15,2)</f>
        <v>9.7799999999999994</v>
      </c>
      <c r="J67" s="47" t="s">
        <v>30</v>
      </c>
      <c r="K67" s="48">
        <v>214750</v>
      </c>
      <c r="L67" s="51">
        <f>ROUND(Tabla2[[#This Row],[Área ocupada (m²)3]]/20*1.4,2)</f>
        <v>4.5599999999999996</v>
      </c>
      <c r="M67" s="37">
        <f>ROUND(Tabla2[[#This Row],[Área ocupada (m²)]],2)</f>
        <v>65.2</v>
      </c>
      <c r="N67" s="37">
        <f>ROUND(Tabla2[[#This Row],[Área techada (m²)]],2)</f>
        <v>65.2</v>
      </c>
      <c r="O67" s="52">
        <f>ROUND(Tabla2[[#This Row],[Área techada (m²)4]]*0.15,2)</f>
        <v>9.7799999999999994</v>
      </c>
      <c r="P67" s="52">
        <f>ROUND(Tabla2[[#This Row],[Área del terreno (m²)2]]*[1]DATA!$A$2,-2)</f>
        <v>3200</v>
      </c>
      <c r="Q67" s="38" t="e">
        <f>+Tabla2[[#This Row],[Valor Comercial (US$)]]-Tabla2[[#This Row],[Valor del terreno (US$)]]</f>
        <v>#REF!</v>
      </c>
      <c r="R6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7" s="53" t="e">
        <f>ROUND(Tabla2[[#This Row],[Valor Comercial (US$)]]*0.8,-2)</f>
        <v>#REF!</v>
      </c>
      <c r="T67" s="53">
        <f>IF($H$6=$G$5,R67,ROUND(Tabla2[[#This Row],[Área techada (m²)4]]*[1]DATA!$B$2*1.15,-2))</f>
        <v>33700</v>
      </c>
      <c r="U67" s="6">
        <f t="shared" si="0"/>
        <v>3.5</v>
      </c>
      <c r="V67" s="39">
        <f>ROUND(Tabla2[[#This Row],[Valor del terreno (US$)]]*Tabla2[[#This Row],[Tipo de Cambio]],-2)</f>
        <v>11200</v>
      </c>
      <c r="W67" s="39" t="e">
        <f>Tabla2[[#This Row],[Valor Comercial (S/.)]]-Tabla2[[#This Row],[Valor del terreno (S/.)]]</f>
        <v>#REF!</v>
      </c>
      <c r="X67" s="39" t="e">
        <f>ROUND(Tabla2[[#This Row],[Valor Comercial (US$)]]*Tabla2[[#This Row],[Tipo de Cambio]],-2)</f>
        <v>#REF!</v>
      </c>
      <c r="Y67" s="39" t="e">
        <f>ROUND(Tabla2[[#This Row],[Valor Realización (US$)]]*Tabla2[[#This Row],[Tipo de Cambio]],-2)</f>
        <v>#REF!</v>
      </c>
      <c r="Z67" s="39">
        <f>+ROUND(Tabla2[[#This Row],[Importe Asegurable (US$)]]*Tabla2[[#This Row],[Tipo de Cambio]],-2)</f>
        <v>118000</v>
      </c>
      <c r="AA67" s="40"/>
      <c r="AB67" s="2" t="e">
        <f>+Tabla2[[#This Row],[Valor Comercial (US$)]]/Tabla2[[#This Row],[Área techada (m²)4]]</f>
        <v>#REF!</v>
      </c>
      <c r="AC6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7" s="61" t="s">
        <v>41</v>
      </c>
      <c r="AE67" s="54">
        <f>IF(Tabla2[[#This Row],[Moneda]]="Soles",Tabla2[[#This Row],[Valor de Venta]]/Tabla2[[#This Row],[Área techada (m²)]]/Tabla2[[#This Row],[Tipo de Cambio]],Tabla2[[#This Row],[Valor de Venta]]/Tabla2[[#This Row],[Área techada (m²)]])</f>
        <v>941.06047326906207</v>
      </c>
      <c r="AF67" s="43" t="e">
        <f>_xlfn.XLOOKUP(Tabla2[[#This Row],[VISTA]],[1]!Table1[Clase],[1]!Table1[VUE (USD)],0,0,1)</f>
        <v>#REF!</v>
      </c>
      <c r="AG67" s="55" t="e">
        <f>+Tabla2[[#This Row],[Valor Comercial (S/.)]]/Tabla2[[#This Row],[Valor de Venta]]-1</f>
        <v>#REF!</v>
      </c>
    </row>
    <row r="68" spans="1:33" s="1" customFormat="1" ht="15" customHeight="1" x14ac:dyDescent="0.25">
      <c r="A68" s="60" t="s">
        <v>27</v>
      </c>
      <c r="B68" s="14">
        <v>801</v>
      </c>
      <c r="C68" s="11">
        <v>8</v>
      </c>
      <c r="D68" s="15"/>
      <c r="E68" s="15"/>
      <c r="F68" s="51">
        <f>ROUND(Tabla2[[#This Row],[Área ocupada (m²)]]/20*1.4,2)</f>
        <v>4.5599999999999996</v>
      </c>
      <c r="G68" s="46">
        <v>65.2</v>
      </c>
      <c r="H68" s="46">
        <v>65.2</v>
      </c>
      <c r="I68" s="51">
        <f>ROUND(Tabla2[[#This Row],[Área techada (m²)]]*0.15,2)</f>
        <v>9.7799999999999994</v>
      </c>
      <c r="J68" s="47" t="s">
        <v>30</v>
      </c>
      <c r="K68" s="48">
        <v>203750</v>
      </c>
      <c r="L68" s="51">
        <f>ROUND(Tabla2[[#This Row],[Área ocupada (m²)3]]/20*1.4,2)</f>
        <v>4.5599999999999996</v>
      </c>
      <c r="M68" s="37">
        <f>ROUND(Tabla2[[#This Row],[Área ocupada (m²)]],2)</f>
        <v>65.2</v>
      </c>
      <c r="N68" s="37">
        <f>ROUND(Tabla2[[#This Row],[Área techada (m²)]],2)</f>
        <v>65.2</v>
      </c>
      <c r="O68" s="52">
        <f>ROUND(Tabla2[[#This Row],[Área techada (m²)4]]*0.15,2)</f>
        <v>9.7799999999999994</v>
      </c>
      <c r="P68" s="52">
        <f>ROUND(Tabla2[[#This Row],[Área del terreno (m²)2]]*[1]DATA!$A$2,-2)</f>
        <v>3200</v>
      </c>
      <c r="Q68" s="38" t="e">
        <f>+Tabla2[[#This Row],[Valor Comercial (US$)]]-Tabla2[[#This Row],[Valor del terreno (US$)]]</f>
        <v>#REF!</v>
      </c>
      <c r="R6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8" s="53" t="e">
        <f>ROUND(Tabla2[[#This Row],[Valor Comercial (US$)]]*0.8,-2)</f>
        <v>#REF!</v>
      </c>
      <c r="T68" s="53">
        <f>IF($H$6=$G$5,R68,ROUND(Tabla2[[#This Row],[Área techada (m²)4]]*[1]DATA!$B$2*1.15,-2))</f>
        <v>33700</v>
      </c>
      <c r="U68" s="6">
        <f t="shared" si="0"/>
        <v>3.5</v>
      </c>
      <c r="V68" s="39">
        <f>ROUND(Tabla2[[#This Row],[Valor del terreno (US$)]]*Tabla2[[#This Row],[Tipo de Cambio]],-2)</f>
        <v>11200</v>
      </c>
      <c r="W68" s="39" t="e">
        <f>Tabla2[[#This Row],[Valor Comercial (S/.)]]-Tabla2[[#This Row],[Valor del terreno (S/.)]]</f>
        <v>#REF!</v>
      </c>
      <c r="X68" s="39" t="e">
        <f>ROUND(Tabla2[[#This Row],[Valor Comercial (US$)]]*Tabla2[[#This Row],[Tipo de Cambio]],-2)</f>
        <v>#REF!</v>
      </c>
      <c r="Y68" s="39" t="e">
        <f>ROUND(Tabla2[[#This Row],[Valor Realización (US$)]]*Tabla2[[#This Row],[Tipo de Cambio]],-2)</f>
        <v>#REF!</v>
      </c>
      <c r="Z68" s="39">
        <f>+ROUND(Tabla2[[#This Row],[Importe Asegurable (US$)]]*Tabla2[[#This Row],[Tipo de Cambio]],-2)</f>
        <v>118000</v>
      </c>
      <c r="AA68" s="40"/>
      <c r="AB68" s="2" t="e">
        <f>+Tabla2[[#This Row],[Valor Comercial (US$)]]/Tabla2[[#This Row],[Área techada (m²)4]]</f>
        <v>#REF!</v>
      </c>
      <c r="AC6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8" s="61" t="s">
        <v>42</v>
      </c>
      <c r="AE68" s="54">
        <f>IF(Tabla2[[#This Row],[Moneda]]="Soles",Tabla2[[#This Row],[Valor de Venta]]/Tabla2[[#This Row],[Área techada (m²)]]/Tabla2[[#This Row],[Tipo de Cambio]],Tabla2[[#This Row],[Valor de Venta]]/Tabla2[[#This Row],[Área techada (m²)]])</f>
        <v>892.85714285714289</v>
      </c>
      <c r="AF68" s="43" t="e">
        <f>_xlfn.XLOOKUP(Tabla2[[#This Row],[VISTA]],[1]!Table1[Clase],[1]!Table1[VUE (USD)],0,0,1)</f>
        <v>#REF!</v>
      </c>
      <c r="AG68" s="55" t="e">
        <f>+Tabla2[[#This Row],[Valor Comercial (S/.)]]/Tabla2[[#This Row],[Valor de Venta]]-1</f>
        <v>#REF!</v>
      </c>
    </row>
    <row r="69" spans="1:33" s="1" customFormat="1" ht="15" customHeight="1" x14ac:dyDescent="0.25">
      <c r="A69" s="60" t="s">
        <v>27</v>
      </c>
      <c r="B69" s="14">
        <v>802</v>
      </c>
      <c r="C69" s="11">
        <v>8</v>
      </c>
      <c r="D69" s="15"/>
      <c r="E69" s="15"/>
      <c r="F69" s="51">
        <f>ROUND(Tabla2[[#This Row],[Área ocupada (m²)]]/20*1.4,2)</f>
        <v>4.38</v>
      </c>
      <c r="G69" s="46">
        <v>62.5</v>
      </c>
      <c r="H69" s="46">
        <v>62.5</v>
      </c>
      <c r="I69" s="51">
        <f>ROUND(Tabla2[[#This Row],[Área techada (m²)]]*0.15,2)</f>
        <v>9.3800000000000008</v>
      </c>
      <c r="J69" s="47" t="s">
        <v>30</v>
      </c>
      <c r="K69" s="48">
        <v>192850</v>
      </c>
      <c r="L69" s="51">
        <f>ROUND(Tabla2[[#This Row],[Área ocupada (m²)3]]/20*1.4,2)</f>
        <v>4.38</v>
      </c>
      <c r="M69" s="37">
        <f>ROUND(Tabla2[[#This Row],[Área ocupada (m²)]],2)</f>
        <v>62.5</v>
      </c>
      <c r="N69" s="37">
        <f>ROUND(Tabla2[[#This Row],[Área techada (m²)]],2)</f>
        <v>62.5</v>
      </c>
      <c r="O69" s="52">
        <f>ROUND(Tabla2[[#This Row],[Área techada (m²)4]]*0.15,2)</f>
        <v>9.3800000000000008</v>
      </c>
      <c r="P69" s="52">
        <f>ROUND(Tabla2[[#This Row],[Área del terreno (m²)2]]*[1]DATA!$A$2,-2)</f>
        <v>3100</v>
      </c>
      <c r="Q69" s="38" t="e">
        <f>+Tabla2[[#This Row],[Valor Comercial (US$)]]-Tabla2[[#This Row],[Valor del terreno (US$)]]</f>
        <v>#REF!</v>
      </c>
      <c r="R6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9" s="53" t="e">
        <f>ROUND(Tabla2[[#This Row],[Valor Comercial (US$)]]*0.8,-2)</f>
        <v>#REF!</v>
      </c>
      <c r="T69" s="53">
        <f>IF($H$6=$G$5,R69,ROUND(Tabla2[[#This Row],[Área techada (m²)4]]*[1]DATA!$B$2*1.15,-2))</f>
        <v>32300</v>
      </c>
      <c r="U69" s="6">
        <f t="shared" si="0"/>
        <v>3.5</v>
      </c>
      <c r="V69" s="39">
        <f>ROUND(Tabla2[[#This Row],[Valor del terreno (US$)]]*Tabla2[[#This Row],[Tipo de Cambio]],-2)</f>
        <v>10900</v>
      </c>
      <c r="W69" s="39" t="e">
        <f>Tabla2[[#This Row],[Valor Comercial (S/.)]]-Tabla2[[#This Row],[Valor del terreno (S/.)]]</f>
        <v>#REF!</v>
      </c>
      <c r="X69" s="39" t="e">
        <f>ROUND(Tabla2[[#This Row],[Valor Comercial (US$)]]*Tabla2[[#This Row],[Tipo de Cambio]],-2)</f>
        <v>#REF!</v>
      </c>
      <c r="Y69" s="39" t="e">
        <f>ROUND(Tabla2[[#This Row],[Valor Realización (US$)]]*Tabla2[[#This Row],[Tipo de Cambio]],-2)</f>
        <v>#REF!</v>
      </c>
      <c r="Z69" s="39">
        <f>+ROUND(Tabla2[[#This Row],[Importe Asegurable (US$)]]*Tabla2[[#This Row],[Tipo de Cambio]],-2)</f>
        <v>113100</v>
      </c>
      <c r="AA69" s="40"/>
      <c r="AB69" s="2" t="e">
        <f>+Tabla2[[#This Row],[Valor Comercial (US$)]]/Tabla2[[#This Row],[Área techada (m²)4]]</f>
        <v>#REF!</v>
      </c>
      <c r="AC6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9" s="61" t="s">
        <v>43</v>
      </c>
      <c r="AE69" s="54">
        <f>IF(Tabla2[[#This Row],[Moneda]]="Soles",Tabla2[[#This Row],[Valor de Venta]]/Tabla2[[#This Row],[Área techada (m²)]]/Tabla2[[#This Row],[Tipo de Cambio]],Tabla2[[#This Row],[Valor de Venta]]/Tabla2[[#This Row],[Área techada (m²)]])</f>
        <v>881.6</v>
      </c>
      <c r="AF69" s="43" t="e">
        <f>_xlfn.XLOOKUP(Tabla2[[#This Row],[VISTA]],[1]!Table1[Clase],[1]!Table1[VUE (USD)],0,0,1)</f>
        <v>#REF!</v>
      </c>
      <c r="AG69" s="55" t="e">
        <f>+Tabla2[[#This Row],[Valor Comercial (S/.)]]/Tabla2[[#This Row],[Valor de Venta]]-1</f>
        <v>#REF!</v>
      </c>
    </row>
    <row r="70" spans="1:33" s="1" customFormat="1" ht="15" customHeight="1" x14ac:dyDescent="0.25">
      <c r="A70" s="60" t="s">
        <v>27</v>
      </c>
      <c r="B70" s="14">
        <v>803</v>
      </c>
      <c r="C70" s="11">
        <v>8</v>
      </c>
      <c r="D70" s="15"/>
      <c r="E70" s="15"/>
      <c r="F70" s="51">
        <f>ROUND(Tabla2[[#This Row],[Área ocupada (m²)]]/20*1.4,2)</f>
        <v>4.38</v>
      </c>
      <c r="G70" s="46">
        <v>62.5</v>
      </c>
      <c r="H70" s="46">
        <v>62.5</v>
      </c>
      <c r="I70" s="51">
        <f>ROUND(Tabla2[[#This Row],[Área techada (m²)]]*0.15,2)</f>
        <v>9.3800000000000008</v>
      </c>
      <c r="J70" s="47" t="s">
        <v>30</v>
      </c>
      <c r="K70" s="48">
        <v>197850</v>
      </c>
      <c r="L70" s="51">
        <f>ROUND(Tabla2[[#This Row],[Área ocupada (m²)3]]/20*1.4,2)</f>
        <v>4.38</v>
      </c>
      <c r="M70" s="37">
        <f>ROUND(Tabla2[[#This Row],[Área ocupada (m²)]],2)</f>
        <v>62.5</v>
      </c>
      <c r="N70" s="37">
        <f>ROUND(Tabla2[[#This Row],[Área techada (m²)]],2)</f>
        <v>62.5</v>
      </c>
      <c r="O70" s="52">
        <f>ROUND(Tabla2[[#This Row],[Área techada (m²)4]]*0.15,2)</f>
        <v>9.3800000000000008</v>
      </c>
      <c r="P70" s="52">
        <f>ROUND(Tabla2[[#This Row],[Área del terreno (m²)2]]*[1]DATA!$A$2,-2)</f>
        <v>3100</v>
      </c>
      <c r="Q70" s="38" t="e">
        <f>+Tabla2[[#This Row],[Valor Comercial (US$)]]-Tabla2[[#This Row],[Valor del terreno (US$)]]</f>
        <v>#REF!</v>
      </c>
      <c r="R7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0" s="53" t="e">
        <f>ROUND(Tabla2[[#This Row],[Valor Comercial (US$)]]*0.8,-2)</f>
        <v>#REF!</v>
      </c>
      <c r="T70" s="53">
        <f>IF($H$6=$G$5,R70,ROUND(Tabla2[[#This Row],[Área techada (m²)4]]*[1]DATA!$B$2*1.15,-2))</f>
        <v>32300</v>
      </c>
      <c r="U70" s="6">
        <f t="shared" si="0"/>
        <v>3.5</v>
      </c>
      <c r="V70" s="39">
        <f>ROUND(Tabla2[[#This Row],[Valor del terreno (US$)]]*Tabla2[[#This Row],[Tipo de Cambio]],-2)</f>
        <v>10900</v>
      </c>
      <c r="W70" s="39" t="e">
        <f>Tabla2[[#This Row],[Valor Comercial (S/.)]]-Tabla2[[#This Row],[Valor del terreno (S/.)]]</f>
        <v>#REF!</v>
      </c>
      <c r="X70" s="39" t="e">
        <f>ROUND(Tabla2[[#This Row],[Valor Comercial (US$)]]*Tabla2[[#This Row],[Tipo de Cambio]],-2)</f>
        <v>#REF!</v>
      </c>
      <c r="Y70" s="39" t="e">
        <f>ROUND(Tabla2[[#This Row],[Valor Realización (US$)]]*Tabla2[[#This Row],[Tipo de Cambio]],-2)</f>
        <v>#REF!</v>
      </c>
      <c r="Z70" s="39">
        <f>+ROUND(Tabla2[[#This Row],[Importe Asegurable (US$)]]*Tabla2[[#This Row],[Tipo de Cambio]],-2)</f>
        <v>113100</v>
      </c>
      <c r="AA70" s="40"/>
      <c r="AB70" s="2" t="e">
        <f>+Tabla2[[#This Row],[Valor Comercial (US$)]]/Tabla2[[#This Row],[Área techada (m²)4]]</f>
        <v>#REF!</v>
      </c>
      <c r="AC7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0" s="61" t="s">
        <v>42</v>
      </c>
      <c r="AE70" s="54">
        <f>IF(Tabla2[[#This Row],[Moneda]]="Soles",Tabla2[[#This Row],[Valor de Venta]]/Tabla2[[#This Row],[Área techada (m²)]]/Tabla2[[#This Row],[Tipo de Cambio]],Tabla2[[#This Row],[Valor de Venta]]/Tabla2[[#This Row],[Área techada (m²)]])</f>
        <v>904.4571428571428</v>
      </c>
      <c r="AF70" s="43" t="e">
        <f>_xlfn.XLOOKUP(Tabla2[[#This Row],[VISTA]],[1]!Table1[Clase],[1]!Table1[VUE (USD)],0,0,1)</f>
        <v>#REF!</v>
      </c>
      <c r="AG70" s="55" t="e">
        <f>+Tabla2[[#This Row],[Valor Comercial (S/.)]]/Tabla2[[#This Row],[Valor de Venta]]-1</f>
        <v>#REF!</v>
      </c>
    </row>
    <row r="71" spans="1:33" s="1" customFormat="1" ht="15" customHeight="1" x14ac:dyDescent="0.25">
      <c r="A71" s="60" t="s">
        <v>27</v>
      </c>
      <c r="B71" s="14">
        <v>804</v>
      </c>
      <c r="C71" s="11">
        <v>8</v>
      </c>
      <c r="D71" s="15"/>
      <c r="E71" s="15"/>
      <c r="F71" s="51">
        <f>ROUND(Tabla2[[#This Row],[Área ocupada (m²)]]/20*1.4,2)</f>
        <v>4.5599999999999996</v>
      </c>
      <c r="G71" s="46">
        <v>65.2</v>
      </c>
      <c r="H71" s="46">
        <v>65.2</v>
      </c>
      <c r="I71" s="51">
        <f>ROUND(Tabla2[[#This Row],[Área techada (m²)]]*0.15,2)</f>
        <v>9.7799999999999994</v>
      </c>
      <c r="J71" s="47" t="s">
        <v>30</v>
      </c>
      <c r="K71" s="48">
        <v>213750</v>
      </c>
      <c r="L71" s="51">
        <f>ROUND(Tabla2[[#This Row],[Área ocupada (m²)3]]/20*1.4,2)</f>
        <v>4.5599999999999996</v>
      </c>
      <c r="M71" s="37">
        <f>ROUND(Tabla2[[#This Row],[Área ocupada (m²)]],2)</f>
        <v>65.2</v>
      </c>
      <c r="N71" s="37">
        <f>ROUND(Tabla2[[#This Row],[Área techada (m²)]],2)</f>
        <v>65.2</v>
      </c>
      <c r="O71" s="52">
        <f>ROUND(Tabla2[[#This Row],[Área techada (m²)4]]*0.15,2)</f>
        <v>9.7799999999999994</v>
      </c>
      <c r="P71" s="52">
        <f>ROUND(Tabla2[[#This Row],[Área del terreno (m²)2]]*[1]DATA!$A$2,-2)</f>
        <v>3200</v>
      </c>
      <c r="Q71" s="38" t="e">
        <f>+Tabla2[[#This Row],[Valor Comercial (US$)]]-Tabla2[[#This Row],[Valor del terreno (US$)]]</f>
        <v>#REF!</v>
      </c>
      <c r="R7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1" s="53" t="e">
        <f>ROUND(Tabla2[[#This Row],[Valor Comercial (US$)]]*0.8,-2)</f>
        <v>#REF!</v>
      </c>
      <c r="T71" s="53">
        <f>IF($H$6=$G$5,R71,ROUND(Tabla2[[#This Row],[Área techada (m²)4]]*[1]DATA!$B$2*1.15,-2))</f>
        <v>33700</v>
      </c>
      <c r="U71" s="6">
        <f t="shared" si="0"/>
        <v>3.5</v>
      </c>
      <c r="V71" s="39">
        <f>ROUND(Tabla2[[#This Row],[Valor del terreno (US$)]]*Tabla2[[#This Row],[Tipo de Cambio]],-2)</f>
        <v>11200</v>
      </c>
      <c r="W71" s="39" t="e">
        <f>Tabla2[[#This Row],[Valor Comercial (S/.)]]-Tabla2[[#This Row],[Valor del terreno (S/.)]]</f>
        <v>#REF!</v>
      </c>
      <c r="X71" s="39" t="e">
        <f>ROUND(Tabla2[[#This Row],[Valor Comercial (US$)]]*Tabla2[[#This Row],[Tipo de Cambio]],-2)</f>
        <v>#REF!</v>
      </c>
      <c r="Y71" s="39" t="e">
        <f>ROUND(Tabla2[[#This Row],[Valor Realización (US$)]]*Tabla2[[#This Row],[Tipo de Cambio]],-2)</f>
        <v>#REF!</v>
      </c>
      <c r="Z71" s="39">
        <f>+ROUND(Tabla2[[#This Row],[Importe Asegurable (US$)]]*Tabla2[[#This Row],[Tipo de Cambio]],-2)</f>
        <v>118000</v>
      </c>
      <c r="AA71" s="40"/>
      <c r="AB71" s="2" t="e">
        <f>+Tabla2[[#This Row],[Valor Comercial (US$)]]/Tabla2[[#This Row],[Área techada (m²)4]]</f>
        <v>#REF!</v>
      </c>
      <c r="AC7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1" s="61" t="s">
        <v>41</v>
      </c>
      <c r="AE71" s="54">
        <f>IF(Tabla2[[#This Row],[Moneda]]="Soles",Tabla2[[#This Row],[Valor de Venta]]/Tabla2[[#This Row],[Área techada (m²)]]/Tabla2[[#This Row],[Tipo de Cambio]],Tabla2[[#This Row],[Valor de Venta]]/Tabla2[[#This Row],[Área techada (m²)]])</f>
        <v>936.67835232252401</v>
      </c>
      <c r="AF71" s="43" t="e">
        <f>_xlfn.XLOOKUP(Tabla2[[#This Row],[VISTA]],[1]!Table1[Clase],[1]!Table1[VUE (USD)],0,0,1)</f>
        <v>#REF!</v>
      </c>
      <c r="AG71" s="55" t="e">
        <f>+Tabla2[[#This Row],[Valor Comercial (S/.)]]/Tabla2[[#This Row],[Valor de Venta]]-1</f>
        <v>#REF!</v>
      </c>
    </row>
    <row r="72" spans="1:33" s="1" customFormat="1" ht="15" customHeight="1" x14ac:dyDescent="0.25">
      <c r="A72" s="60" t="s">
        <v>27</v>
      </c>
      <c r="B72" s="14">
        <v>805</v>
      </c>
      <c r="C72" s="11">
        <v>8</v>
      </c>
      <c r="D72" s="15"/>
      <c r="E72" s="15"/>
      <c r="F72" s="51">
        <f>ROUND(Tabla2[[#This Row],[Área ocupada (m²)]]/20*1.4,2)</f>
        <v>4.5599999999999996</v>
      </c>
      <c r="G72" s="46">
        <v>65.2</v>
      </c>
      <c r="H72" s="46">
        <v>65.2</v>
      </c>
      <c r="I72" s="51">
        <f>ROUND(Tabla2[[#This Row],[Área techada (m²)]]*0.15,2)</f>
        <v>9.7799999999999994</v>
      </c>
      <c r="J72" s="47" t="s">
        <v>30</v>
      </c>
      <c r="K72" s="48">
        <v>213750</v>
      </c>
      <c r="L72" s="51">
        <f>ROUND(Tabla2[[#This Row],[Área ocupada (m²)3]]/20*1.4,2)</f>
        <v>4.5599999999999996</v>
      </c>
      <c r="M72" s="37">
        <f>ROUND(Tabla2[[#This Row],[Área ocupada (m²)]],2)</f>
        <v>65.2</v>
      </c>
      <c r="N72" s="37">
        <f>ROUND(Tabla2[[#This Row],[Área techada (m²)]],2)</f>
        <v>65.2</v>
      </c>
      <c r="O72" s="52">
        <f>ROUND(Tabla2[[#This Row],[Área techada (m²)4]]*0.15,2)</f>
        <v>9.7799999999999994</v>
      </c>
      <c r="P72" s="52">
        <f>ROUND(Tabla2[[#This Row],[Área del terreno (m²)2]]*[1]DATA!$A$2,-2)</f>
        <v>3200</v>
      </c>
      <c r="Q72" s="38" t="e">
        <f>+Tabla2[[#This Row],[Valor Comercial (US$)]]-Tabla2[[#This Row],[Valor del terreno (US$)]]</f>
        <v>#REF!</v>
      </c>
      <c r="R7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2" s="53" t="e">
        <f>ROUND(Tabla2[[#This Row],[Valor Comercial (US$)]]*0.8,-2)</f>
        <v>#REF!</v>
      </c>
      <c r="T72" s="53">
        <f>IF($H$6=$G$5,R72,ROUND(Tabla2[[#This Row],[Área techada (m²)4]]*[1]DATA!$B$2*1.15,-2))</f>
        <v>33700</v>
      </c>
      <c r="U72" s="6">
        <f t="shared" si="0"/>
        <v>3.5</v>
      </c>
      <c r="V72" s="39">
        <f>ROUND(Tabla2[[#This Row],[Valor del terreno (US$)]]*Tabla2[[#This Row],[Tipo de Cambio]],-2)</f>
        <v>11200</v>
      </c>
      <c r="W72" s="39" t="e">
        <f>Tabla2[[#This Row],[Valor Comercial (S/.)]]-Tabla2[[#This Row],[Valor del terreno (S/.)]]</f>
        <v>#REF!</v>
      </c>
      <c r="X72" s="39" t="e">
        <f>ROUND(Tabla2[[#This Row],[Valor Comercial (US$)]]*Tabla2[[#This Row],[Tipo de Cambio]],-2)</f>
        <v>#REF!</v>
      </c>
      <c r="Y72" s="39" t="e">
        <f>ROUND(Tabla2[[#This Row],[Valor Realización (US$)]]*Tabla2[[#This Row],[Tipo de Cambio]],-2)</f>
        <v>#REF!</v>
      </c>
      <c r="Z72" s="39">
        <f>+ROUND(Tabla2[[#This Row],[Importe Asegurable (US$)]]*Tabla2[[#This Row],[Tipo de Cambio]],-2)</f>
        <v>118000</v>
      </c>
      <c r="AA72" s="40"/>
      <c r="AB72" s="2" t="e">
        <f>+Tabla2[[#This Row],[Valor Comercial (US$)]]/Tabla2[[#This Row],[Área techada (m²)4]]</f>
        <v>#REF!</v>
      </c>
      <c r="AC7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2" s="61" t="s">
        <v>41</v>
      </c>
      <c r="AE72" s="54">
        <f>IF(Tabla2[[#This Row],[Moneda]]="Soles",Tabla2[[#This Row],[Valor de Venta]]/Tabla2[[#This Row],[Área techada (m²)]]/Tabla2[[#This Row],[Tipo de Cambio]],Tabla2[[#This Row],[Valor de Venta]]/Tabla2[[#This Row],[Área techada (m²)]])</f>
        <v>936.67835232252401</v>
      </c>
      <c r="AF72" s="43" t="e">
        <f>_xlfn.XLOOKUP(Tabla2[[#This Row],[VISTA]],[1]!Table1[Clase],[1]!Table1[VUE (USD)],0,0,1)</f>
        <v>#REF!</v>
      </c>
      <c r="AG72" s="55" t="e">
        <f>+Tabla2[[#This Row],[Valor Comercial (S/.)]]/Tabla2[[#This Row],[Valor de Venta]]-1</f>
        <v>#REF!</v>
      </c>
    </row>
    <row r="73" spans="1:33" s="1" customFormat="1" ht="15" customHeight="1" x14ac:dyDescent="0.25">
      <c r="A73" s="60" t="s">
        <v>27</v>
      </c>
      <c r="B73" s="14">
        <v>806</v>
      </c>
      <c r="C73" s="11">
        <v>8</v>
      </c>
      <c r="D73" s="15"/>
      <c r="E73" s="15"/>
      <c r="F73" s="51">
        <f>ROUND(Tabla2[[#This Row],[Área ocupada (m²)]]/20*1.4,2)</f>
        <v>4.38</v>
      </c>
      <c r="G73" s="46">
        <v>62.5</v>
      </c>
      <c r="H73" s="46">
        <v>62.5</v>
      </c>
      <c r="I73" s="51">
        <f>ROUND(Tabla2[[#This Row],[Área techada (m²)]]*0.15,2)</f>
        <v>9.3800000000000008</v>
      </c>
      <c r="J73" s="47" t="s">
        <v>30</v>
      </c>
      <c r="K73" s="48">
        <v>200850</v>
      </c>
      <c r="L73" s="51">
        <f>ROUND(Tabla2[[#This Row],[Área ocupada (m²)3]]/20*1.4,2)</f>
        <v>4.38</v>
      </c>
      <c r="M73" s="37">
        <f>ROUND(Tabla2[[#This Row],[Área ocupada (m²)]],2)</f>
        <v>62.5</v>
      </c>
      <c r="N73" s="37">
        <f>ROUND(Tabla2[[#This Row],[Área techada (m²)]],2)</f>
        <v>62.5</v>
      </c>
      <c r="O73" s="52">
        <f>ROUND(Tabla2[[#This Row],[Área techada (m²)4]]*0.15,2)</f>
        <v>9.3800000000000008</v>
      </c>
      <c r="P73" s="52">
        <f>ROUND(Tabla2[[#This Row],[Área del terreno (m²)2]]*[1]DATA!$A$2,-2)</f>
        <v>3100</v>
      </c>
      <c r="Q73" s="38" t="e">
        <f>+Tabla2[[#This Row],[Valor Comercial (US$)]]-Tabla2[[#This Row],[Valor del terreno (US$)]]</f>
        <v>#REF!</v>
      </c>
      <c r="R7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3" s="53" t="e">
        <f>ROUND(Tabla2[[#This Row],[Valor Comercial (US$)]]*0.8,-2)</f>
        <v>#REF!</v>
      </c>
      <c r="T73" s="53">
        <f>IF($H$6=$G$5,R73,ROUND(Tabla2[[#This Row],[Área techada (m²)4]]*[1]DATA!$B$2*1.15,-2))</f>
        <v>32300</v>
      </c>
      <c r="U73" s="6">
        <f t="shared" si="0"/>
        <v>3.5</v>
      </c>
      <c r="V73" s="39">
        <f>ROUND(Tabla2[[#This Row],[Valor del terreno (US$)]]*Tabla2[[#This Row],[Tipo de Cambio]],-2)</f>
        <v>10900</v>
      </c>
      <c r="W73" s="39" t="e">
        <f>Tabla2[[#This Row],[Valor Comercial (S/.)]]-Tabla2[[#This Row],[Valor del terreno (S/.)]]</f>
        <v>#REF!</v>
      </c>
      <c r="X73" s="39" t="e">
        <f>ROUND(Tabla2[[#This Row],[Valor Comercial (US$)]]*Tabla2[[#This Row],[Tipo de Cambio]],-2)</f>
        <v>#REF!</v>
      </c>
      <c r="Y73" s="39" t="e">
        <f>ROUND(Tabla2[[#This Row],[Valor Realización (US$)]]*Tabla2[[#This Row],[Tipo de Cambio]],-2)</f>
        <v>#REF!</v>
      </c>
      <c r="Z73" s="39">
        <f>+ROUND(Tabla2[[#This Row],[Importe Asegurable (US$)]]*Tabla2[[#This Row],[Tipo de Cambio]],-2)</f>
        <v>113100</v>
      </c>
      <c r="AA73" s="40"/>
      <c r="AB73" s="2" t="e">
        <f>+Tabla2[[#This Row],[Valor Comercial (US$)]]/Tabla2[[#This Row],[Área techada (m²)4]]</f>
        <v>#REF!</v>
      </c>
      <c r="AC7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3" s="61" t="s">
        <v>42</v>
      </c>
      <c r="AE73" s="54">
        <f>IF(Tabla2[[#This Row],[Moneda]]="Soles",Tabla2[[#This Row],[Valor de Venta]]/Tabla2[[#This Row],[Área techada (m²)]]/Tabla2[[#This Row],[Tipo de Cambio]],Tabla2[[#This Row],[Valor de Venta]]/Tabla2[[#This Row],[Área techada (m²)]])</f>
        <v>918.17142857142858</v>
      </c>
      <c r="AF73" s="43" t="e">
        <f>_xlfn.XLOOKUP(Tabla2[[#This Row],[VISTA]],[1]!Table1[Clase],[1]!Table1[VUE (USD)],0,0,1)</f>
        <v>#REF!</v>
      </c>
      <c r="AG73" s="55" t="e">
        <f>+Tabla2[[#This Row],[Valor Comercial (S/.)]]/Tabla2[[#This Row],[Valor de Venta]]-1</f>
        <v>#REF!</v>
      </c>
    </row>
    <row r="74" spans="1:33" s="1" customFormat="1" ht="15" customHeight="1" x14ac:dyDescent="0.25">
      <c r="A74" s="60" t="s">
        <v>27</v>
      </c>
      <c r="B74" s="14">
        <v>807</v>
      </c>
      <c r="C74" s="11">
        <v>8</v>
      </c>
      <c r="D74" s="15"/>
      <c r="E74" s="15"/>
      <c r="F74" s="51">
        <f>ROUND(Tabla2[[#This Row],[Área ocupada (m²)]]/20*1.4,2)</f>
        <v>4.38</v>
      </c>
      <c r="G74" s="46">
        <v>62.5</v>
      </c>
      <c r="H74" s="46">
        <v>62.5</v>
      </c>
      <c r="I74" s="51">
        <f>ROUND(Tabla2[[#This Row],[Área techada (m²)]]*0.15,2)</f>
        <v>9.3800000000000008</v>
      </c>
      <c r="J74" s="47" t="s">
        <v>30</v>
      </c>
      <c r="K74" s="48">
        <v>193850</v>
      </c>
      <c r="L74" s="51">
        <f>ROUND(Tabla2[[#This Row],[Área ocupada (m²)3]]/20*1.4,2)</f>
        <v>4.38</v>
      </c>
      <c r="M74" s="37">
        <f>ROUND(Tabla2[[#This Row],[Área ocupada (m²)]],2)</f>
        <v>62.5</v>
      </c>
      <c r="N74" s="37">
        <f>ROUND(Tabla2[[#This Row],[Área techada (m²)]],2)</f>
        <v>62.5</v>
      </c>
      <c r="O74" s="52">
        <f>ROUND(Tabla2[[#This Row],[Área techada (m²)4]]*0.15,2)</f>
        <v>9.3800000000000008</v>
      </c>
      <c r="P74" s="52">
        <f>ROUND(Tabla2[[#This Row],[Área del terreno (m²)2]]*[1]DATA!$A$2,-2)</f>
        <v>3100</v>
      </c>
      <c r="Q74" s="38" t="e">
        <f>+Tabla2[[#This Row],[Valor Comercial (US$)]]-Tabla2[[#This Row],[Valor del terreno (US$)]]</f>
        <v>#REF!</v>
      </c>
      <c r="R7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4" s="53" t="e">
        <f>ROUND(Tabla2[[#This Row],[Valor Comercial (US$)]]*0.8,-2)</f>
        <v>#REF!</v>
      </c>
      <c r="T74" s="53">
        <f>IF($H$6=$G$5,R74,ROUND(Tabla2[[#This Row],[Área techada (m²)4]]*[1]DATA!$B$2*1.15,-2))</f>
        <v>32300</v>
      </c>
      <c r="U74" s="6">
        <f t="shared" si="0"/>
        <v>3.5</v>
      </c>
      <c r="V74" s="39">
        <f>ROUND(Tabla2[[#This Row],[Valor del terreno (US$)]]*Tabla2[[#This Row],[Tipo de Cambio]],-2)</f>
        <v>10900</v>
      </c>
      <c r="W74" s="39" t="e">
        <f>Tabla2[[#This Row],[Valor Comercial (S/.)]]-Tabla2[[#This Row],[Valor del terreno (S/.)]]</f>
        <v>#REF!</v>
      </c>
      <c r="X74" s="39" t="e">
        <f>ROUND(Tabla2[[#This Row],[Valor Comercial (US$)]]*Tabla2[[#This Row],[Tipo de Cambio]],-2)</f>
        <v>#REF!</v>
      </c>
      <c r="Y74" s="39" t="e">
        <f>ROUND(Tabla2[[#This Row],[Valor Realización (US$)]]*Tabla2[[#This Row],[Tipo de Cambio]],-2)</f>
        <v>#REF!</v>
      </c>
      <c r="Z74" s="39">
        <f>+ROUND(Tabla2[[#This Row],[Importe Asegurable (US$)]]*Tabla2[[#This Row],[Tipo de Cambio]],-2)</f>
        <v>113100</v>
      </c>
      <c r="AA74" s="40"/>
      <c r="AB74" s="2" t="e">
        <f>+Tabla2[[#This Row],[Valor Comercial (US$)]]/Tabla2[[#This Row],[Área techada (m²)4]]</f>
        <v>#REF!</v>
      </c>
      <c r="AC7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4" s="61" t="s">
        <v>43</v>
      </c>
      <c r="AE74" s="54">
        <f>IF(Tabla2[[#This Row],[Moneda]]="Soles",Tabla2[[#This Row],[Valor de Venta]]/Tabla2[[#This Row],[Área techada (m²)]]/Tabla2[[#This Row],[Tipo de Cambio]],Tabla2[[#This Row],[Valor de Venta]]/Tabla2[[#This Row],[Área techada (m²)]])</f>
        <v>886.17142857142858</v>
      </c>
      <c r="AF74" s="43" t="e">
        <f>_xlfn.XLOOKUP(Tabla2[[#This Row],[VISTA]],[1]!Table1[Clase],[1]!Table1[VUE (USD)],0,0,1)</f>
        <v>#REF!</v>
      </c>
      <c r="AG74" s="55" t="e">
        <f>+Tabla2[[#This Row],[Valor Comercial (S/.)]]/Tabla2[[#This Row],[Valor de Venta]]-1</f>
        <v>#REF!</v>
      </c>
    </row>
    <row r="75" spans="1:33" s="1" customFormat="1" ht="15" customHeight="1" x14ac:dyDescent="0.25">
      <c r="A75" s="60" t="s">
        <v>27</v>
      </c>
      <c r="B75" s="14">
        <v>808</v>
      </c>
      <c r="C75" s="11">
        <v>8</v>
      </c>
      <c r="D75" s="15"/>
      <c r="E75" s="15"/>
      <c r="F75" s="51">
        <f>ROUND(Tabla2[[#This Row],[Área ocupada (m²)]]/20*1.4,2)</f>
        <v>4.5599999999999996</v>
      </c>
      <c r="G75" s="46">
        <v>65.2</v>
      </c>
      <c r="H75" s="46">
        <v>65.2</v>
      </c>
      <c r="I75" s="51">
        <f>ROUND(Tabla2[[#This Row],[Área techada (m²)]]*0.15,2)</f>
        <v>9.7799999999999994</v>
      </c>
      <c r="J75" s="47" t="s">
        <v>30</v>
      </c>
      <c r="K75" s="48">
        <v>235750</v>
      </c>
      <c r="L75" s="51">
        <f>ROUND(Tabla2[[#This Row],[Área ocupada (m²)3]]/20*1.4,2)</f>
        <v>4.5599999999999996</v>
      </c>
      <c r="M75" s="37">
        <f>ROUND(Tabla2[[#This Row],[Área ocupada (m²)]],2)</f>
        <v>65.2</v>
      </c>
      <c r="N75" s="37">
        <f>ROUND(Tabla2[[#This Row],[Área techada (m²)]],2)</f>
        <v>65.2</v>
      </c>
      <c r="O75" s="52">
        <f>ROUND(Tabla2[[#This Row],[Área techada (m²)4]]*0.15,2)</f>
        <v>9.7799999999999994</v>
      </c>
      <c r="P75" s="52">
        <f>ROUND(Tabla2[[#This Row],[Área del terreno (m²)2]]*[1]DATA!$A$2,-2)</f>
        <v>3200</v>
      </c>
      <c r="Q75" s="38" t="e">
        <f>+Tabla2[[#This Row],[Valor Comercial (US$)]]-Tabla2[[#This Row],[Valor del terreno (US$)]]</f>
        <v>#REF!</v>
      </c>
      <c r="R7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5" s="53" t="e">
        <f>ROUND(Tabla2[[#This Row],[Valor Comercial (US$)]]*0.8,-2)</f>
        <v>#REF!</v>
      </c>
      <c r="T75" s="53">
        <f>IF($H$6=$G$5,R75,ROUND(Tabla2[[#This Row],[Área techada (m²)4]]*[1]DATA!$B$2*1.15,-2))</f>
        <v>33700</v>
      </c>
      <c r="U75" s="6">
        <f t="shared" si="0"/>
        <v>3.5</v>
      </c>
      <c r="V75" s="39">
        <f>ROUND(Tabla2[[#This Row],[Valor del terreno (US$)]]*Tabla2[[#This Row],[Tipo de Cambio]],-2)</f>
        <v>11200</v>
      </c>
      <c r="W75" s="39" t="e">
        <f>Tabla2[[#This Row],[Valor Comercial (S/.)]]-Tabla2[[#This Row],[Valor del terreno (S/.)]]</f>
        <v>#REF!</v>
      </c>
      <c r="X75" s="39" t="e">
        <f>ROUND(Tabla2[[#This Row],[Valor Comercial (US$)]]*Tabla2[[#This Row],[Tipo de Cambio]],-2)</f>
        <v>#REF!</v>
      </c>
      <c r="Y75" s="39" t="e">
        <f>ROUND(Tabla2[[#This Row],[Valor Realización (US$)]]*Tabla2[[#This Row],[Tipo de Cambio]],-2)</f>
        <v>#REF!</v>
      </c>
      <c r="Z75" s="39">
        <f>+ROUND(Tabla2[[#This Row],[Importe Asegurable (US$)]]*Tabla2[[#This Row],[Tipo de Cambio]],-2)</f>
        <v>118000</v>
      </c>
      <c r="AA75" s="40"/>
      <c r="AB75" s="2" t="e">
        <f>+Tabla2[[#This Row],[Valor Comercial (US$)]]/Tabla2[[#This Row],[Área techada (m²)4]]</f>
        <v>#REF!</v>
      </c>
      <c r="AC7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5" s="61" t="s">
        <v>39</v>
      </c>
      <c r="AE75" s="54">
        <f>IF(Tabla2[[#This Row],[Moneda]]="Soles",Tabla2[[#This Row],[Valor de Venta]]/Tabla2[[#This Row],[Área techada (m²)]]/Tabla2[[#This Row],[Tipo de Cambio]],Tabla2[[#This Row],[Valor de Venta]]/Tabla2[[#This Row],[Área techada (m²)]])</f>
        <v>1033.0850131463628</v>
      </c>
      <c r="AF75" s="43" t="e">
        <f>_xlfn.XLOOKUP(Tabla2[[#This Row],[VISTA]],[1]!Table1[Clase],[1]!Table1[VUE (USD)],0,0,1)</f>
        <v>#REF!</v>
      </c>
      <c r="AG75" s="55" t="e">
        <f>+Tabla2[[#This Row],[Valor Comercial (S/.)]]/Tabla2[[#This Row],[Valor de Venta]]-1</f>
        <v>#REF!</v>
      </c>
    </row>
    <row r="76" spans="1:33" s="1" customFormat="1" ht="15" customHeight="1" x14ac:dyDescent="0.25">
      <c r="A76" s="60" t="s">
        <v>27</v>
      </c>
      <c r="B76" s="14">
        <v>901</v>
      </c>
      <c r="C76" s="11">
        <v>9</v>
      </c>
      <c r="D76" s="15"/>
      <c r="E76" s="15"/>
      <c r="F76" s="51">
        <f>ROUND(Tabla2[[#This Row],[Área ocupada (m²)]]/20*1.4,2)</f>
        <v>4.5599999999999996</v>
      </c>
      <c r="G76" s="46">
        <v>65.2</v>
      </c>
      <c r="H76" s="46">
        <v>65.2</v>
      </c>
      <c r="I76" s="51">
        <f>ROUND(Tabla2[[#This Row],[Área techada (m²)]]*0.15,2)</f>
        <v>9.7799999999999994</v>
      </c>
      <c r="J76" s="47" t="s">
        <v>30</v>
      </c>
      <c r="K76" s="48">
        <v>203750</v>
      </c>
      <c r="L76" s="51">
        <f>ROUND(Tabla2[[#This Row],[Área ocupada (m²)3]]/20*1.4,2)</f>
        <v>4.5599999999999996</v>
      </c>
      <c r="M76" s="37">
        <f>ROUND(Tabla2[[#This Row],[Área ocupada (m²)]],2)</f>
        <v>65.2</v>
      </c>
      <c r="N76" s="37">
        <f>ROUND(Tabla2[[#This Row],[Área techada (m²)]],2)</f>
        <v>65.2</v>
      </c>
      <c r="O76" s="52">
        <f>ROUND(Tabla2[[#This Row],[Área techada (m²)4]]*0.15,2)</f>
        <v>9.7799999999999994</v>
      </c>
      <c r="P76" s="52">
        <f>ROUND(Tabla2[[#This Row],[Área del terreno (m²)2]]*[1]DATA!$A$2,-2)</f>
        <v>3200</v>
      </c>
      <c r="Q76" s="38" t="e">
        <f>+Tabla2[[#This Row],[Valor Comercial (US$)]]-Tabla2[[#This Row],[Valor del terreno (US$)]]</f>
        <v>#REF!</v>
      </c>
      <c r="R7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6" s="53" t="e">
        <f>ROUND(Tabla2[[#This Row],[Valor Comercial (US$)]]*0.8,-2)</f>
        <v>#REF!</v>
      </c>
      <c r="T76" s="53">
        <f>IF($H$6=$G$5,R76,ROUND(Tabla2[[#This Row],[Área techada (m²)4]]*[1]DATA!$B$2*1.15,-2))</f>
        <v>33700</v>
      </c>
      <c r="U76" s="6">
        <f t="shared" si="0"/>
        <v>3.5</v>
      </c>
      <c r="V76" s="39">
        <f>ROUND(Tabla2[[#This Row],[Valor del terreno (US$)]]*Tabla2[[#This Row],[Tipo de Cambio]],-2)</f>
        <v>11200</v>
      </c>
      <c r="W76" s="39" t="e">
        <f>Tabla2[[#This Row],[Valor Comercial (S/.)]]-Tabla2[[#This Row],[Valor del terreno (S/.)]]</f>
        <v>#REF!</v>
      </c>
      <c r="X76" s="39" t="e">
        <f>ROUND(Tabla2[[#This Row],[Valor Comercial (US$)]]*Tabla2[[#This Row],[Tipo de Cambio]],-2)</f>
        <v>#REF!</v>
      </c>
      <c r="Y76" s="39" t="e">
        <f>ROUND(Tabla2[[#This Row],[Valor Realización (US$)]]*Tabla2[[#This Row],[Tipo de Cambio]],-2)</f>
        <v>#REF!</v>
      </c>
      <c r="Z76" s="39">
        <f>+ROUND(Tabla2[[#This Row],[Importe Asegurable (US$)]]*Tabla2[[#This Row],[Tipo de Cambio]],-2)</f>
        <v>118000</v>
      </c>
      <c r="AA76" s="40"/>
      <c r="AB76" s="2" t="e">
        <f>+Tabla2[[#This Row],[Valor Comercial (US$)]]/Tabla2[[#This Row],[Área techada (m²)4]]</f>
        <v>#REF!</v>
      </c>
      <c r="AC7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6" s="61" t="s">
        <v>42</v>
      </c>
      <c r="AE76" s="54">
        <f>IF(Tabla2[[#This Row],[Moneda]]="Soles",Tabla2[[#This Row],[Valor de Venta]]/Tabla2[[#This Row],[Área techada (m²)]]/Tabla2[[#This Row],[Tipo de Cambio]],Tabla2[[#This Row],[Valor de Venta]]/Tabla2[[#This Row],[Área techada (m²)]])</f>
        <v>892.85714285714289</v>
      </c>
      <c r="AF76" s="43" t="e">
        <f>_xlfn.XLOOKUP(Tabla2[[#This Row],[VISTA]],[1]!Table1[Clase],[1]!Table1[VUE (USD)],0,0,1)</f>
        <v>#REF!</v>
      </c>
      <c r="AG76" s="55" t="e">
        <f>+Tabla2[[#This Row],[Valor Comercial (S/.)]]/Tabla2[[#This Row],[Valor de Venta]]-1</f>
        <v>#REF!</v>
      </c>
    </row>
    <row r="77" spans="1:33" s="1" customFormat="1" ht="15" customHeight="1" x14ac:dyDescent="0.25">
      <c r="A77" s="60" t="s">
        <v>27</v>
      </c>
      <c r="B77" s="14">
        <v>902</v>
      </c>
      <c r="C77" s="11">
        <v>9</v>
      </c>
      <c r="D77" s="15"/>
      <c r="E77" s="15"/>
      <c r="F77" s="51">
        <f>ROUND(Tabla2[[#This Row],[Área ocupada (m²)]]/20*1.4,2)</f>
        <v>4.38</v>
      </c>
      <c r="G77" s="46">
        <v>62.5</v>
      </c>
      <c r="H77" s="46">
        <v>62.5</v>
      </c>
      <c r="I77" s="51">
        <f>ROUND(Tabla2[[#This Row],[Área techada (m²)]]*0.15,2)</f>
        <v>9.3800000000000008</v>
      </c>
      <c r="J77" s="47" t="s">
        <v>30</v>
      </c>
      <c r="K77" s="48">
        <v>190950</v>
      </c>
      <c r="L77" s="51">
        <f>ROUND(Tabla2[[#This Row],[Área ocupada (m²)3]]/20*1.4,2)</f>
        <v>4.38</v>
      </c>
      <c r="M77" s="37">
        <f>ROUND(Tabla2[[#This Row],[Área ocupada (m²)]],2)</f>
        <v>62.5</v>
      </c>
      <c r="N77" s="37">
        <f>ROUND(Tabla2[[#This Row],[Área techada (m²)]],2)</f>
        <v>62.5</v>
      </c>
      <c r="O77" s="52">
        <f>ROUND(Tabla2[[#This Row],[Área techada (m²)4]]*0.15,2)</f>
        <v>9.3800000000000008</v>
      </c>
      <c r="P77" s="52">
        <f>ROUND(Tabla2[[#This Row],[Área del terreno (m²)2]]*[1]DATA!$A$2,-2)</f>
        <v>3100</v>
      </c>
      <c r="Q77" s="38" t="e">
        <f>+Tabla2[[#This Row],[Valor Comercial (US$)]]-Tabla2[[#This Row],[Valor del terreno (US$)]]</f>
        <v>#REF!</v>
      </c>
      <c r="R7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7" s="53" t="e">
        <f>ROUND(Tabla2[[#This Row],[Valor Comercial (US$)]]*0.8,-2)</f>
        <v>#REF!</v>
      </c>
      <c r="T77" s="53">
        <f>IF($H$6=$G$5,R77,ROUND(Tabla2[[#This Row],[Área techada (m²)4]]*[1]DATA!$B$2*1.15,-2))</f>
        <v>32300</v>
      </c>
      <c r="U77" s="6">
        <f t="shared" ref="U77:U140" si="1">+$G$8</f>
        <v>3.5</v>
      </c>
      <c r="V77" s="39">
        <f>ROUND(Tabla2[[#This Row],[Valor del terreno (US$)]]*Tabla2[[#This Row],[Tipo de Cambio]],-2)</f>
        <v>10900</v>
      </c>
      <c r="W77" s="39" t="e">
        <f>Tabla2[[#This Row],[Valor Comercial (S/.)]]-Tabla2[[#This Row],[Valor del terreno (S/.)]]</f>
        <v>#REF!</v>
      </c>
      <c r="X77" s="39" t="e">
        <f>ROUND(Tabla2[[#This Row],[Valor Comercial (US$)]]*Tabla2[[#This Row],[Tipo de Cambio]],-2)</f>
        <v>#REF!</v>
      </c>
      <c r="Y77" s="39" t="e">
        <f>ROUND(Tabla2[[#This Row],[Valor Realización (US$)]]*Tabla2[[#This Row],[Tipo de Cambio]],-2)</f>
        <v>#REF!</v>
      </c>
      <c r="Z77" s="39">
        <f>+ROUND(Tabla2[[#This Row],[Importe Asegurable (US$)]]*Tabla2[[#This Row],[Tipo de Cambio]],-2)</f>
        <v>113100</v>
      </c>
      <c r="AA77" s="40"/>
      <c r="AB77" s="2" t="e">
        <f>+Tabla2[[#This Row],[Valor Comercial (US$)]]/Tabla2[[#This Row],[Área techada (m²)4]]</f>
        <v>#REF!</v>
      </c>
      <c r="AC7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7" s="61" t="s">
        <v>43</v>
      </c>
      <c r="AE77" s="54">
        <f>IF(Tabla2[[#This Row],[Moneda]]="Soles",Tabla2[[#This Row],[Valor de Venta]]/Tabla2[[#This Row],[Área techada (m²)]]/Tabla2[[#This Row],[Tipo de Cambio]],Tabla2[[#This Row],[Valor de Venta]]/Tabla2[[#This Row],[Área techada (m²)]])</f>
        <v>872.91428571428571</v>
      </c>
      <c r="AF77" s="43" t="e">
        <f>_xlfn.XLOOKUP(Tabla2[[#This Row],[VISTA]],[1]!Table1[Clase],[1]!Table1[VUE (USD)],0,0,1)</f>
        <v>#REF!</v>
      </c>
      <c r="AG77" s="55" t="e">
        <f>+Tabla2[[#This Row],[Valor Comercial (S/.)]]/Tabla2[[#This Row],[Valor de Venta]]-1</f>
        <v>#REF!</v>
      </c>
    </row>
    <row r="78" spans="1:33" s="1" customFormat="1" ht="15" customHeight="1" x14ac:dyDescent="0.25">
      <c r="A78" s="60" t="s">
        <v>27</v>
      </c>
      <c r="B78" s="14">
        <v>903</v>
      </c>
      <c r="C78" s="11">
        <v>9</v>
      </c>
      <c r="D78" s="15"/>
      <c r="E78" s="15"/>
      <c r="F78" s="51">
        <f>ROUND(Tabla2[[#This Row],[Área ocupada (m²)]]/20*1.4,2)</f>
        <v>4.38</v>
      </c>
      <c r="G78" s="46">
        <v>62.5</v>
      </c>
      <c r="H78" s="46">
        <v>62.5</v>
      </c>
      <c r="I78" s="51">
        <f>ROUND(Tabla2[[#This Row],[Área techada (m²)]]*0.15,2)</f>
        <v>9.3800000000000008</v>
      </c>
      <c r="J78" s="47" t="s">
        <v>30</v>
      </c>
      <c r="K78" s="48">
        <v>195950</v>
      </c>
      <c r="L78" s="51">
        <f>ROUND(Tabla2[[#This Row],[Área ocupada (m²)3]]/20*1.4,2)</f>
        <v>4.38</v>
      </c>
      <c r="M78" s="37">
        <f>ROUND(Tabla2[[#This Row],[Área ocupada (m²)]],2)</f>
        <v>62.5</v>
      </c>
      <c r="N78" s="37">
        <f>ROUND(Tabla2[[#This Row],[Área techada (m²)]],2)</f>
        <v>62.5</v>
      </c>
      <c r="O78" s="52">
        <f>ROUND(Tabla2[[#This Row],[Área techada (m²)4]]*0.15,2)</f>
        <v>9.3800000000000008</v>
      </c>
      <c r="P78" s="52">
        <f>ROUND(Tabla2[[#This Row],[Área del terreno (m²)2]]*[1]DATA!$A$2,-2)</f>
        <v>3100</v>
      </c>
      <c r="Q78" s="38" t="e">
        <f>+Tabla2[[#This Row],[Valor Comercial (US$)]]-Tabla2[[#This Row],[Valor del terreno (US$)]]</f>
        <v>#REF!</v>
      </c>
      <c r="R7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8" s="53" t="e">
        <f>ROUND(Tabla2[[#This Row],[Valor Comercial (US$)]]*0.8,-2)</f>
        <v>#REF!</v>
      </c>
      <c r="T78" s="53">
        <f>IF($H$6=$G$5,R78,ROUND(Tabla2[[#This Row],[Área techada (m²)4]]*[1]DATA!$B$2*1.15,-2))</f>
        <v>32300</v>
      </c>
      <c r="U78" s="6">
        <f t="shared" si="1"/>
        <v>3.5</v>
      </c>
      <c r="V78" s="39">
        <f>ROUND(Tabla2[[#This Row],[Valor del terreno (US$)]]*Tabla2[[#This Row],[Tipo de Cambio]],-2)</f>
        <v>10900</v>
      </c>
      <c r="W78" s="39" t="e">
        <f>Tabla2[[#This Row],[Valor Comercial (S/.)]]-Tabla2[[#This Row],[Valor del terreno (S/.)]]</f>
        <v>#REF!</v>
      </c>
      <c r="X78" s="39" t="e">
        <f>ROUND(Tabla2[[#This Row],[Valor Comercial (US$)]]*Tabla2[[#This Row],[Tipo de Cambio]],-2)</f>
        <v>#REF!</v>
      </c>
      <c r="Y78" s="39" t="e">
        <f>ROUND(Tabla2[[#This Row],[Valor Realización (US$)]]*Tabla2[[#This Row],[Tipo de Cambio]],-2)</f>
        <v>#REF!</v>
      </c>
      <c r="Z78" s="39">
        <f>+ROUND(Tabla2[[#This Row],[Importe Asegurable (US$)]]*Tabla2[[#This Row],[Tipo de Cambio]],-2)</f>
        <v>113100</v>
      </c>
      <c r="AA78" s="40"/>
      <c r="AB78" s="2" t="e">
        <f>+Tabla2[[#This Row],[Valor Comercial (US$)]]/Tabla2[[#This Row],[Área techada (m²)4]]</f>
        <v>#REF!</v>
      </c>
      <c r="AC7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8" s="61" t="s">
        <v>42</v>
      </c>
      <c r="AE78" s="54">
        <f>IF(Tabla2[[#This Row],[Moneda]]="Soles",Tabla2[[#This Row],[Valor de Venta]]/Tabla2[[#This Row],[Área techada (m²)]]/Tabla2[[#This Row],[Tipo de Cambio]],Tabla2[[#This Row],[Valor de Venta]]/Tabla2[[#This Row],[Área techada (m²)]])</f>
        <v>895.77142857142849</v>
      </c>
      <c r="AF78" s="43" t="e">
        <f>_xlfn.XLOOKUP(Tabla2[[#This Row],[VISTA]],[1]!Table1[Clase],[1]!Table1[VUE (USD)],0,0,1)</f>
        <v>#REF!</v>
      </c>
      <c r="AG78" s="55" t="e">
        <f>+Tabla2[[#This Row],[Valor Comercial (S/.)]]/Tabla2[[#This Row],[Valor de Venta]]-1</f>
        <v>#REF!</v>
      </c>
    </row>
    <row r="79" spans="1:33" s="1" customFormat="1" ht="15" customHeight="1" x14ac:dyDescent="0.25">
      <c r="A79" s="60" t="s">
        <v>27</v>
      </c>
      <c r="B79" s="14">
        <v>904</v>
      </c>
      <c r="C79" s="11">
        <v>9</v>
      </c>
      <c r="D79" s="15"/>
      <c r="E79" s="15"/>
      <c r="F79" s="51">
        <f>ROUND(Tabla2[[#This Row],[Área ocupada (m²)]]/20*1.4,2)</f>
        <v>4.5599999999999996</v>
      </c>
      <c r="G79" s="46">
        <v>65.2</v>
      </c>
      <c r="H79" s="46">
        <v>65.2</v>
      </c>
      <c r="I79" s="51">
        <f>ROUND(Tabla2[[#This Row],[Área techada (m²)]]*0.15,2)</f>
        <v>9.7799999999999994</v>
      </c>
      <c r="J79" s="47" t="s">
        <v>30</v>
      </c>
      <c r="K79" s="48">
        <v>214750</v>
      </c>
      <c r="L79" s="51">
        <f>ROUND(Tabla2[[#This Row],[Área ocupada (m²)3]]/20*1.4,2)</f>
        <v>4.5599999999999996</v>
      </c>
      <c r="M79" s="37">
        <f>ROUND(Tabla2[[#This Row],[Área ocupada (m²)]],2)</f>
        <v>65.2</v>
      </c>
      <c r="N79" s="37">
        <f>ROUND(Tabla2[[#This Row],[Área techada (m²)]],2)</f>
        <v>65.2</v>
      </c>
      <c r="O79" s="52">
        <f>ROUND(Tabla2[[#This Row],[Área techada (m²)4]]*0.15,2)</f>
        <v>9.7799999999999994</v>
      </c>
      <c r="P79" s="52">
        <f>ROUND(Tabla2[[#This Row],[Área del terreno (m²)2]]*[1]DATA!$A$2,-2)</f>
        <v>3200</v>
      </c>
      <c r="Q79" s="38" t="e">
        <f>+Tabla2[[#This Row],[Valor Comercial (US$)]]-Tabla2[[#This Row],[Valor del terreno (US$)]]</f>
        <v>#REF!</v>
      </c>
      <c r="R7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9" s="53" t="e">
        <f>ROUND(Tabla2[[#This Row],[Valor Comercial (US$)]]*0.8,-2)</f>
        <v>#REF!</v>
      </c>
      <c r="T79" s="53">
        <f>IF($H$6=$G$5,R79,ROUND(Tabla2[[#This Row],[Área techada (m²)4]]*[1]DATA!$B$2*1.15,-2))</f>
        <v>33700</v>
      </c>
      <c r="U79" s="6">
        <f t="shared" si="1"/>
        <v>3.5</v>
      </c>
      <c r="V79" s="39">
        <f>ROUND(Tabla2[[#This Row],[Valor del terreno (US$)]]*Tabla2[[#This Row],[Tipo de Cambio]],-2)</f>
        <v>11200</v>
      </c>
      <c r="W79" s="39" t="e">
        <f>Tabla2[[#This Row],[Valor Comercial (S/.)]]-Tabla2[[#This Row],[Valor del terreno (S/.)]]</f>
        <v>#REF!</v>
      </c>
      <c r="X79" s="39" t="e">
        <f>ROUND(Tabla2[[#This Row],[Valor Comercial (US$)]]*Tabla2[[#This Row],[Tipo de Cambio]],-2)</f>
        <v>#REF!</v>
      </c>
      <c r="Y79" s="39" t="e">
        <f>ROUND(Tabla2[[#This Row],[Valor Realización (US$)]]*Tabla2[[#This Row],[Tipo de Cambio]],-2)</f>
        <v>#REF!</v>
      </c>
      <c r="Z79" s="39">
        <f>+ROUND(Tabla2[[#This Row],[Importe Asegurable (US$)]]*Tabla2[[#This Row],[Tipo de Cambio]],-2)</f>
        <v>118000</v>
      </c>
      <c r="AA79" s="40"/>
      <c r="AB79" s="2" t="e">
        <f>+Tabla2[[#This Row],[Valor Comercial (US$)]]/Tabla2[[#This Row],[Área techada (m²)4]]</f>
        <v>#REF!</v>
      </c>
      <c r="AC7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9" s="61" t="s">
        <v>41</v>
      </c>
      <c r="AE79" s="54">
        <f>IF(Tabla2[[#This Row],[Moneda]]="Soles",Tabla2[[#This Row],[Valor de Venta]]/Tabla2[[#This Row],[Área techada (m²)]]/Tabla2[[#This Row],[Tipo de Cambio]],Tabla2[[#This Row],[Valor de Venta]]/Tabla2[[#This Row],[Área techada (m²)]])</f>
        <v>941.06047326906207</v>
      </c>
      <c r="AF79" s="43" t="e">
        <f>_xlfn.XLOOKUP(Tabla2[[#This Row],[VISTA]],[1]!Table1[Clase],[1]!Table1[VUE (USD)],0,0,1)</f>
        <v>#REF!</v>
      </c>
      <c r="AG79" s="55" t="e">
        <f>+Tabla2[[#This Row],[Valor Comercial (S/.)]]/Tabla2[[#This Row],[Valor de Venta]]-1</f>
        <v>#REF!</v>
      </c>
    </row>
    <row r="80" spans="1:33" s="1" customFormat="1" ht="15" customHeight="1" x14ac:dyDescent="0.25">
      <c r="A80" s="60" t="s">
        <v>27</v>
      </c>
      <c r="B80" s="14">
        <v>905</v>
      </c>
      <c r="C80" s="11">
        <v>9</v>
      </c>
      <c r="D80" s="15"/>
      <c r="E80" s="15"/>
      <c r="F80" s="51">
        <f>ROUND(Tabla2[[#This Row],[Área ocupada (m²)]]/20*1.4,2)</f>
        <v>4.5599999999999996</v>
      </c>
      <c r="G80" s="46">
        <v>65.2</v>
      </c>
      <c r="H80" s="46">
        <v>65.2</v>
      </c>
      <c r="I80" s="51">
        <f>ROUND(Tabla2[[#This Row],[Área techada (m²)]]*0.15,2)</f>
        <v>9.7799999999999994</v>
      </c>
      <c r="J80" s="47" t="s">
        <v>30</v>
      </c>
      <c r="K80" s="48">
        <v>208750</v>
      </c>
      <c r="L80" s="51">
        <f>ROUND(Tabla2[[#This Row],[Área ocupada (m²)3]]/20*1.4,2)</f>
        <v>4.5599999999999996</v>
      </c>
      <c r="M80" s="37">
        <f>ROUND(Tabla2[[#This Row],[Área ocupada (m²)]],2)</f>
        <v>65.2</v>
      </c>
      <c r="N80" s="37">
        <f>ROUND(Tabla2[[#This Row],[Área techada (m²)]],2)</f>
        <v>65.2</v>
      </c>
      <c r="O80" s="52">
        <f>ROUND(Tabla2[[#This Row],[Área techada (m²)4]]*0.15,2)</f>
        <v>9.7799999999999994</v>
      </c>
      <c r="P80" s="52">
        <f>ROUND(Tabla2[[#This Row],[Área del terreno (m²)2]]*[1]DATA!$A$2,-2)</f>
        <v>3200</v>
      </c>
      <c r="Q80" s="38" t="e">
        <f>+Tabla2[[#This Row],[Valor Comercial (US$)]]-Tabla2[[#This Row],[Valor del terreno (US$)]]</f>
        <v>#REF!</v>
      </c>
      <c r="R8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0" s="53" t="e">
        <f>ROUND(Tabla2[[#This Row],[Valor Comercial (US$)]]*0.8,-2)</f>
        <v>#REF!</v>
      </c>
      <c r="T80" s="53">
        <f>IF($H$6=$G$5,R80,ROUND(Tabla2[[#This Row],[Área techada (m²)4]]*[1]DATA!$B$2*1.15,-2))</f>
        <v>33700</v>
      </c>
      <c r="U80" s="6">
        <f t="shared" si="1"/>
        <v>3.5</v>
      </c>
      <c r="V80" s="39">
        <f>ROUND(Tabla2[[#This Row],[Valor del terreno (US$)]]*Tabla2[[#This Row],[Tipo de Cambio]],-2)</f>
        <v>11200</v>
      </c>
      <c r="W80" s="39" t="e">
        <f>Tabla2[[#This Row],[Valor Comercial (S/.)]]-Tabla2[[#This Row],[Valor del terreno (S/.)]]</f>
        <v>#REF!</v>
      </c>
      <c r="X80" s="39" t="e">
        <f>ROUND(Tabla2[[#This Row],[Valor Comercial (US$)]]*Tabla2[[#This Row],[Tipo de Cambio]],-2)</f>
        <v>#REF!</v>
      </c>
      <c r="Y80" s="39" t="e">
        <f>ROUND(Tabla2[[#This Row],[Valor Realización (US$)]]*Tabla2[[#This Row],[Tipo de Cambio]],-2)</f>
        <v>#REF!</v>
      </c>
      <c r="Z80" s="39">
        <f>+ROUND(Tabla2[[#This Row],[Importe Asegurable (US$)]]*Tabla2[[#This Row],[Tipo de Cambio]],-2)</f>
        <v>118000</v>
      </c>
      <c r="AA80" s="40"/>
      <c r="AB80" s="2" t="e">
        <f>+Tabla2[[#This Row],[Valor Comercial (US$)]]/Tabla2[[#This Row],[Área techada (m²)4]]</f>
        <v>#REF!</v>
      </c>
      <c r="AC8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0" s="61" t="s">
        <v>42</v>
      </c>
      <c r="AE80" s="54">
        <f>IF(Tabla2[[#This Row],[Moneda]]="Soles",Tabla2[[#This Row],[Valor de Venta]]/Tabla2[[#This Row],[Área techada (m²)]]/Tabla2[[#This Row],[Tipo de Cambio]],Tabla2[[#This Row],[Valor de Venta]]/Tabla2[[#This Row],[Área techada (m²)]])</f>
        <v>914.76774758983345</v>
      </c>
      <c r="AF80" s="43" t="e">
        <f>_xlfn.XLOOKUP(Tabla2[[#This Row],[VISTA]],[1]!Table1[Clase],[1]!Table1[VUE (USD)],0,0,1)</f>
        <v>#REF!</v>
      </c>
      <c r="AG80" s="55" t="e">
        <f>+Tabla2[[#This Row],[Valor Comercial (S/.)]]/Tabla2[[#This Row],[Valor de Venta]]-1</f>
        <v>#REF!</v>
      </c>
    </row>
    <row r="81" spans="1:33" s="1" customFormat="1" ht="15" customHeight="1" x14ac:dyDescent="0.25">
      <c r="A81" s="60" t="s">
        <v>27</v>
      </c>
      <c r="B81" s="14">
        <v>906</v>
      </c>
      <c r="C81" s="11">
        <v>9</v>
      </c>
      <c r="D81" s="15"/>
      <c r="E81" s="15"/>
      <c r="F81" s="51">
        <f>ROUND(Tabla2[[#This Row],[Área ocupada (m²)]]/20*1.4,2)</f>
        <v>4.38</v>
      </c>
      <c r="G81" s="46">
        <v>62.5</v>
      </c>
      <c r="H81" s="46">
        <v>62.5</v>
      </c>
      <c r="I81" s="51">
        <f>ROUND(Tabla2[[#This Row],[Área techada (m²)]]*0.15,2)</f>
        <v>9.3800000000000008</v>
      </c>
      <c r="J81" s="47" t="s">
        <v>30</v>
      </c>
      <c r="K81" s="48">
        <v>198950</v>
      </c>
      <c r="L81" s="51">
        <f>ROUND(Tabla2[[#This Row],[Área ocupada (m²)3]]/20*1.4,2)</f>
        <v>4.38</v>
      </c>
      <c r="M81" s="37">
        <f>ROUND(Tabla2[[#This Row],[Área ocupada (m²)]],2)</f>
        <v>62.5</v>
      </c>
      <c r="N81" s="37">
        <f>ROUND(Tabla2[[#This Row],[Área techada (m²)]],2)</f>
        <v>62.5</v>
      </c>
      <c r="O81" s="52">
        <f>ROUND(Tabla2[[#This Row],[Área techada (m²)4]]*0.15,2)</f>
        <v>9.3800000000000008</v>
      </c>
      <c r="P81" s="52">
        <f>ROUND(Tabla2[[#This Row],[Área del terreno (m²)2]]*[1]DATA!$A$2,-2)</f>
        <v>3100</v>
      </c>
      <c r="Q81" s="38" t="e">
        <f>+Tabla2[[#This Row],[Valor Comercial (US$)]]-Tabla2[[#This Row],[Valor del terreno (US$)]]</f>
        <v>#REF!</v>
      </c>
      <c r="R8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1" s="53" t="e">
        <f>ROUND(Tabla2[[#This Row],[Valor Comercial (US$)]]*0.8,-2)</f>
        <v>#REF!</v>
      </c>
      <c r="T81" s="53">
        <f>IF($H$6=$G$5,R81,ROUND(Tabla2[[#This Row],[Área techada (m²)4]]*[1]DATA!$B$2*1.15,-2))</f>
        <v>32300</v>
      </c>
      <c r="U81" s="6">
        <f t="shared" si="1"/>
        <v>3.5</v>
      </c>
      <c r="V81" s="39">
        <f>ROUND(Tabla2[[#This Row],[Valor del terreno (US$)]]*Tabla2[[#This Row],[Tipo de Cambio]],-2)</f>
        <v>10900</v>
      </c>
      <c r="W81" s="39" t="e">
        <f>Tabla2[[#This Row],[Valor Comercial (S/.)]]-Tabla2[[#This Row],[Valor del terreno (S/.)]]</f>
        <v>#REF!</v>
      </c>
      <c r="X81" s="39" t="e">
        <f>ROUND(Tabla2[[#This Row],[Valor Comercial (US$)]]*Tabla2[[#This Row],[Tipo de Cambio]],-2)</f>
        <v>#REF!</v>
      </c>
      <c r="Y81" s="39" t="e">
        <f>ROUND(Tabla2[[#This Row],[Valor Realización (US$)]]*Tabla2[[#This Row],[Tipo de Cambio]],-2)</f>
        <v>#REF!</v>
      </c>
      <c r="Z81" s="39">
        <f>+ROUND(Tabla2[[#This Row],[Importe Asegurable (US$)]]*Tabla2[[#This Row],[Tipo de Cambio]],-2)</f>
        <v>113100</v>
      </c>
      <c r="AA81" s="40"/>
      <c r="AB81" s="2" t="e">
        <f>+Tabla2[[#This Row],[Valor Comercial (US$)]]/Tabla2[[#This Row],[Área techada (m²)4]]</f>
        <v>#REF!</v>
      </c>
      <c r="AC8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1" s="61" t="s">
        <v>42</v>
      </c>
      <c r="AE81" s="54">
        <f>IF(Tabla2[[#This Row],[Moneda]]="Soles",Tabla2[[#This Row],[Valor de Venta]]/Tabla2[[#This Row],[Área techada (m²)]]/Tabla2[[#This Row],[Tipo de Cambio]],Tabla2[[#This Row],[Valor de Venta]]/Tabla2[[#This Row],[Área techada (m²)]])</f>
        <v>909.48571428571427</v>
      </c>
      <c r="AF81" s="43" t="e">
        <f>_xlfn.XLOOKUP(Tabla2[[#This Row],[VISTA]],[1]!Table1[Clase],[1]!Table1[VUE (USD)],0,0,1)</f>
        <v>#REF!</v>
      </c>
      <c r="AG81" s="55" t="e">
        <f>+Tabla2[[#This Row],[Valor Comercial (S/.)]]/Tabla2[[#This Row],[Valor de Venta]]-1</f>
        <v>#REF!</v>
      </c>
    </row>
    <row r="82" spans="1:33" s="1" customFormat="1" ht="15" customHeight="1" x14ac:dyDescent="0.25">
      <c r="A82" s="60" t="s">
        <v>27</v>
      </c>
      <c r="B82" s="14">
        <v>907</v>
      </c>
      <c r="C82" s="11">
        <v>9</v>
      </c>
      <c r="D82" s="15"/>
      <c r="E82" s="15"/>
      <c r="F82" s="51">
        <f>ROUND(Tabla2[[#This Row],[Área ocupada (m²)]]/20*1.4,2)</f>
        <v>4.38</v>
      </c>
      <c r="G82" s="46">
        <v>62.5</v>
      </c>
      <c r="H82" s="46">
        <v>62.5</v>
      </c>
      <c r="I82" s="51">
        <f>ROUND(Tabla2[[#This Row],[Área techada (m²)]]*0.15,2)</f>
        <v>9.3800000000000008</v>
      </c>
      <c r="J82" s="47" t="s">
        <v>30</v>
      </c>
      <c r="K82" s="48">
        <v>192950</v>
      </c>
      <c r="L82" s="51">
        <f>ROUND(Tabla2[[#This Row],[Área ocupada (m²)3]]/20*1.4,2)</f>
        <v>4.38</v>
      </c>
      <c r="M82" s="37">
        <f>ROUND(Tabla2[[#This Row],[Área ocupada (m²)]],2)</f>
        <v>62.5</v>
      </c>
      <c r="N82" s="37">
        <f>ROUND(Tabla2[[#This Row],[Área techada (m²)]],2)</f>
        <v>62.5</v>
      </c>
      <c r="O82" s="52">
        <f>ROUND(Tabla2[[#This Row],[Área techada (m²)4]]*0.15,2)</f>
        <v>9.3800000000000008</v>
      </c>
      <c r="P82" s="52">
        <f>ROUND(Tabla2[[#This Row],[Área del terreno (m²)2]]*[1]DATA!$A$2,-2)</f>
        <v>3100</v>
      </c>
      <c r="Q82" s="38" t="e">
        <f>+Tabla2[[#This Row],[Valor Comercial (US$)]]-Tabla2[[#This Row],[Valor del terreno (US$)]]</f>
        <v>#REF!</v>
      </c>
      <c r="R8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2" s="53" t="e">
        <f>ROUND(Tabla2[[#This Row],[Valor Comercial (US$)]]*0.8,-2)</f>
        <v>#REF!</v>
      </c>
      <c r="T82" s="53">
        <f>IF($H$6=$G$5,R82,ROUND(Tabla2[[#This Row],[Área techada (m²)4]]*[1]DATA!$B$2*1.15,-2))</f>
        <v>32300</v>
      </c>
      <c r="U82" s="6">
        <f t="shared" si="1"/>
        <v>3.5</v>
      </c>
      <c r="V82" s="39">
        <f>ROUND(Tabla2[[#This Row],[Valor del terreno (US$)]]*Tabla2[[#This Row],[Tipo de Cambio]],-2)</f>
        <v>10900</v>
      </c>
      <c r="W82" s="39" t="e">
        <f>Tabla2[[#This Row],[Valor Comercial (S/.)]]-Tabla2[[#This Row],[Valor del terreno (S/.)]]</f>
        <v>#REF!</v>
      </c>
      <c r="X82" s="39" t="e">
        <f>ROUND(Tabla2[[#This Row],[Valor Comercial (US$)]]*Tabla2[[#This Row],[Tipo de Cambio]],-2)</f>
        <v>#REF!</v>
      </c>
      <c r="Y82" s="39" t="e">
        <f>ROUND(Tabla2[[#This Row],[Valor Realización (US$)]]*Tabla2[[#This Row],[Tipo de Cambio]],-2)</f>
        <v>#REF!</v>
      </c>
      <c r="Z82" s="39">
        <f>+ROUND(Tabla2[[#This Row],[Importe Asegurable (US$)]]*Tabla2[[#This Row],[Tipo de Cambio]],-2)</f>
        <v>113100</v>
      </c>
      <c r="AA82" s="40"/>
      <c r="AB82" s="2" t="e">
        <f>+Tabla2[[#This Row],[Valor Comercial (US$)]]/Tabla2[[#This Row],[Área techada (m²)4]]</f>
        <v>#REF!</v>
      </c>
      <c r="AC8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2" s="61" t="s">
        <v>43</v>
      </c>
      <c r="AE82" s="54">
        <f>IF(Tabla2[[#This Row],[Moneda]]="Soles",Tabla2[[#This Row],[Valor de Venta]]/Tabla2[[#This Row],[Área techada (m²)]]/Tabla2[[#This Row],[Tipo de Cambio]],Tabla2[[#This Row],[Valor de Venta]]/Tabla2[[#This Row],[Área techada (m²)]])</f>
        <v>882.05714285714282</v>
      </c>
      <c r="AF82" s="43" t="e">
        <f>_xlfn.XLOOKUP(Tabla2[[#This Row],[VISTA]],[1]!Table1[Clase],[1]!Table1[VUE (USD)],0,0,1)</f>
        <v>#REF!</v>
      </c>
      <c r="AG82" s="55" t="e">
        <f>+Tabla2[[#This Row],[Valor Comercial (S/.)]]/Tabla2[[#This Row],[Valor de Venta]]-1</f>
        <v>#REF!</v>
      </c>
    </row>
    <row r="83" spans="1:33" s="1" customFormat="1" ht="15" customHeight="1" x14ac:dyDescent="0.25">
      <c r="A83" s="60" t="s">
        <v>27</v>
      </c>
      <c r="B83" s="14">
        <v>908</v>
      </c>
      <c r="C83" s="11">
        <v>9</v>
      </c>
      <c r="D83" s="15"/>
      <c r="E83" s="15"/>
      <c r="F83" s="51">
        <f>ROUND(Tabla2[[#This Row],[Área ocupada (m²)]]/20*1.4,2)</f>
        <v>4.5599999999999996</v>
      </c>
      <c r="G83" s="46">
        <v>65.2</v>
      </c>
      <c r="H83" s="46">
        <v>65.2</v>
      </c>
      <c r="I83" s="51">
        <f>ROUND(Tabla2[[#This Row],[Área techada (m²)]]*0.15,2)</f>
        <v>9.7799999999999994</v>
      </c>
      <c r="J83" s="47" t="s">
        <v>30</v>
      </c>
      <c r="K83" s="48">
        <v>195462</v>
      </c>
      <c r="L83" s="51">
        <f>ROUND(Tabla2[[#This Row],[Área ocupada (m²)3]]/20*1.4,2)</f>
        <v>4.5599999999999996</v>
      </c>
      <c r="M83" s="37">
        <f>ROUND(Tabla2[[#This Row],[Área ocupada (m²)]],2)</f>
        <v>65.2</v>
      </c>
      <c r="N83" s="37">
        <f>ROUND(Tabla2[[#This Row],[Área techada (m²)]],2)</f>
        <v>65.2</v>
      </c>
      <c r="O83" s="52">
        <f>ROUND(Tabla2[[#This Row],[Área techada (m²)4]]*0.15,2)</f>
        <v>9.7799999999999994</v>
      </c>
      <c r="P83" s="52">
        <f>ROUND(Tabla2[[#This Row],[Área del terreno (m²)2]]*[1]DATA!$A$2,-2)</f>
        <v>3200</v>
      </c>
      <c r="Q83" s="38" t="e">
        <f>+Tabla2[[#This Row],[Valor Comercial (US$)]]-Tabla2[[#This Row],[Valor del terreno (US$)]]</f>
        <v>#REF!</v>
      </c>
      <c r="R8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3" s="53" t="e">
        <f>ROUND(Tabla2[[#This Row],[Valor Comercial (US$)]]*0.8,-2)</f>
        <v>#REF!</v>
      </c>
      <c r="T83" s="53">
        <f>IF($H$6=$G$5,R83,ROUND(Tabla2[[#This Row],[Área techada (m²)4]]*[1]DATA!$B$2*1.15,-2))</f>
        <v>33700</v>
      </c>
      <c r="U83" s="6">
        <f t="shared" si="1"/>
        <v>3.5</v>
      </c>
      <c r="V83" s="39">
        <f>ROUND(Tabla2[[#This Row],[Valor del terreno (US$)]]*Tabla2[[#This Row],[Tipo de Cambio]],-2)</f>
        <v>11200</v>
      </c>
      <c r="W83" s="39" t="e">
        <f>Tabla2[[#This Row],[Valor Comercial (S/.)]]-Tabla2[[#This Row],[Valor del terreno (S/.)]]</f>
        <v>#REF!</v>
      </c>
      <c r="X83" s="39" t="e">
        <f>ROUND(Tabla2[[#This Row],[Valor Comercial (US$)]]*Tabla2[[#This Row],[Tipo de Cambio]],-2)</f>
        <v>#REF!</v>
      </c>
      <c r="Y83" s="39" t="e">
        <f>ROUND(Tabla2[[#This Row],[Valor Realización (US$)]]*Tabla2[[#This Row],[Tipo de Cambio]],-2)</f>
        <v>#REF!</v>
      </c>
      <c r="Z83" s="39">
        <f>+ROUND(Tabla2[[#This Row],[Importe Asegurable (US$)]]*Tabla2[[#This Row],[Tipo de Cambio]],-2)</f>
        <v>118000</v>
      </c>
      <c r="AA83" s="40"/>
      <c r="AB83" s="2" t="e">
        <f>+Tabla2[[#This Row],[Valor Comercial (US$)]]/Tabla2[[#This Row],[Área techada (m²)4]]</f>
        <v>#REF!</v>
      </c>
      <c r="AC8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3" s="61" t="s">
        <v>43</v>
      </c>
      <c r="AE83" s="54">
        <f>IF(Tabla2[[#This Row],[Moneda]]="Soles",Tabla2[[#This Row],[Valor de Venta]]/Tabla2[[#This Row],[Área techada (m²)]]/Tabla2[[#This Row],[Tipo de Cambio]],Tabla2[[#This Row],[Valor de Venta]]/Tabla2[[#This Row],[Área techada (m²)]])</f>
        <v>856.53812445223491</v>
      </c>
      <c r="AF83" s="43" t="e">
        <f>_xlfn.XLOOKUP(Tabla2[[#This Row],[VISTA]],[1]!Table1[Clase],[1]!Table1[VUE (USD)],0,0,1)</f>
        <v>#REF!</v>
      </c>
      <c r="AG83" s="55" t="e">
        <f>+Tabla2[[#This Row],[Valor Comercial (S/.)]]/Tabla2[[#This Row],[Valor de Venta]]-1</f>
        <v>#REF!</v>
      </c>
    </row>
    <row r="84" spans="1:33" s="1" customFormat="1" ht="15" customHeight="1" x14ac:dyDescent="0.25">
      <c r="A84" s="60" t="s">
        <v>27</v>
      </c>
      <c r="B84" s="14">
        <v>1001</v>
      </c>
      <c r="C84" s="11">
        <v>10</v>
      </c>
      <c r="D84" s="15"/>
      <c r="E84" s="15"/>
      <c r="F84" s="51">
        <f>ROUND(Tabla2[[#This Row],[Área ocupada (m²)]]/20*1.4,2)</f>
        <v>4.5599999999999996</v>
      </c>
      <c r="G84" s="46">
        <v>65.2</v>
      </c>
      <c r="H84" s="46">
        <v>65.2</v>
      </c>
      <c r="I84" s="51">
        <f>ROUND(Tabla2[[#This Row],[Área techada (m²)]]*0.15,2)</f>
        <v>9.7799999999999994</v>
      </c>
      <c r="J84" s="47" t="s">
        <v>30</v>
      </c>
      <c r="K84" s="48">
        <v>197500</v>
      </c>
      <c r="L84" s="51">
        <f>ROUND(Tabla2[[#This Row],[Área ocupada (m²)3]]/20*1.4,2)</f>
        <v>4.5599999999999996</v>
      </c>
      <c r="M84" s="37">
        <f>ROUND(Tabla2[[#This Row],[Área ocupada (m²)]],2)</f>
        <v>65.2</v>
      </c>
      <c r="N84" s="37">
        <f>ROUND(Tabla2[[#This Row],[Área techada (m²)]],2)</f>
        <v>65.2</v>
      </c>
      <c r="O84" s="52">
        <f>ROUND(Tabla2[[#This Row],[Área techada (m²)4]]*0.15,2)</f>
        <v>9.7799999999999994</v>
      </c>
      <c r="P84" s="52">
        <f>ROUND(Tabla2[[#This Row],[Área del terreno (m²)2]]*[1]DATA!$A$2,-2)</f>
        <v>3200</v>
      </c>
      <c r="Q84" s="38" t="e">
        <f>+Tabla2[[#This Row],[Valor Comercial (US$)]]-Tabla2[[#This Row],[Valor del terreno (US$)]]</f>
        <v>#REF!</v>
      </c>
      <c r="R8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4" s="53" t="e">
        <f>ROUND(Tabla2[[#This Row],[Valor Comercial (US$)]]*0.8,-2)</f>
        <v>#REF!</v>
      </c>
      <c r="T84" s="53">
        <f>IF($H$6=$G$5,R84,ROUND(Tabla2[[#This Row],[Área techada (m²)4]]*[1]DATA!$B$2*1.15,-2))</f>
        <v>33700</v>
      </c>
      <c r="U84" s="6">
        <f t="shared" si="1"/>
        <v>3.5</v>
      </c>
      <c r="V84" s="39">
        <f>ROUND(Tabla2[[#This Row],[Valor del terreno (US$)]]*Tabla2[[#This Row],[Tipo de Cambio]],-2)</f>
        <v>11200</v>
      </c>
      <c r="W84" s="39" t="e">
        <f>Tabla2[[#This Row],[Valor Comercial (S/.)]]-Tabla2[[#This Row],[Valor del terreno (S/.)]]</f>
        <v>#REF!</v>
      </c>
      <c r="X84" s="39" t="e">
        <f>ROUND(Tabla2[[#This Row],[Valor Comercial (US$)]]*Tabla2[[#This Row],[Tipo de Cambio]],-2)</f>
        <v>#REF!</v>
      </c>
      <c r="Y84" s="39" t="e">
        <f>ROUND(Tabla2[[#This Row],[Valor Realización (US$)]]*Tabla2[[#This Row],[Tipo de Cambio]],-2)</f>
        <v>#REF!</v>
      </c>
      <c r="Z84" s="39">
        <f>+ROUND(Tabla2[[#This Row],[Importe Asegurable (US$)]]*Tabla2[[#This Row],[Tipo de Cambio]],-2)</f>
        <v>118000</v>
      </c>
      <c r="AA84" s="40"/>
      <c r="AB84" s="2" t="e">
        <f>+Tabla2[[#This Row],[Valor Comercial (US$)]]/Tabla2[[#This Row],[Área techada (m²)4]]</f>
        <v>#REF!</v>
      </c>
      <c r="AC8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4" s="61" t="s">
        <v>43</v>
      </c>
      <c r="AE84" s="54">
        <f>IF(Tabla2[[#This Row],[Moneda]]="Soles",Tabla2[[#This Row],[Valor de Venta]]/Tabla2[[#This Row],[Área techada (m²)]]/Tabla2[[#This Row],[Tipo de Cambio]],Tabla2[[#This Row],[Valor de Venta]]/Tabla2[[#This Row],[Área techada (m²)]])</f>
        <v>865.46888694127949</v>
      </c>
      <c r="AF84" s="43" t="e">
        <f>_xlfn.XLOOKUP(Tabla2[[#This Row],[VISTA]],[1]!Table1[Clase],[1]!Table1[VUE (USD)],0,0,1)</f>
        <v>#REF!</v>
      </c>
      <c r="AG84" s="55" t="e">
        <f>+Tabla2[[#This Row],[Valor Comercial (S/.)]]/Tabla2[[#This Row],[Valor de Venta]]-1</f>
        <v>#REF!</v>
      </c>
    </row>
    <row r="85" spans="1:33" s="1" customFormat="1" ht="15" customHeight="1" x14ac:dyDescent="0.25">
      <c r="A85" s="60" t="s">
        <v>27</v>
      </c>
      <c r="B85" s="14">
        <v>1002</v>
      </c>
      <c r="C85" s="11">
        <v>10</v>
      </c>
      <c r="D85" s="15"/>
      <c r="E85" s="15"/>
      <c r="F85" s="51">
        <f>ROUND(Tabla2[[#This Row],[Área ocupada (m²)]]/20*1.4,2)</f>
        <v>4.38</v>
      </c>
      <c r="G85" s="46">
        <v>62.5</v>
      </c>
      <c r="H85" s="46">
        <v>62.5</v>
      </c>
      <c r="I85" s="51">
        <f>ROUND(Tabla2[[#This Row],[Área techada (m²)]]*0.15,2)</f>
        <v>9.3800000000000008</v>
      </c>
      <c r="J85" s="47" t="s">
        <v>30</v>
      </c>
      <c r="K85" s="48">
        <v>187300</v>
      </c>
      <c r="L85" s="51">
        <f>ROUND(Tabla2[[#This Row],[Área ocupada (m²)3]]/20*1.4,2)</f>
        <v>4.38</v>
      </c>
      <c r="M85" s="37">
        <f>ROUND(Tabla2[[#This Row],[Área ocupada (m²)]],2)</f>
        <v>62.5</v>
      </c>
      <c r="N85" s="37">
        <f>ROUND(Tabla2[[#This Row],[Área techada (m²)]],2)</f>
        <v>62.5</v>
      </c>
      <c r="O85" s="52">
        <f>ROUND(Tabla2[[#This Row],[Área techada (m²)4]]*0.15,2)</f>
        <v>9.3800000000000008</v>
      </c>
      <c r="P85" s="52">
        <f>ROUND(Tabla2[[#This Row],[Área del terreno (m²)2]]*[1]DATA!$A$2,-2)</f>
        <v>3100</v>
      </c>
      <c r="Q85" s="38" t="e">
        <f>+Tabla2[[#This Row],[Valor Comercial (US$)]]-Tabla2[[#This Row],[Valor del terreno (US$)]]</f>
        <v>#REF!</v>
      </c>
      <c r="R8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5" s="53" t="e">
        <f>ROUND(Tabla2[[#This Row],[Valor Comercial (US$)]]*0.8,-2)</f>
        <v>#REF!</v>
      </c>
      <c r="T85" s="53">
        <f>IF($H$6=$G$5,R85,ROUND(Tabla2[[#This Row],[Área techada (m²)4]]*[1]DATA!$B$2*1.15,-2))</f>
        <v>32300</v>
      </c>
      <c r="U85" s="6">
        <f t="shared" si="1"/>
        <v>3.5</v>
      </c>
      <c r="V85" s="39">
        <f>ROUND(Tabla2[[#This Row],[Valor del terreno (US$)]]*Tabla2[[#This Row],[Tipo de Cambio]],-2)</f>
        <v>10900</v>
      </c>
      <c r="W85" s="39" t="e">
        <f>Tabla2[[#This Row],[Valor Comercial (S/.)]]-Tabla2[[#This Row],[Valor del terreno (S/.)]]</f>
        <v>#REF!</v>
      </c>
      <c r="X85" s="39" t="e">
        <f>ROUND(Tabla2[[#This Row],[Valor Comercial (US$)]]*Tabla2[[#This Row],[Tipo de Cambio]],-2)</f>
        <v>#REF!</v>
      </c>
      <c r="Y85" s="39" t="e">
        <f>ROUND(Tabla2[[#This Row],[Valor Realización (US$)]]*Tabla2[[#This Row],[Tipo de Cambio]],-2)</f>
        <v>#REF!</v>
      </c>
      <c r="Z85" s="39">
        <f>+ROUND(Tabla2[[#This Row],[Importe Asegurable (US$)]]*Tabla2[[#This Row],[Tipo de Cambio]],-2)</f>
        <v>113100</v>
      </c>
      <c r="AA85" s="40"/>
      <c r="AB85" s="2" t="e">
        <f>+Tabla2[[#This Row],[Valor Comercial (US$)]]/Tabla2[[#This Row],[Área techada (m²)4]]</f>
        <v>#REF!</v>
      </c>
      <c r="AC8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5" s="61" t="s">
        <v>43</v>
      </c>
      <c r="AE85" s="54">
        <f>IF(Tabla2[[#This Row],[Moneda]]="Soles",Tabla2[[#This Row],[Valor de Venta]]/Tabla2[[#This Row],[Área techada (m²)]]/Tabla2[[#This Row],[Tipo de Cambio]],Tabla2[[#This Row],[Valor de Venta]]/Tabla2[[#This Row],[Área techada (m²)]])</f>
        <v>856.22857142857151</v>
      </c>
      <c r="AF85" s="43" t="e">
        <f>_xlfn.XLOOKUP(Tabla2[[#This Row],[VISTA]],[1]!Table1[Clase],[1]!Table1[VUE (USD)],0,0,1)</f>
        <v>#REF!</v>
      </c>
      <c r="AG85" s="55" t="e">
        <f>+Tabla2[[#This Row],[Valor Comercial (S/.)]]/Tabla2[[#This Row],[Valor de Venta]]-1</f>
        <v>#REF!</v>
      </c>
    </row>
    <row r="86" spans="1:33" s="1" customFormat="1" ht="15" customHeight="1" x14ac:dyDescent="0.25">
      <c r="A86" s="60" t="s">
        <v>27</v>
      </c>
      <c r="B86" s="14">
        <v>1003</v>
      </c>
      <c r="C86" s="11">
        <v>10</v>
      </c>
      <c r="D86" s="15"/>
      <c r="E86" s="15"/>
      <c r="F86" s="51">
        <f>ROUND(Tabla2[[#This Row],[Área ocupada (m²)]]/20*1.4,2)</f>
        <v>4.38</v>
      </c>
      <c r="G86" s="46">
        <v>62.5</v>
      </c>
      <c r="H86" s="46">
        <v>62.5</v>
      </c>
      <c r="I86" s="51">
        <f>ROUND(Tabla2[[#This Row],[Área techada (m²)]]*0.15,2)</f>
        <v>9.3800000000000008</v>
      </c>
      <c r="J86" s="47" t="s">
        <v>30</v>
      </c>
      <c r="K86" s="48">
        <v>192300</v>
      </c>
      <c r="L86" s="51">
        <f>ROUND(Tabla2[[#This Row],[Área ocupada (m²)3]]/20*1.4,2)</f>
        <v>4.38</v>
      </c>
      <c r="M86" s="37">
        <f>ROUND(Tabla2[[#This Row],[Área ocupada (m²)]],2)</f>
        <v>62.5</v>
      </c>
      <c r="N86" s="37">
        <f>ROUND(Tabla2[[#This Row],[Área techada (m²)]],2)</f>
        <v>62.5</v>
      </c>
      <c r="O86" s="52">
        <f>ROUND(Tabla2[[#This Row],[Área techada (m²)4]]*0.15,2)</f>
        <v>9.3800000000000008</v>
      </c>
      <c r="P86" s="52">
        <f>ROUND(Tabla2[[#This Row],[Área del terreno (m²)2]]*[1]DATA!$A$2,-2)</f>
        <v>3100</v>
      </c>
      <c r="Q86" s="38" t="e">
        <f>+Tabla2[[#This Row],[Valor Comercial (US$)]]-Tabla2[[#This Row],[Valor del terreno (US$)]]</f>
        <v>#REF!</v>
      </c>
      <c r="R8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6" s="53" t="e">
        <f>ROUND(Tabla2[[#This Row],[Valor Comercial (US$)]]*0.8,-2)</f>
        <v>#REF!</v>
      </c>
      <c r="T86" s="53">
        <f>IF($H$6=$G$5,R86,ROUND(Tabla2[[#This Row],[Área techada (m²)4]]*[1]DATA!$B$2*1.15,-2))</f>
        <v>32300</v>
      </c>
      <c r="U86" s="6">
        <f t="shared" si="1"/>
        <v>3.5</v>
      </c>
      <c r="V86" s="39">
        <f>ROUND(Tabla2[[#This Row],[Valor del terreno (US$)]]*Tabla2[[#This Row],[Tipo de Cambio]],-2)</f>
        <v>10900</v>
      </c>
      <c r="W86" s="39" t="e">
        <f>Tabla2[[#This Row],[Valor Comercial (S/.)]]-Tabla2[[#This Row],[Valor del terreno (S/.)]]</f>
        <v>#REF!</v>
      </c>
      <c r="X86" s="39" t="e">
        <f>ROUND(Tabla2[[#This Row],[Valor Comercial (US$)]]*Tabla2[[#This Row],[Tipo de Cambio]],-2)</f>
        <v>#REF!</v>
      </c>
      <c r="Y86" s="39" t="e">
        <f>ROUND(Tabla2[[#This Row],[Valor Realización (US$)]]*Tabla2[[#This Row],[Tipo de Cambio]],-2)</f>
        <v>#REF!</v>
      </c>
      <c r="Z86" s="39">
        <f>+ROUND(Tabla2[[#This Row],[Importe Asegurable (US$)]]*Tabla2[[#This Row],[Tipo de Cambio]],-2)</f>
        <v>113100</v>
      </c>
      <c r="AA86" s="40"/>
      <c r="AB86" s="2" t="e">
        <f>+Tabla2[[#This Row],[Valor Comercial (US$)]]/Tabla2[[#This Row],[Área techada (m²)4]]</f>
        <v>#REF!</v>
      </c>
      <c r="AC8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6" s="61" t="s">
        <v>43</v>
      </c>
      <c r="AE86" s="54">
        <f>IF(Tabla2[[#This Row],[Moneda]]="Soles",Tabla2[[#This Row],[Valor de Venta]]/Tabla2[[#This Row],[Área techada (m²)]]/Tabla2[[#This Row],[Tipo de Cambio]],Tabla2[[#This Row],[Valor de Venta]]/Tabla2[[#This Row],[Área techada (m²)]])</f>
        <v>879.08571428571429</v>
      </c>
      <c r="AF86" s="43" t="e">
        <f>_xlfn.XLOOKUP(Tabla2[[#This Row],[VISTA]],[1]!Table1[Clase],[1]!Table1[VUE (USD)],0,0,1)</f>
        <v>#REF!</v>
      </c>
      <c r="AG86" s="55" t="e">
        <f>+Tabla2[[#This Row],[Valor Comercial (S/.)]]/Tabla2[[#This Row],[Valor de Venta]]-1</f>
        <v>#REF!</v>
      </c>
    </row>
    <row r="87" spans="1:33" s="1" customFormat="1" ht="15" customHeight="1" x14ac:dyDescent="0.25">
      <c r="A87" s="60" t="s">
        <v>27</v>
      </c>
      <c r="B87" s="14">
        <v>1004</v>
      </c>
      <c r="C87" s="11">
        <v>10</v>
      </c>
      <c r="D87" s="15"/>
      <c r="E87" s="15"/>
      <c r="F87" s="51">
        <f>ROUND(Tabla2[[#This Row],[Área ocupada (m²)]]/20*1.4,2)</f>
        <v>4.5599999999999996</v>
      </c>
      <c r="G87" s="46">
        <v>65.2</v>
      </c>
      <c r="H87" s="46">
        <v>65.2</v>
      </c>
      <c r="I87" s="51">
        <f>ROUND(Tabla2[[#This Row],[Área techada (m²)]]*0.15,2)</f>
        <v>9.7799999999999994</v>
      </c>
      <c r="J87" s="47" t="s">
        <v>30</v>
      </c>
      <c r="K87" s="48">
        <v>211500</v>
      </c>
      <c r="L87" s="51">
        <f>ROUND(Tabla2[[#This Row],[Área ocupada (m²)3]]/20*1.4,2)</f>
        <v>4.5599999999999996</v>
      </c>
      <c r="M87" s="37">
        <f>ROUND(Tabla2[[#This Row],[Área ocupada (m²)]],2)</f>
        <v>65.2</v>
      </c>
      <c r="N87" s="37">
        <f>ROUND(Tabla2[[#This Row],[Área techada (m²)]],2)</f>
        <v>65.2</v>
      </c>
      <c r="O87" s="52">
        <f>ROUND(Tabla2[[#This Row],[Área techada (m²)4]]*0.15,2)</f>
        <v>9.7799999999999994</v>
      </c>
      <c r="P87" s="52">
        <f>ROUND(Tabla2[[#This Row],[Área del terreno (m²)2]]*[1]DATA!$A$2,-2)</f>
        <v>3200</v>
      </c>
      <c r="Q87" s="38" t="e">
        <f>+Tabla2[[#This Row],[Valor Comercial (US$)]]-Tabla2[[#This Row],[Valor del terreno (US$)]]</f>
        <v>#REF!</v>
      </c>
      <c r="R8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7" s="53" t="e">
        <f>ROUND(Tabla2[[#This Row],[Valor Comercial (US$)]]*0.8,-2)</f>
        <v>#REF!</v>
      </c>
      <c r="T87" s="53">
        <f>IF($H$6=$G$5,R87,ROUND(Tabla2[[#This Row],[Área techada (m²)4]]*[1]DATA!$B$2*1.15,-2))</f>
        <v>33700</v>
      </c>
      <c r="U87" s="6">
        <f t="shared" si="1"/>
        <v>3.5</v>
      </c>
      <c r="V87" s="39">
        <f>ROUND(Tabla2[[#This Row],[Valor del terreno (US$)]]*Tabla2[[#This Row],[Tipo de Cambio]],-2)</f>
        <v>11200</v>
      </c>
      <c r="W87" s="39" t="e">
        <f>Tabla2[[#This Row],[Valor Comercial (S/.)]]-Tabla2[[#This Row],[Valor del terreno (S/.)]]</f>
        <v>#REF!</v>
      </c>
      <c r="X87" s="39" t="e">
        <f>ROUND(Tabla2[[#This Row],[Valor Comercial (US$)]]*Tabla2[[#This Row],[Tipo de Cambio]],-2)</f>
        <v>#REF!</v>
      </c>
      <c r="Y87" s="39" t="e">
        <f>ROUND(Tabla2[[#This Row],[Valor Realización (US$)]]*Tabla2[[#This Row],[Tipo de Cambio]],-2)</f>
        <v>#REF!</v>
      </c>
      <c r="Z87" s="39">
        <f>+ROUND(Tabla2[[#This Row],[Importe Asegurable (US$)]]*Tabla2[[#This Row],[Tipo de Cambio]],-2)</f>
        <v>118000</v>
      </c>
      <c r="AA87" s="40"/>
      <c r="AB87" s="2" t="e">
        <f>+Tabla2[[#This Row],[Valor Comercial (US$)]]/Tabla2[[#This Row],[Área techada (m²)4]]</f>
        <v>#REF!</v>
      </c>
      <c r="AC8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7" s="61" t="s">
        <v>42</v>
      </c>
      <c r="AE87" s="54">
        <f>IF(Tabla2[[#This Row],[Moneda]]="Soles",Tabla2[[#This Row],[Valor de Venta]]/Tabla2[[#This Row],[Área techada (m²)]]/Tabla2[[#This Row],[Tipo de Cambio]],Tabla2[[#This Row],[Valor de Venta]]/Tabla2[[#This Row],[Área techada (m²)]])</f>
        <v>926.81858019281322</v>
      </c>
      <c r="AF87" s="43" t="e">
        <f>_xlfn.XLOOKUP(Tabla2[[#This Row],[VISTA]],[1]!Table1[Clase],[1]!Table1[VUE (USD)],0,0,1)</f>
        <v>#REF!</v>
      </c>
      <c r="AG87" s="55" t="e">
        <f>+Tabla2[[#This Row],[Valor Comercial (S/.)]]/Tabla2[[#This Row],[Valor de Venta]]-1</f>
        <v>#REF!</v>
      </c>
    </row>
    <row r="88" spans="1:33" s="1" customFormat="1" ht="15" customHeight="1" x14ac:dyDescent="0.25">
      <c r="A88" s="60" t="s">
        <v>27</v>
      </c>
      <c r="B88" s="14">
        <v>1005</v>
      </c>
      <c r="C88" s="11">
        <v>10</v>
      </c>
      <c r="D88" s="15"/>
      <c r="E88" s="15"/>
      <c r="F88" s="51">
        <f>ROUND(Tabla2[[#This Row],[Área ocupada (m²)]]/20*1.4,2)</f>
        <v>4.5599999999999996</v>
      </c>
      <c r="G88" s="46">
        <v>65.2</v>
      </c>
      <c r="H88" s="46">
        <v>65.2</v>
      </c>
      <c r="I88" s="51">
        <f>ROUND(Tabla2[[#This Row],[Área techada (m²)]]*0.15,2)</f>
        <v>9.7799999999999994</v>
      </c>
      <c r="J88" s="47" t="s">
        <v>30</v>
      </c>
      <c r="K88" s="48">
        <v>208500</v>
      </c>
      <c r="L88" s="51">
        <f>ROUND(Tabla2[[#This Row],[Área ocupada (m²)3]]/20*1.4,2)</f>
        <v>4.5599999999999996</v>
      </c>
      <c r="M88" s="37">
        <f>ROUND(Tabla2[[#This Row],[Área ocupada (m²)]],2)</f>
        <v>65.2</v>
      </c>
      <c r="N88" s="37">
        <f>ROUND(Tabla2[[#This Row],[Área techada (m²)]],2)</f>
        <v>65.2</v>
      </c>
      <c r="O88" s="52">
        <f>ROUND(Tabla2[[#This Row],[Área techada (m²)4]]*0.15,2)</f>
        <v>9.7799999999999994</v>
      </c>
      <c r="P88" s="52">
        <f>ROUND(Tabla2[[#This Row],[Área del terreno (m²)2]]*[1]DATA!$A$2,-2)</f>
        <v>3200</v>
      </c>
      <c r="Q88" s="38" t="e">
        <f>+Tabla2[[#This Row],[Valor Comercial (US$)]]-Tabla2[[#This Row],[Valor del terreno (US$)]]</f>
        <v>#REF!</v>
      </c>
      <c r="R8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8" s="53" t="e">
        <f>ROUND(Tabla2[[#This Row],[Valor Comercial (US$)]]*0.8,-2)</f>
        <v>#REF!</v>
      </c>
      <c r="T88" s="53">
        <f>IF($H$6=$G$5,R88,ROUND(Tabla2[[#This Row],[Área techada (m²)4]]*[1]DATA!$B$2*1.15,-2))</f>
        <v>33700</v>
      </c>
      <c r="U88" s="6">
        <f t="shared" si="1"/>
        <v>3.5</v>
      </c>
      <c r="V88" s="39">
        <f>ROUND(Tabla2[[#This Row],[Valor del terreno (US$)]]*Tabla2[[#This Row],[Tipo de Cambio]],-2)</f>
        <v>11200</v>
      </c>
      <c r="W88" s="39" t="e">
        <f>Tabla2[[#This Row],[Valor Comercial (S/.)]]-Tabla2[[#This Row],[Valor del terreno (S/.)]]</f>
        <v>#REF!</v>
      </c>
      <c r="X88" s="39" t="e">
        <f>ROUND(Tabla2[[#This Row],[Valor Comercial (US$)]]*Tabla2[[#This Row],[Tipo de Cambio]],-2)</f>
        <v>#REF!</v>
      </c>
      <c r="Y88" s="39" t="e">
        <f>ROUND(Tabla2[[#This Row],[Valor Realización (US$)]]*Tabla2[[#This Row],[Tipo de Cambio]],-2)</f>
        <v>#REF!</v>
      </c>
      <c r="Z88" s="39">
        <f>+ROUND(Tabla2[[#This Row],[Importe Asegurable (US$)]]*Tabla2[[#This Row],[Tipo de Cambio]],-2)</f>
        <v>118000</v>
      </c>
      <c r="AA88" s="40"/>
      <c r="AB88" s="2" t="e">
        <f>+Tabla2[[#This Row],[Valor Comercial (US$)]]/Tabla2[[#This Row],[Área techada (m²)4]]</f>
        <v>#REF!</v>
      </c>
      <c r="AC8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8" s="61" t="s">
        <v>42</v>
      </c>
      <c r="AE88" s="54">
        <f>IF(Tabla2[[#This Row],[Moneda]]="Soles",Tabla2[[#This Row],[Valor de Venta]]/Tabla2[[#This Row],[Área techada (m²)]]/Tabla2[[#This Row],[Tipo de Cambio]],Tabla2[[#This Row],[Valor de Venta]]/Tabla2[[#This Row],[Área techada (m²)]])</f>
        <v>913.6722173531989</v>
      </c>
      <c r="AF88" s="43" t="e">
        <f>_xlfn.XLOOKUP(Tabla2[[#This Row],[VISTA]],[1]!Table1[Clase],[1]!Table1[VUE (USD)],0,0,1)</f>
        <v>#REF!</v>
      </c>
      <c r="AG88" s="55" t="e">
        <f>+Tabla2[[#This Row],[Valor Comercial (S/.)]]/Tabla2[[#This Row],[Valor de Venta]]-1</f>
        <v>#REF!</v>
      </c>
    </row>
    <row r="89" spans="1:33" s="1" customFormat="1" ht="15" customHeight="1" x14ac:dyDescent="0.25">
      <c r="A89" s="60" t="s">
        <v>27</v>
      </c>
      <c r="B89" s="14">
        <v>1006</v>
      </c>
      <c r="C89" s="11">
        <v>10</v>
      </c>
      <c r="D89" s="15"/>
      <c r="E89" s="15"/>
      <c r="F89" s="51">
        <f>ROUND(Tabla2[[#This Row],[Área ocupada (m²)]]/20*1.4,2)</f>
        <v>4.38</v>
      </c>
      <c r="G89" s="46">
        <v>62.5</v>
      </c>
      <c r="H89" s="46">
        <v>62.5</v>
      </c>
      <c r="I89" s="51">
        <f>ROUND(Tabla2[[#This Row],[Área techada (m²)]]*0.15,2)</f>
        <v>9.3800000000000008</v>
      </c>
      <c r="J89" s="47" t="s">
        <v>30</v>
      </c>
      <c r="K89" s="48">
        <v>198300</v>
      </c>
      <c r="L89" s="51">
        <f>ROUND(Tabla2[[#This Row],[Área ocupada (m²)3]]/20*1.4,2)</f>
        <v>4.38</v>
      </c>
      <c r="M89" s="37">
        <f>ROUND(Tabla2[[#This Row],[Área ocupada (m²)]],2)</f>
        <v>62.5</v>
      </c>
      <c r="N89" s="37">
        <f>ROUND(Tabla2[[#This Row],[Área techada (m²)]],2)</f>
        <v>62.5</v>
      </c>
      <c r="O89" s="52">
        <f>ROUND(Tabla2[[#This Row],[Área techada (m²)4]]*0.15,2)</f>
        <v>9.3800000000000008</v>
      </c>
      <c r="P89" s="52">
        <f>ROUND(Tabla2[[#This Row],[Área del terreno (m²)2]]*[1]DATA!$A$2,-2)</f>
        <v>3100</v>
      </c>
      <c r="Q89" s="38" t="e">
        <f>+Tabla2[[#This Row],[Valor Comercial (US$)]]-Tabla2[[#This Row],[Valor del terreno (US$)]]</f>
        <v>#REF!</v>
      </c>
      <c r="R8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9" s="53" t="e">
        <f>ROUND(Tabla2[[#This Row],[Valor Comercial (US$)]]*0.8,-2)</f>
        <v>#REF!</v>
      </c>
      <c r="T89" s="53">
        <f>IF($H$6=$G$5,R89,ROUND(Tabla2[[#This Row],[Área techada (m²)4]]*[1]DATA!$B$2*1.15,-2))</f>
        <v>32300</v>
      </c>
      <c r="U89" s="6">
        <f t="shared" si="1"/>
        <v>3.5</v>
      </c>
      <c r="V89" s="39">
        <f>ROUND(Tabla2[[#This Row],[Valor del terreno (US$)]]*Tabla2[[#This Row],[Tipo de Cambio]],-2)</f>
        <v>10900</v>
      </c>
      <c r="W89" s="39" t="e">
        <f>Tabla2[[#This Row],[Valor Comercial (S/.)]]-Tabla2[[#This Row],[Valor del terreno (S/.)]]</f>
        <v>#REF!</v>
      </c>
      <c r="X89" s="39" t="e">
        <f>ROUND(Tabla2[[#This Row],[Valor Comercial (US$)]]*Tabla2[[#This Row],[Tipo de Cambio]],-2)</f>
        <v>#REF!</v>
      </c>
      <c r="Y89" s="39" t="e">
        <f>ROUND(Tabla2[[#This Row],[Valor Realización (US$)]]*Tabla2[[#This Row],[Tipo de Cambio]],-2)</f>
        <v>#REF!</v>
      </c>
      <c r="Z89" s="39">
        <f>+ROUND(Tabla2[[#This Row],[Importe Asegurable (US$)]]*Tabla2[[#This Row],[Tipo de Cambio]],-2)</f>
        <v>113100</v>
      </c>
      <c r="AA89" s="40"/>
      <c r="AB89" s="2" t="e">
        <f>+Tabla2[[#This Row],[Valor Comercial (US$)]]/Tabla2[[#This Row],[Área techada (m²)4]]</f>
        <v>#REF!</v>
      </c>
      <c r="AC8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9" s="61" t="s">
        <v>42</v>
      </c>
      <c r="AE89" s="54">
        <f>IF(Tabla2[[#This Row],[Moneda]]="Soles",Tabla2[[#This Row],[Valor de Venta]]/Tabla2[[#This Row],[Área techada (m²)]]/Tabla2[[#This Row],[Tipo de Cambio]],Tabla2[[#This Row],[Valor de Venta]]/Tabla2[[#This Row],[Área techada (m²)]])</f>
        <v>906.51428571428573</v>
      </c>
      <c r="AF89" s="43" t="e">
        <f>_xlfn.XLOOKUP(Tabla2[[#This Row],[VISTA]],[1]!Table1[Clase],[1]!Table1[VUE (USD)],0,0,1)</f>
        <v>#REF!</v>
      </c>
      <c r="AG89" s="55" t="e">
        <f>+Tabla2[[#This Row],[Valor Comercial (S/.)]]/Tabla2[[#This Row],[Valor de Venta]]-1</f>
        <v>#REF!</v>
      </c>
    </row>
    <row r="90" spans="1:33" s="1" customFormat="1" ht="15" customHeight="1" x14ac:dyDescent="0.25">
      <c r="A90" s="60" t="s">
        <v>27</v>
      </c>
      <c r="B90" s="14">
        <v>1007</v>
      </c>
      <c r="C90" s="11">
        <v>10</v>
      </c>
      <c r="D90" s="15"/>
      <c r="E90" s="15"/>
      <c r="F90" s="51">
        <f>ROUND(Tabla2[[#This Row],[Área ocupada (m²)]]/20*1.4,2)</f>
        <v>4.38</v>
      </c>
      <c r="G90" s="46">
        <v>62.5</v>
      </c>
      <c r="H90" s="46">
        <v>62.5</v>
      </c>
      <c r="I90" s="51">
        <f>ROUND(Tabla2[[#This Row],[Área techada (m²)]]*0.15,2)</f>
        <v>9.3800000000000008</v>
      </c>
      <c r="J90" s="47" t="s">
        <v>30</v>
      </c>
      <c r="K90" s="48">
        <v>188300</v>
      </c>
      <c r="L90" s="51">
        <f>ROUND(Tabla2[[#This Row],[Área ocupada (m²)3]]/20*1.4,2)</f>
        <v>4.38</v>
      </c>
      <c r="M90" s="37">
        <f>ROUND(Tabla2[[#This Row],[Área ocupada (m²)]],2)</f>
        <v>62.5</v>
      </c>
      <c r="N90" s="37">
        <f>ROUND(Tabla2[[#This Row],[Área techada (m²)]],2)</f>
        <v>62.5</v>
      </c>
      <c r="O90" s="52">
        <f>ROUND(Tabla2[[#This Row],[Área techada (m²)4]]*0.15,2)</f>
        <v>9.3800000000000008</v>
      </c>
      <c r="P90" s="52">
        <f>ROUND(Tabla2[[#This Row],[Área del terreno (m²)2]]*[1]DATA!$A$2,-2)</f>
        <v>3100</v>
      </c>
      <c r="Q90" s="38" t="e">
        <f>+Tabla2[[#This Row],[Valor Comercial (US$)]]-Tabla2[[#This Row],[Valor del terreno (US$)]]</f>
        <v>#REF!</v>
      </c>
      <c r="R9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0" s="53" t="e">
        <f>ROUND(Tabla2[[#This Row],[Valor Comercial (US$)]]*0.8,-2)</f>
        <v>#REF!</v>
      </c>
      <c r="T90" s="53">
        <f>IF($H$6=$G$5,R90,ROUND(Tabla2[[#This Row],[Área techada (m²)4]]*[1]DATA!$B$2*1.15,-2))</f>
        <v>32300</v>
      </c>
      <c r="U90" s="6">
        <f t="shared" si="1"/>
        <v>3.5</v>
      </c>
      <c r="V90" s="39">
        <f>ROUND(Tabla2[[#This Row],[Valor del terreno (US$)]]*Tabla2[[#This Row],[Tipo de Cambio]],-2)</f>
        <v>10900</v>
      </c>
      <c r="W90" s="39" t="e">
        <f>Tabla2[[#This Row],[Valor Comercial (S/.)]]-Tabla2[[#This Row],[Valor del terreno (S/.)]]</f>
        <v>#REF!</v>
      </c>
      <c r="X90" s="39" t="e">
        <f>ROUND(Tabla2[[#This Row],[Valor Comercial (US$)]]*Tabla2[[#This Row],[Tipo de Cambio]],-2)</f>
        <v>#REF!</v>
      </c>
      <c r="Y90" s="39" t="e">
        <f>ROUND(Tabla2[[#This Row],[Valor Realización (US$)]]*Tabla2[[#This Row],[Tipo de Cambio]],-2)</f>
        <v>#REF!</v>
      </c>
      <c r="Z90" s="39">
        <f>+ROUND(Tabla2[[#This Row],[Importe Asegurable (US$)]]*Tabla2[[#This Row],[Tipo de Cambio]],-2)</f>
        <v>113100</v>
      </c>
      <c r="AA90" s="40"/>
      <c r="AB90" s="2" t="e">
        <f>+Tabla2[[#This Row],[Valor Comercial (US$)]]/Tabla2[[#This Row],[Área techada (m²)4]]</f>
        <v>#REF!</v>
      </c>
      <c r="AC9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0" s="61" t="s">
        <v>43</v>
      </c>
      <c r="AE90" s="54">
        <f>IF(Tabla2[[#This Row],[Moneda]]="Soles",Tabla2[[#This Row],[Valor de Venta]]/Tabla2[[#This Row],[Área techada (m²)]]/Tabla2[[#This Row],[Tipo de Cambio]],Tabla2[[#This Row],[Valor de Venta]]/Tabla2[[#This Row],[Área techada (m²)]])</f>
        <v>860.80000000000007</v>
      </c>
      <c r="AF90" s="43" t="e">
        <f>_xlfn.XLOOKUP(Tabla2[[#This Row],[VISTA]],[1]!Table1[Clase],[1]!Table1[VUE (USD)],0,0,1)</f>
        <v>#REF!</v>
      </c>
      <c r="AG90" s="55" t="e">
        <f>+Tabla2[[#This Row],[Valor Comercial (S/.)]]/Tabla2[[#This Row],[Valor de Venta]]-1</f>
        <v>#REF!</v>
      </c>
    </row>
    <row r="91" spans="1:33" s="1" customFormat="1" ht="15" customHeight="1" x14ac:dyDescent="0.25">
      <c r="A91" s="60" t="s">
        <v>27</v>
      </c>
      <c r="B91" s="14">
        <v>1008</v>
      </c>
      <c r="C91" s="11">
        <v>10</v>
      </c>
      <c r="D91" s="15"/>
      <c r="E91" s="15"/>
      <c r="F91" s="51">
        <f>ROUND(Tabla2[[#This Row],[Área ocupada (m²)]]/20*1.4,2)</f>
        <v>4.5599999999999996</v>
      </c>
      <c r="G91" s="46">
        <v>65.2</v>
      </c>
      <c r="H91" s="46">
        <v>65.2</v>
      </c>
      <c r="I91" s="51">
        <f>ROUND(Tabla2[[#This Row],[Área techada (m²)]]*0.15,2)</f>
        <v>9.7799999999999994</v>
      </c>
      <c r="J91" s="47" t="s">
        <v>30</v>
      </c>
      <c r="K91" s="48">
        <v>204500</v>
      </c>
      <c r="L91" s="51">
        <f>ROUND(Tabla2[[#This Row],[Área ocupada (m²)3]]/20*1.4,2)</f>
        <v>4.5599999999999996</v>
      </c>
      <c r="M91" s="37">
        <f>ROUND(Tabla2[[#This Row],[Área ocupada (m²)]],2)</f>
        <v>65.2</v>
      </c>
      <c r="N91" s="37">
        <f>ROUND(Tabla2[[#This Row],[Área techada (m²)]],2)</f>
        <v>65.2</v>
      </c>
      <c r="O91" s="52">
        <f>ROUND(Tabla2[[#This Row],[Área techada (m²)4]]*0.15,2)</f>
        <v>9.7799999999999994</v>
      </c>
      <c r="P91" s="52">
        <f>ROUND(Tabla2[[#This Row],[Área del terreno (m²)2]]*[1]DATA!$A$2,-2)</f>
        <v>3200</v>
      </c>
      <c r="Q91" s="38" t="e">
        <f>+Tabla2[[#This Row],[Valor Comercial (US$)]]-Tabla2[[#This Row],[Valor del terreno (US$)]]</f>
        <v>#REF!</v>
      </c>
      <c r="R9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1" s="53" t="e">
        <f>ROUND(Tabla2[[#This Row],[Valor Comercial (US$)]]*0.8,-2)</f>
        <v>#REF!</v>
      </c>
      <c r="T91" s="53">
        <f>IF($H$6=$G$5,R91,ROUND(Tabla2[[#This Row],[Área techada (m²)4]]*[1]DATA!$B$2*1.15,-2))</f>
        <v>33700</v>
      </c>
      <c r="U91" s="6">
        <f t="shared" si="1"/>
        <v>3.5</v>
      </c>
      <c r="V91" s="39">
        <f>ROUND(Tabla2[[#This Row],[Valor del terreno (US$)]]*Tabla2[[#This Row],[Tipo de Cambio]],-2)</f>
        <v>11200</v>
      </c>
      <c r="W91" s="39" t="e">
        <f>Tabla2[[#This Row],[Valor Comercial (S/.)]]-Tabla2[[#This Row],[Valor del terreno (S/.)]]</f>
        <v>#REF!</v>
      </c>
      <c r="X91" s="39" t="e">
        <f>ROUND(Tabla2[[#This Row],[Valor Comercial (US$)]]*Tabla2[[#This Row],[Tipo de Cambio]],-2)</f>
        <v>#REF!</v>
      </c>
      <c r="Y91" s="39" t="e">
        <f>ROUND(Tabla2[[#This Row],[Valor Realización (US$)]]*Tabla2[[#This Row],[Tipo de Cambio]],-2)</f>
        <v>#REF!</v>
      </c>
      <c r="Z91" s="39">
        <f>+ROUND(Tabla2[[#This Row],[Importe Asegurable (US$)]]*Tabla2[[#This Row],[Tipo de Cambio]],-2)</f>
        <v>118000</v>
      </c>
      <c r="AA91" s="40"/>
      <c r="AB91" s="2" t="e">
        <f>+Tabla2[[#This Row],[Valor Comercial (US$)]]/Tabla2[[#This Row],[Área techada (m²)4]]</f>
        <v>#REF!</v>
      </c>
      <c r="AC9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1" s="61" t="s">
        <v>42</v>
      </c>
      <c r="AE91" s="54">
        <f>IF(Tabla2[[#This Row],[Moneda]]="Soles",Tabla2[[#This Row],[Valor de Venta]]/Tabla2[[#This Row],[Área techada (m²)]]/Tabla2[[#This Row],[Tipo de Cambio]],Tabla2[[#This Row],[Valor de Venta]]/Tabla2[[#This Row],[Área techada (m²)]])</f>
        <v>896.14373356704641</v>
      </c>
      <c r="AF91" s="43" t="e">
        <f>_xlfn.XLOOKUP(Tabla2[[#This Row],[VISTA]],[1]!Table1[Clase],[1]!Table1[VUE (USD)],0,0,1)</f>
        <v>#REF!</v>
      </c>
      <c r="AG91" s="55" t="e">
        <f>+Tabla2[[#This Row],[Valor Comercial (S/.)]]/Tabla2[[#This Row],[Valor de Venta]]-1</f>
        <v>#REF!</v>
      </c>
    </row>
    <row r="92" spans="1:33" s="1" customFormat="1" ht="15" customHeight="1" x14ac:dyDescent="0.25">
      <c r="A92" s="60" t="s">
        <v>27</v>
      </c>
      <c r="B92" s="14">
        <v>1101</v>
      </c>
      <c r="C92" s="11">
        <v>11</v>
      </c>
      <c r="D92" s="15"/>
      <c r="E92" s="15"/>
      <c r="F92" s="51">
        <f>ROUND(Tabla2[[#This Row],[Área ocupada (m²)]]/20*1.4,2)</f>
        <v>4.5599999999999996</v>
      </c>
      <c r="G92" s="46">
        <v>65.2</v>
      </c>
      <c r="H92" s="46">
        <v>65.2</v>
      </c>
      <c r="I92" s="51">
        <f>ROUND(Tabla2[[#This Row],[Área techada (m²)]]*0.15,2)</f>
        <v>9.7799999999999994</v>
      </c>
      <c r="J92" s="47" t="s">
        <v>30</v>
      </c>
      <c r="K92" s="48">
        <v>195500</v>
      </c>
      <c r="L92" s="51">
        <f>ROUND(Tabla2[[#This Row],[Área ocupada (m²)3]]/20*1.4,2)</f>
        <v>4.5599999999999996</v>
      </c>
      <c r="M92" s="37">
        <f>ROUND(Tabla2[[#This Row],[Área ocupada (m²)]],2)</f>
        <v>65.2</v>
      </c>
      <c r="N92" s="37">
        <f>ROUND(Tabla2[[#This Row],[Área techada (m²)]],2)</f>
        <v>65.2</v>
      </c>
      <c r="O92" s="52">
        <f>ROUND(Tabla2[[#This Row],[Área techada (m²)4]]*0.15,2)</f>
        <v>9.7799999999999994</v>
      </c>
      <c r="P92" s="52">
        <f>ROUND(Tabla2[[#This Row],[Área del terreno (m²)2]]*[1]DATA!$A$2,-2)</f>
        <v>3200</v>
      </c>
      <c r="Q92" s="38" t="e">
        <f>+Tabla2[[#This Row],[Valor Comercial (US$)]]-Tabla2[[#This Row],[Valor del terreno (US$)]]</f>
        <v>#REF!</v>
      </c>
      <c r="R9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2" s="53" t="e">
        <f>ROUND(Tabla2[[#This Row],[Valor Comercial (US$)]]*0.8,-2)</f>
        <v>#REF!</v>
      </c>
      <c r="T92" s="53">
        <f>IF($H$6=$G$5,R92,ROUND(Tabla2[[#This Row],[Área techada (m²)4]]*[1]DATA!$B$2*1.15,-2))</f>
        <v>33700</v>
      </c>
      <c r="U92" s="6">
        <f t="shared" si="1"/>
        <v>3.5</v>
      </c>
      <c r="V92" s="39">
        <f>ROUND(Tabla2[[#This Row],[Valor del terreno (US$)]]*Tabla2[[#This Row],[Tipo de Cambio]],-2)</f>
        <v>11200</v>
      </c>
      <c r="W92" s="39" t="e">
        <f>Tabla2[[#This Row],[Valor Comercial (S/.)]]-Tabla2[[#This Row],[Valor del terreno (S/.)]]</f>
        <v>#REF!</v>
      </c>
      <c r="X92" s="39" t="e">
        <f>ROUND(Tabla2[[#This Row],[Valor Comercial (US$)]]*Tabla2[[#This Row],[Tipo de Cambio]],-2)</f>
        <v>#REF!</v>
      </c>
      <c r="Y92" s="39" t="e">
        <f>ROUND(Tabla2[[#This Row],[Valor Realización (US$)]]*Tabla2[[#This Row],[Tipo de Cambio]],-2)</f>
        <v>#REF!</v>
      </c>
      <c r="Z92" s="39">
        <f>+ROUND(Tabla2[[#This Row],[Importe Asegurable (US$)]]*Tabla2[[#This Row],[Tipo de Cambio]],-2)</f>
        <v>118000</v>
      </c>
      <c r="AA92" s="40"/>
      <c r="AB92" s="2" t="e">
        <f>+Tabla2[[#This Row],[Valor Comercial (US$)]]/Tabla2[[#This Row],[Área techada (m²)4]]</f>
        <v>#REF!</v>
      </c>
      <c r="AC9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2" s="61" t="s">
        <v>43</v>
      </c>
      <c r="AE92" s="54">
        <f>IF(Tabla2[[#This Row],[Moneda]]="Soles",Tabla2[[#This Row],[Valor de Venta]]/Tabla2[[#This Row],[Área techada (m²)]]/Tabla2[[#This Row],[Tipo de Cambio]],Tabla2[[#This Row],[Valor de Venta]]/Tabla2[[#This Row],[Área techada (m²)]])</f>
        <v>856.70464504820325</v>
      </c>
      <c r="AF92" s="43" t="e">
        <f>_xlfn.XLOOKUP(Tabla2[[#This Row],[VISTA]],[1]!Table1[Clase],[1]!Table1[VUE (USD)],0,0,1)</f>
        <v>#REF!</v>
      </c>
      <c r="AG92" s="55" t="e">
        <f>+Tabla2[[#This Row],[Valor Comercial (S/.)]]/Tabla2[[#This Row],[Valor de Venta]]-1</f>
        <v>#REF!</v>
      </c>
    </row>
    <row r="93" spans="1:33" s="1" customFormat="1" ht="15" customHeight="1" x14ac:dyDescent="0.25">
      <c r="A93" s="60" t="s">
        <v>27</v>
      </c>
      <c r="B93" s="14">
        <v>1102</v>
      </c>
      <c r="C93" s="11">
        <v>11</v>
      </c>
      <c r="D93" s="15"/>
      <c r="E93" s="15"/>
      <c r="F93" s="51">
        <f>ROUND(Tabla2[[#This Row],[Área ocupada (m²)]]/20*1.4,2)</f>
        <v>4.38</v>
      </c>
      <c r="G93" s="46">
        <v>62.5</v>
      </c>
      <c r="H93" s="46">
        <v>62.5</v>
      </c>
      <c r="I93" s="51">
        <f>ROUND(Tabla2[[#This Row],[Área techada (m²)]]*0.15,2)</f>
        <v>9.3800000000000008</v>
      </c>
      <c r="J93" s="47" t="s">
        <v>30</v>
      </c>
      <c r="K93" s="48">
        <v>188300</v>
      </c>
      <c r="L93" s="51">
        <f>ROUND(Tabla2[[#This Row],[Área ocupada (m²)3]]/20*1.4,2)</f>
        <v>4.38</v>
      </c>
      <c r="M93" s="37">
        <f>ROUND(Tabla2[[#This Row],[Área ocupada (m²)]],2)</f>
        <v>62.5</v>
      </c>
      <c r="N93" s="37">
        <f>ROUND(Tabla2[[#This Row],[Área techada (m²)]],2)</f>
        <v>62.5</v>
      </c>
      <c r="O93" s="52">
        <f>ROUND(Tabla2[[#This Row],[Área techada (m²)4]]*0.15,2)</f>
        <v>9.3800000000000008</v>
      </c>
      <c r="P93" s="52">
        <f>ROUND(Tabla2[[#This Row],[Área del terreno (m²)2]]*[1]DATA!$A$2,-2)</f>
        <v>3100</v>
      </c>
      <c r="Q93" s="38" t="e">
        <f>+Tabla2[[#This Row],[Valor Comercial (US$)]]-Tabla2[[#This Row],[Valor del terreno (US$)]]</f>
        <v>#REF!</v>
      </c>
      <c r="R9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3" s="53" t="e">
        <f>ROUND(Tabla2[[#This Row],[Valor Comercial (US$)]]*0.8,-2)</f>
        <v>#REF!</v>
      </c>
      <c r="T93" s="53">
        <f>IF($H$6=$G$5,R93,ROUND(Tabla2[[#This Row],[Área techada (m²)4]]*[1]DATA!$B$2*1.15,-2))</f>
        <v>32300</v>
      </c>
      <c r="U93" s="6">
        <f t="shared" si="1"/>
        <v>3.5</v>
      </c>
      <c r="V93" s="39">
        <f>ROUND(Tabla2[[#This Row],[Valor del terreno (US$)]]*Tabla2[[#This Row],[Tipo de Cambio]],-2)</f>
        <v>10900</v>
      </c>
      <c r="W93" s="39" t="e">
        <f>Tabla2[[#This Row],[Valor Comercial (S/.)]]-Tabla2[[#This Row],[Valor del terreno (S/.)]]</f>
        <v>#REF!</v>
      </c>
      <c r="X93" s="39" t="e">
        <f>ROUND(Tabla2[[#This Row],[Valor Comercial (US$)]]*Tabla2[[#This Row],[Tipo de Cambio]],-2)</f>
        <v>#REF!</v>
      </c>
      <c r="Y93" s="39" t="e">
        <f>ROUND(Tabla2[[#This Row],[Valor Realización (US$)]]*Tabla2[[#This Row],[Tipo de Cambio]],-2)</f>
        <v>#REF!</v>
      </c>
      <c r="Z93" s="39">
        <f>+ROUND(Tabla2[[#This Row],[Importe Asegurable (US$)]]*Tabla2[[#This Row],[Tipo de Cambio]],-2)</f>
        <v>113100</v>
      </c>
      <c r="AA93" s="40"/>
      <c r="AB93" s="2" t="e">
        <f>+Tabla2[[#This Row],[Valor Comercial (US$)]]/Tabla2[[#This Row],[Área techada (m²)4]]</f>
        <v>#REF!</v>
      </c>
      <c r="AC9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3" s="61" t="s">
        <v>43</v>
      </c>
      <c r="AE93" s="54">
        <f>IF(Tabla2[[#This Row],[Moneda]]="Soles",Tabla2[[#This Row],[Valor de Venta]]/Tabla2[[#This Row],[Área techada (m²)]]/Tabla2[[#This Row],[Tipo de Cambio]],Tabla2[[#This Row],[Valor de Venta]]/Tabla2[[#This Row],[Área techada (m²)]])</f>
        <v>860.80000000000007</v>
      </c>
      <c r="AF93" s="43" t="e">
        <f>_xlfn.XLOOKUP(Tabla2[[#This Row],[VISTA]],[1]!Table1[Clase],[1]!Table1[VUE (USD)],0,0,1)</f>
        <v>#REF!</v>
      </c>
      <c r="AG93" s="55" t="e">
        <f>+Tabla2[[#This Row],[Valor Comercial (S/.)]]/Tabla2[[#This Row],[Valor de Venta]]-1</f>
        <v>#REF!</v>
      </c>
    </row>
    <row r="94" spans="1:33" s="1" customFormat="1" ht="15" customHeight="1" x14ac:dyDescent="0.25">
      <c r="A94" s="60" t="s">
        <v>27</v>
      </c>
      <c r="B94" s="14">
        <v>1103</v>
      </c>
      <c r="C94" s="11">
        <v>11</v>
      </c>
      <c r="D94" s="15"/>
      <c r="E94" s="15"/>
      <c r="F94" s="51">
        <f>ROUND(Tabla2[[#This Row],[Área ocupada (m²)]]/20*1.4,2)</f>
        <v>4.38</v>
      </c>
      <c r="G94" s="46">
        <v>62.5</v>
      </c>
      <c r="H94" s="46">
        <v>62.5</v>
      </c>
      <c r="I94" s="51">
        <f>ROUND(Tabla2[[#This Row],[Área techada (m²)]]*0.15,2)</f>
        <v>9.3800000000000008</v>
      </c>
      <c r="J94" s="47" t="s">
        <v>30</v>
      </c>
      <c r="K94" s="48">
        <v>193300</v>
      </c>
      <c r="L94" s="51">
        <f>ROUND(Tabla2[[#This Row],[Área ocupada (m²)3]]/20*1.4,2)</f>
        <v>4.38</v>
      </c>
      <c r="M94" s="37">
        <f>ROUND(Tabla2[[#This Row],[Área ocupada (m²)]],2)</f>
        <v>62.5</v>
      </c>
      <c r="N94" s="37">
        <f>ROUND(Tabla2[[#This Row],[Área techada (m²)]],2)</f>
        <v>62.5</v>
      </c>
      <c r="O94" s="52">
        <f>ROUND(Tabla2[[#This Row],[Área techada (m²)4]]*0.15,2)</f>
        <v>9.3800000000000008</v>
      </c>
      <c r="P94" s="52">
        <f>ROUND(Tabla2[[#This Row],[Área del terreno (m²)2]]*[1]DATA!$A$2,-2)</f>
        <v>3100</v>
      </c>
      <c r="Q94" s="38" t="e">
        <f>+Tabla2[[#This Row],[Valor Comercial (US$)]]-Tabla2[[#This Row],[Valor del terreno (US$)]]</f>
        <v>#REF!</v>
      </c>
      <c r="R9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4" s="53" t="e">
        <f>ROUND(Tabla2[[#This Row],[Valor Comercial (US$)]]*0.8,-2)</f>
        <v>#REF!</v>
      </c>
      <c r="T94" s="53">
        <f>IF($H$6=$G$5,R94,ROUND(Tabla2[[#This Row],[Área techada (m²)4]]*[1]DATA!$B$2*1.15,-2))</f>
        <v>32300</v>
      </c>
      <c r="U94" s="6">
        <f t="shared" si="1"/>
        <v>3.5</v>
      </c>
      <c r="V94" s="39">
        <f>ROUND(Tabla2[[#This Row],[Valor del terreno (US$)]]*Tabla2[[#This Row],[Tipo de Cambio]],-2)</f>
        <v>10900</v>
      </c>
      <c r="W94" s="39" t="e">
        <f>Tabla2[[#This Row],[Valor Comercial (S/.)]]-Tabla2[[#This Row],[Valor del terreno (S/.)]]</f>
        <v>#REF!</v>
      </c>
      <c r="X94" s="39" t="e">
        <f>ROUND(Tabla2[[#This Row],[Valor Comercial (US$)]]*Tabla2[[#This Row],[Tipo de Cambio]],-2)</f>
        <v>#REF!</v>
      </c>
      <c r="Y94" s="39" t="e">
        <f>ROUND(Tabla2[[#This Row],[Valor Realización (US$)]]*Tabla2[[#This Row],[Tipo de Cambio]],-2)</f>
        <v>#REF!</v>
      </c>
      <c r="Z94" s="39">
        <f>+ROUND(Tabla2[[#This Row],[Importe Asegurable (US$)]]*Tabla2[[#This Row],[Tipo de Cambio]],-2)</f>
        <v>113100</v>
      </c>
      <c r="AA94" s="40"/>
      <c r="AB94" s="2" t="e">
        <f>+Tabla2[[#This Row],[Valor Comercial (US$)]]/Tabla2[[#This Row],[Área techada (m²)4]]</f>
        <v>#REF!</v>
      </c>
      <c r="AC9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4" s="61" t="s">
        <v>43</v>
      </c>
      <c r="AE94" s="54">
        <f>IF(Tabla2[[#This Row],[Moneda]]="Soles",Tabla2[[#This Row],[Valor de Venta]]/Tabla2[[#This Row],[Área techada (m²)]]/Tabla2[[#This Row],[Tipo de Cambio]],Tabla2[[#This Row],[Valor de Venta]]/Tabla2[[#This Row],[Área techada (m²)]])</f>
        <v>883.65714285714296</v>
      </c>
      <c r="AF94" s="43" t="e">
        <f>_xlfn.XLOOKUP(Tabla2[[#This Row],[VISTA]],[1]!Table1[Clase],[1]!Table1[VUE (USD)],0,0,1)</f>
        <v>#REF!</v>
      </c>
      <c r="AG94" s="55" t="e">
        <f>+Tabla2[[#This Row],[Valor Comercial (S/.)]]/Tabla2[[#This Row],[Valor de Venta]]-1</f>
        <v>#REF!</v>
      </c>
    </row>
    <row r="95" spans="1:33" s="1" customFormat="1" ht="15" customHeight="1" x14ac:dyDescent="0.25">
      <c r="A95" s="60" t="s">
        <v>27</v>
      </c>
      <c r="B95" s="14">
        <v>1104</v>
      </c>
      <c r="C95" s="11">
        <v>11</v>
      </c>
      <c r="D95" s="15"/>
      <c r="E95" s="15"/>
      <c r="F95" s="51">
        <f>ROUND(Tabla2[[#This Row],[Área ocupada (m²)]]/20*1.4,2)</f>
        <v>4.5599999999999996</v>
      </c>
      <c r="G95" s="46">
        <v>65.2</v>
      </c>
      <c r="H95" s="46">
        <v>65.2</v>
      </c>
      <c r="I95" s="51">
        <f>ROUND(Tabla2[[#This Row],[Área techada (m²)]]*0.15,2)</f>
        <v>9.7799999999999994</v>
      </c>
      <c r="J95" s="47" t="s">
        <v>30</v>
      </c>
      <c r="K95" s="48">
        <v>206500</v>
      </c>
      <c r="L95" s="51">
        <f>ROUND(Tabla2[[#This Row],[Área ocupada (m²)3]]/20*1.4,2)</f>
        <v>4.5599999999999996</v>
      </c>
      <c r="M95" s="37">
        <f>ROUND(Tabla2[[#This Row],[Área ocupada (m²)]],2)</f>
        <v>65.2</v>
      </c>
      <c r="N95" s="37">
        <f>ROUND(Tabla2[[#This Row],[Área techada (m²)]],2)</f>
        <v>65.2</v>
      </c>
      <c r="O95" s="52">
        <f>ROUND(Tabla2[[#This Row],[Área techada (m²)4]]*0.15,2)</f>
        <v>9.7799999999999994</v>
      </c>
      <c r="P95" s="52">
        <f>ROUND(Tabla2[[#This Row],[Área del terreno (m²)2]]*[1]DATA!$A$2,-2)</f>
        <v>3200</v>
      </c>
      <c r="Q95" s="38" t="e">
        <f>+Tabla2[[#This Row],[Valor Comercial (US$)]]-Tabla2[[#This Row],[Valor del terreno (US$)]]</f>
        <v>#REF!</v>
      </c>
      <c r="R9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5" s="53" t="e">
        <f>ROUND(Tabla2[[#This Row],[Valor Comercial (US$)]]*0.8,-2)</f>
        <v>#REF!</v>
      </c>
      <c r="T95" s="53">
        <f>IF($H$6=$G$5,R95,ROUND(Tabla2[[#This Row],[Área techada (m²)4]]*[1]DATA!$B$2*1.15,-2))</f>
        <v>33700</v>
      </c>
      <c r="U95" s="6">
        <f t="shared" si="1"/>
        <v>3.5</v>
      </c>
      <c r="V95" s="39">
        <f>ROUND(Tabla2[[#This Row],[Valor del terreno (US$)]]*Tabla2[[#This Row],[Tipo de Cambio]],-2)</f>
        <v>11200</v>
      </c>
      <c r="W95" s="39" t="e">
        <f>Tabla2[[#This Row],[Valor Comercial (S/.)]]-Tabla2[[#This Row],[Valor del terreno (S/.)]]</f>
        <v>#REF!</v>
      </c>
      <c r="X95" s="39" t="e">
        <f>ROUND(Tabla2[[#This Row],[Valor Comercial (US$)]]*Tabla2[[#This Row],[Tipo de Cambio]],-2)</f>
        <v>#REF!</v>
      </c>
      <c r="Y95" s="39" t="e">
        <f>ROUND(Tabla2[[#This Row],[Valor Realización (US$)]]*Tabla2[[#This Row],[Tipo de Cambio]],-2)</f>
        <v>#REF!</v>
      </c>
      <c r="Z95" s="39">
        <f>+ROUND(Tabla2[[#This Row],[Importe Asegurable (US$)]]*Tabla2[[#This Row],[Tipo de Cambio]],-2)</f>
        <v>118000</v>
      </c>
      <c r="AA95" s="40"/>
      <c r="AB95" s="2" t="e">
        <f>+Tabla2[[#This Row],[Valor Comercial (US$)]]/Tabla2[[#This Row],[Área techada (m²)4]]</f>
        <v>#REF!</v>
      </c>
      <c r="AC9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5" s="61" t="s">
        <v>42</v>
      </c>
      <c r="AE95" s="54">
        <f>IF(Tabla2[[#This Row],[Moneda]]="Soles",Tabla2[[#This Row],[Valor de Venta]]/Tabla2[[#This Row],[Área techada (m²)]]/Tabla2[[#This Row],[Tipo de Cambio]],Tabla2[[#This Row],[Valor de Venta]]/Tabla2[[#This Row],[Área techada (m²)]])</f>
        <v>904.90797546012266</v>
      </c>
      <c r="AF95" s="43" t="e">
        <f>_xlfn.XLOOKUP(Tabla2[[#This Row],[VISTA]],[1]!Table1[Clase],[1]!Table1[VUE (USD)],0,0,1)</f>
        <v>#REF!</v>
      </c>
      <c r="AG95" s="55" t="e">
        <f>+Tabla2[[#This Row],[Valor Comercial (S/.)]]/Tabla2[[#This Row],[Valor de Venta]]-1</f>
        <v>#REF!</v>
      </c>
    </row>
    <row r="96" spans="1:33" s="1" customFormat="1" ht="15" customHeight="1" x14ac:dyDescent="0.25">
      <c r="A96" s="60" t="s">
        <v>27</v>
      </c>
      <c r="B96" s="14">
        <v>1105</v>
      </c>
      <c r="C96" s="11">
        <v>11</v>
      </c>
      <c r="D96" s="15"/>
      <c r="E96" s="15"/>
      <c r="F96" s="51">
        <f>ROUND(Tabla2[[#This Row],[Área ocupada (m²)]]/20*1.4,2)</f>
        <v>4.5599999999999996</v>
      </c>
      <c r="G96" s="46">
        <v>65.2</v>
      </c>
      <c r="H96" s="46">
        <v>65.2</v>
      </c>
      <c r="I96" s="51">
        <f>ROUND(Tabla2[[#This Row],[Área techada (m²)]]*0.15,2)</f>
        <v>9.7799999999999994</v>
      </c>
      <c r="J96" s="47" t="s">
        <v>30</v>
      </c>
      <c r="K96" s="48">
        <v>206500</v>
      </c>
      <c r="L96" s="51">
        <f>ROUND(Tabla2[[#This Row],[Área ocupada (m²)3]]/20*1.4,2)</f>
        <v>4.5599999999999996</v>
      </c>
      <c r="M96" s="37">
        <f>ROUND(Tabla2[[#This Row],[Área ocupada (m²)]],2)</f>
        <v>65.2</v>
      </c>
      <c r="N96" s="37">
        <f>ROUND(Tabla2[[#This Row],[Área techada (m²)]],2)</f>
        <v>65.2</v>
      </c>
      <c r="O96" s="52">
        <f>ROUND(Tabla2[[#This Row],[Área techada (m²)4]]*0.15,2)</f>
        <v>9.7799999999999994</v>
      </c>
      <c r="P96" s="52">
        <f>ROUND(Tabla2[[#This Row],[Área del terreno (m²)2]]*[1]DATA!$A$2,-2)</f>
        <v>3200</v>
      </c>
      <c r="Q96" s="38" t="e">
        <f>+Tabla2[[#This Row],[Valor Comercial (US$)]]-Tabla2[[#This Row],[Valor del terreno (US$)]]</f>
        <v>#REF!</v>
      </c>
      <c r="R9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6" s="53" t="e">
        <f>ROUND(Tabla2[[#This Row],[Valor Comercial (US$)]]*0.8,-2)</f>
        <v>#REF!</v>
      </c>
      <c r="T96" s="53">
        <f>IF($H$6=$G$5,R96,ROUND(Tabla2[[#This Row],[Área techada (m²)4]]*[1]DATA!$B$2*1.15,-2))</f>
        <v>33700</v>
      </c>
      <c r="U96" s="6">
        <f t="shared" si="1"/>
        <v>3.5</v>
      </c>
      <c r="V96" s="39">
        <f>ROUND(Tabla2[[#This Row],[Valor del terreno (US$)]]*Tabla2[[#This Row],[Tipo de Cambio]],-2)</f>
        <v>11200</v>
      </c>
      <c r="W96" s="39" t="e">
        <f>Tabla2[[#This Row],[Valor Comercial (S/.)]]-Tabla2[[#This Row],[Valor del terreno (S/.)]]</f>
        <v>#REF!</v>
      </c>
      <c r="X96" s="39" t="e">
        <f>ROUND(Tabla2[[#This Row],[Valor Comercial (US$)]]*Tabla2[[#This Row],[Tipo de Cambio]],-2)</f>
        <v>#REF!</v>
      </c>
      <c r="Y96" s="39" t="e">
        <f>ROUND(Tabla2[[#This Row],[Valor Realización (US$)]]*Tabla2[[#This Row],[Tipo de Cambio]],-2)</f>
        <v>#REF!</v>
      </c>
      <c r="Z96" s="39">
        <f>+ROUND(Tabla2[[#This Row],[Importe Asegurable (US$)]]*Tabla2[[#This Row],[Tipo de Cambio]],-2)</f>
        <v>118000</v>
      </c>
      <c r="AA96" s="40"/>
      <c r="AB96" s="2" t="e">
        <f>+Tabla2[[#This Row],[Valor Comercial (US$)]]/Tabla2[[#This Row],[Área techada (m²)4]]</f>
        <v>#REF!</v>
      </c>
      <c r="AC9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6" s="61" t="s">
        <v>42</v>
      </c>
      <c r="AE96" s="54">
        <f>IF(Tabla2[[#This Row],[Moneda]]="Soles",Tabla2[[#This Row],[Valor de Venta]]/Tabla2[[#This Row],[Área techada (m²)]]/Tabla2[[#This Row],[Tipo de Cambio]],Tabla2[[#This Row],[Valor de Venta]]/Tabla2[[#This Row],[Área techada (m²)]])</f>
        <v>904.90797546012266</v>
      </c>
      <c r="AF96" s="43" t="e">
        <f>_xlfn.XLOOKUP(Tabla2[[#This Row],[VISTA]],[1]!Table1[Clase],[1]!Table1[VUE (USD)],0,0,1)</f>
        <v>#REF!</v>
      </c>
      <c r="AG96" s="55" t="e">
        <f>+Tabla2[[#This Row],[Valor Comercial (S/.)]]/Tabla2[[#This Row],[Valor de Venta]]-1</f>
        <v>#REF!</v>
      </c>
    </row>
    <row r="97" spans="1:33" s="1" customFormat="1" ht="15" customHeight="1" x14ac:dyDescent="0.25">
      <c r="A97" s="60" t="s">
        <v>27</v>
      </c>
      <c r="B97" s="14">
        <v>1106</v>
      </c>
      <c r="C97" s="11">
        <v>11</v>
      </c>
      <c r="D97" s="15"/>
      <c r="E97" s="15"/>
      <c r="F97" s="51">
        <f>ROUND(Tabla2[[#This Row],[Área ocupada (m²)]]/20*1.4,2)</f>
        <v>4.38</v>
      </c>
      <c r="G97" s="46">
        <v>62.5</v>
      </c>
      <c r="H97" s="46">
        <v>62.5</v>
      </c>
      <c r="I97" s="51">
        <f>ROUND(Tabla2[[#This Row],[Área techada (m²)]]*0.15,2)</f>
        <v>9.3800000000000008</v>
      </c>
      <c r="J97" s="47" t="s">
        <v>30</v>
      </c>
      <c r="K97" s="48">
        <v>196300</v>
      </c>
      <c r="L97" s="51">
        <f>ROUND(Tabla2[[#This Row],[Área ocupada (m²)3]]/20*1.4,2)</f>
        <v>4.38</v>
      </c>
      <c r="M97" s="37">
        <f>ROUND(Tabla2[[#This Row],[Área ocupada (m²)]],2)</f>
        <v>62.5</v>
      </c>
      <c r="N97" s="37">
        <f>ROUND(Tabla2[[#This Row],[Área techada (m²)]],2)</f>
        <v>62.5</v>
      </c>
      <c r="O97" s="52">
        <f>ROUND(Tabla2[[#This Row],[Área techada (m²)4]]*0.15,2)</f>
        <v>9.3800000000000008</v>
      </c>
      <c r="P97" s="52">
        <f>ROUND(Tabla2[[#This Row],[Área del terreno (m²)2]]*[1]DATA!$A$2,-2)</f>
        <v>3100</v>
      </c>
      <c r="Q97" s="38" t="e">
        <f>+Tabla2[[#This Row],[Valor Comercial (US$)]]-Tabla2[[#This Row],[Valor del terreno (US$)]]</f>
        <v>#REF!</v>
      </c>
      <c r="R9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7" s="53" t="e">
        <f>ROUND(Tabla2[[#This Row],[Valor Comercial (US$)]]*0.8,-2)</f>
        <v>#REF!</v>
      </c>
      <c r="T97" s="53">
        <f>IF($H$6=$G$5,R97,ROUND(Tabla2[[#This Row],[Área techada (m²)4]]*[1]DATA!$B$2*1.15,-2))</f>
        <v>32300</v>
      </c>
      <c r="U97" s="6">
        <f t="shared" si="1"/>
        <v>3.5</v>
      </c>
      <c r="V97" s="39">
        <f>ROUND(Tabla2[[#This Row],[Valor del terreno (US$)]]*Tabla2[[#This Row],[Tipo de Cambio]],-2)</f>
        <v>10900</v>
      </c>
      <c r="W97" s="39" t="e">
        <f>Tabla2[[#This Row],[Valor Comercial (S/.)]]-Tabla2[[#This Row],[Valor del terreno (S/.)]]</f>
        <v>#REF!</v>
      </c>
      <c r="X97" s="39" t="e">
        <f>ROUND(Tabla2[[#This Row],[Valor Comercial (US$)]]*Tabla2[[#This Row],[Tipo de Cambio]],-2)</f>
        <v>#REF!</v>
      </c>
      <c r="Y97" s="39" t="e">
        <f>ROUND(Tabla2[[#This Row],[Valor Realización (US$)]]*Tabla2[[#This Row],[Tipo de Cambio]],-2)</f>
        <v>#REF!</v>
      </c>
      <c r="Z97" s="39">
        <f>+ROUND(Tabla2[[#This Row],[Importe Asegurable (US$)]]*Tabla2[[#This Row],[Tipo de Cambio]],-2)</f>
        <v>113100</v>
      </c>
      <c r="AA97" s="40"/>
      <c r="AB97" s="2" t="e">
        <f>+Tabla2[[#This Row],[Valor Comercial (US$)]]/Tabla2[[#This Row],[Área techada (m²)4]]</f>
        <v>#REF!</v>
      </c>
      <c r="AC9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7" s="61" t="s">
        <v>42</v>
      </c>
      <c r="AE97" s="54">
        <f>IF(Tabla2[[#This Row],[Moneda]]="Soles",Tabla2[[#This Row],[Valor de Venta]]/Tabla2[[#This Row],[Área techada (m²)]]/Tabla2[[#This Row],[Tipo de Cambio]],Tabla2[[#This Row],[Valor de Venta]]/Tabla2[[#This Row],[Área techada (m²)]])</f>
        <v>897.37142857142862</v>
      </c>
      <c r="AF97" s="43" t="e">
        <f>_xlfn.XLOOKUP(Tabla2[[#This Row],[VISTA]],[1]!Table1[Clase],[1]!Table1[VUE (USD)],0,0,1)</f>
        <v>#REF!</v>
      </c>
      <c r="AG97" s="55" t="e">
        <f>+Tabla2[[#This Row],[Valor Comercial (S/.)]]/Tabla2[[#This Row],[Valor de Venta]]-1</f>
        <v>#REF!</v>
      </c>
    </row>
    <row r="98" spans="1:33" s="1" customFormat="1" ht="15" customHeight="1" x14ac:dyDescent="0.25">
      <c r="A98" s="60" t="s">
        <v>27</v>
      </c>
      <c r="B98" s="14">
        <v>1107</v>
      </c>
      <c r="C98" s="11">
        <v>11</v>
      </c>
      <c r="D98" s="15"/>
      <c r="E98" s="15"/>
      <c r="F98" s="51">
        <f>ROUND(Tabla2[[#This Row],[Área ocupada (m²)]]/20*1.4,2)</f>
        <v>4.38</v>
      </c>
      <c r="G98" s="46">
        <v>62.5</v>
      </c>
      <c r="H98" s="46">
        <v>62.5</v>
      </c>
      <c r="I98" s="51">
        <f>ROUND(Tabla2[[#This Row],[Área techada (m²)]]*0.15,2)</f>
        <v>9.3800000000000008</v>
      </c>
      <c r="J98" s="47" t="s">
        <v>30</v>
      </c>
      <c r="K98" s="48">
        <v>189300</v>
      </c>
      <c r="L98" s="51">
        <f>ROUND(Tabla2[[#This Row],[Área ocupada (m²)3]]/20*1.4,2)</f>
        <v>4.38</v>
      </c>
      <c r="M98" s="37">
        <f>ROUND(Tabla2[[#This Row],[Área ocupada (m²)]],2)</f>
        <v>62.5</v>
      </c>
      <c r="N98" s="37">
        <f>ROUND(Tabla2[[#This Row],[Área techada (m²)]],2)</f>
        <v>62.5</v>
      </c>
      <c r="O98" s="52">
        <f>ROUND(Tabla2[[#This Row],[Área techada (m²)4]]*0.15,2)</f>
        <v>9.3800000000000008</v>
      </c>
      <c r="P98" s="52">
        <f>ROUND(Tabla2[[#This Row],[Área del terreno (m²)2]]*[1]DATA!$A$2,-2)</f>
        <v>3100</v>
      </c>
      <c r="Q98" s="38" t="e">
        <f>+Tabla2[[#This Row],[Valor Comercial (US$)]]-Tabla2[[#This Row],[Valor del terreno (US$)]]</f>
        <v>#REF!</v>
      </c>
      <c r="R9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8" s="53" t="e">
        <f>ROUND(Tabla2[[#This Row],[Valor Comercial (US$)]]*0.8,-2)</f>
        <v>#REF!</v>
      </c>
      <c r="T98" s="53">
        <f>IF($H$6=$G$5,R98,ROUND(Tabla2[[#This Row],[Área techada (m²)4]]*[1]DATA!$B$2*1.15,-2))</f>
        <v>32300</v>
      </c>
      <c r="U98" s="6">
        <f t="shared" si="1"/>
        <v>3.5</v>
      </c>
      <c r="V98" s="39">
        <f>ROUND(Tabla2[[#This Row],[Valor del terreno (US$)]]*Tabla2[[#This Row],[Tipo de Cambio]],-2)</f>
        <v>10900</v>
      </c>
      <c r="W98" s="39" t="e">
        <f>Tabla2[[#This Row],[Valor Comercial (S/.)]]-Tabla2[[#This Row],[Valor del terreno (S/.)]]</f>
        <v>#REF!</v>
      </c>
      <c r="X98" s="39" t="e">
        <f>ROUND(Tabla2[[#This Row],[Valor Comercial (US$)]]*Tabla2[[#This Row],[Tipo de Cambio]],-2)</f>
        <v>#REF!</v>
      </c>
      <c r="Y98" s="39" t="e">
        <f>ROUND(Tabla2[[#This Row],[Valor Realización (US$)]]*Tabla2[[#This Row],[Tipo de Cambio]],-2)</f>
        <v>#REF!</v>
      </c>
      <c r="Z98" s="39">
        <f>+ROUND(Tabla2[[#This Row],[Importe Asegurable (US$)]]*Tabla2[[#This Row],[Tipo de Cambio]],-2)</f>
        <v>113100</v>
      </c>
      <c r="AA98" s="40"/>
      <c r="AB98" s="2" t="e">
        <f>+Tabla2[[#This Row],[Valor Comercial (US$)]]/Tabla2[[#This Row],[Área techada (m²)4]]</f>
        <v>#REF!</v>
      </c>
      <c r="AC9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8" s="61" t="s">
        <v>43</v>
      </c>
      <c r="AE98" s="54">
        <f>IF(Tabla2[[#This Row],[Moneda]]="Soles",Tabla2[[#This Row],[Valor de Venta]]/Tabla2[[#This Row],[Área techada (m²)]]/Tabla2[[#This Row],[Tipo de Cambio]],Tabla2[[#This Row],[Valor de Venta]]/Tabla2[[#This Row],[Área techada (m²)]])</f>
        <v>865.37142857142862</v>
      </c>
      <c r="AF98" s="43" t="e">
        <f>_xlfn.XLOOKUP(Tabla2[[#This Row],[VISTA]],[1]!Table1[Clase],[1]!Table1[VUE (USD)],0,0,1)</f>
        <v>#REF!</v>
      </c>
      <c r="AG98" s="55" t="e">
        <f>+Tabla2[[#This Row],[Valor Comercial (S/.)]]/Tabla2[[#This Row],[Valor de Venta]]-1</f>
        <v>#REF!</v>
      </c>
    </row>
    <row r="99" spans="1:33" s="1" customFormat="1" ht="15" customHeight="1" x14ac:dyDescent="0.25">
      <c r="A99" s="60" t="s">
        <v>27</v>
      </c>
      <c r="B99" s="14">
        <v>1108</v>
      </c>
      <c r="C99" s="11">
        <v>11</v>
      </c>
      <c r="D99" s="15"/>
      <c r="E99" s="15"/>
      <c r="F99" s="51">
        <f>ROUND(Tabla2[[#This Row],[Área ocupada (m²)]]/20*1.4,2)</f>
        <v>4.5599999999999996</v>
      </c>
      <c r="G99" s="46">
        <v>65.2</v>
      </c>
      <c r="H99" s="46">
        <v>65.2</v>
      </c>
      <c r="I99" s="51">
        <f>ROUND(Tabla2[[#This Row],[Área techada (m²)]]*0.15,2)</f>
        <v>9.7799999999999994</v>
      </c>
      <c r="J99" s="47" t="s">
        <v>30</v>
      </c>
      <c r="K99" s="48">
        <v>205500</v>
      </c>
      <c r="L99" s="51">
        <f>ROUND(Tabla2[[#This Row],[Área ocupada (m²)3]]/20*1.4,2)</f>
        <v>4.5599999999999996</v>
      </c>
      <c r="M99" s="37">
        <f>ROUND(Tabla2[[#This Row],[Área ocupada (m²)]],2)</f>
        <v>65.2</v>
      </c>
      <c r="N99" s="37">
        <f>ROUND(Tabla2[[#This Row],[Área techada (m²)]],2)</f>
        <v>65.2</v>
      </c>
      <c r="O99" s="52">
        <f>ROUND(Tabla2[[#This Row],[Área techada (m²)4]]*0.15,2)</f>
        <v>9.7799999999999994</v>
      </c>
      <c r="P99" s="52">
        <f>ROUND(Tabla2[[#This Row],[Área del terreno (m²)2]]*[1]DATA!$A$2,-2)</f>
        <v>3200</v>
      </c>
      <c r="Q99" s="38" t="e">
        <f>+Tabla2[[#This Row],[Valor Comercial (US$)]]-Tabla2[[#This Row],[Valor del terreno (US$)]]</f>
        <v>#REF!</v>
      </c>
      <c r="R9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9" s="53" t="e">
        <f>ROUND(Tabla2[[#This Row],[Valor Comercial (US$)]]*0.8,-2)</f>
        <v>#REF!</v>
      </c>
      <c r="T99" s="53">
        <f>IF($H$6=$G$5,R99,ROUND(Tabla2[[#This Row],[Área techada (m²)4]]*[1]DATA!$B$2*1.15,-2))</f>
        <v>33700</v>
      </c>
      <c r="U99" s="6">
        <f t="shared" si="1"/>
        <v>3.5</v>
      </c>
      <c r="V99" s="39">
        <f>ROUND(Tabla2[[#This Row],[Valor del terreno (US$)]]*Tabla2[[#This Row],[Tipo de Cambio]],-2)</f>
        <v>11200</v>
      </c>
      <c r="W99" s="39" t="e">
        <f>Tabla2[[#This Row],[Valor Comercial (S/.)]]-Tabla2[[#This Row],[Valor del terreno (S/.)]]</f>
        <v>#REF!</v>
      </c>
      <c r="X99" s="39" t="e">
        <f>ROUND(Tabla2[[#This Row],[Valor Comercial (US$)]]*Tabla2[[#This Row],[Tipo de Cambio]],-2)</f>
        <v>#REF!</v>
      </c>
      <c r="Y99" s="39" t="e">
        <f>ROUND(Tabla2[[#This Row],[Valor Realización (US$)]]*Tabla2[[#This Row],[Tipo de Cambio]],-2)</f>
        <v>#REF!</v>
      </c>
      <c r="Z99" s="39">
        <f>+ROUND(Tabla2[[#This Row],[Importe Asegurable (US$)]]*Tabla2[[#This Row],[Tipo de Cambio]],-2)</f>
        <v>118000</v>
      </c>
      <c r="AA99" s="40"/>
      <c r="AB99" s="2" t="e">
        <f>+Tabla2[[#This Row],[Valor Comercial (US$)]]/Tabla2[[#This Row],[Área techada (m²)4]]</f>
        <v>#REF!</v>
      </c>
      <c r="AC9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9" s="61" t="s">
        <v>42</v>
      </c>
      <c r="AE99" s="54">
        <f>IF(Tabla2[[#This Row],[Moneda]]="Soles",Tabla2[[#This Row],[Valor de Venta]]/Tabla2[[#This Row],[Área techada (m²)]]/Tabla2[[#This Row],[Tipo de Cambio]],Tabla2[[#This Row],[Valor de Venta]]/Tabla2[[#This Row],[Área techada (m²)]])</f>
        <v>900.52585451358459</v>
      </c>
      <c r="AF99" s="43" t="e">
        <f>_xlfn.XLOOKUP(Tabla2[[#This Row],[VISTA]],[1]!Table1[Clase],[1]!Table1[VUE (USD)],0,0,1)</f>
        <v>#REF!</v>
      </c>
      <c r="AG99" s="55" t="e">
        <f>+Tabla2[[#This Row],[Valor Comercial (S/.)]]/Tabla2[[#This Row],[Valor de Venta]]-1</f>
        <v>#REF!</v>
      </c>
    </row>
    <row r="100" spans="1:33" s="1" customFormat="1" ht="15" customHeight="1" x14ac:dyDescent="0.25">
      <c r="A100" s="60" t="s">
        <v>27</v>
      </c>
      <c r="B100" s="14">
        <v>1201</v>
      </c>
      <c r="C100" s="11">
        <v>12</v>
      </c>
      <c r="D100" s="15"/>
      <c r="E100" s="15"/>
      <c r="F100" s="51">
        <f>ROUND(Tabla2[[#This Row],[Área ocupada (m²)]]/20*1.4,2)</f>
        <v>4.5599999999999996</v>
      </c>
      <c r="G100" s="46">
        <v>65.2</v>
      </c>
      <c r="H100" s="46">
        <v>65.2</v>
      </c>
      <c r="I100" s="51">
        <f>ROUND(Tabla2[[#This Row],[Área techada (m²)]]*0.15,2)</f>
        <v>9.7799999999999994</v>
      </c>
      <c r="J100" s="47" t="s">
        <v>30</v>
      </c>
      <c r="K100" s="48">
        <v>193500</v>
      </c>
      <c r="L100" s="51">
        <f>ROUND(Tabla2[[#This Row],[Área ocupada (m²)3]]/20*1.4,2)</f>
        <v>4.5599999999999996</v>
      </c>
      <c r="M100" s="37">
        <f>ROUND(Tabla2[[#This Row],[Área ocupada (m²)]],2)</f>
        <v>65.2</v>
      </c>
      <c r="N100" s="37">
        <f>ROUND(Tabla2[[#This Row],[Área techada (m²)]],2)</f>
        <v>65.2</v>
      </c>
      <c r="O100" s="52">
        <f>ROUND(Tabla2[[#This Row],[Área techada (m²)4]]*0.15,2)</f>
        <v>9.7799999999999994</v>
      </c>
      <c r="P100" s="52">
        <f>ROUND(Tabla2[[#This Row],[Área del terreno (m²)2]]*[1]DATA!$A$2,-2)</f>
        <v>3200</v>
      </c>
      <c r="Q100" s="38" t="e">
        <f>+Tabla2[[#This Row],[Valor Comercial (US$)]]-Tabla2[[#This Row],[Valor del terreno (US$)]]</f>
        <v>#REF!</v>
      </c>
      <c r="R10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0" s="53" t="e">
        <f>ROUND(Tabla2[[#This Row],[Valor Comercial (US$)]]*0.8,-2)</f>
        <v>#REF!</v>
      </c>
      <c r="T100" s="53">
        <f>IF($H$6=$G$5,R100,ROUND(Tabla2[[#This Row],[Área techada (m²)4]]*[1]DATA!$B$2*1.15,-2))</f>
        <v>33700</v>
      </c>
      <c r="U100" s="6">
        <f t="shared" si="1"/>
        <v>3.5</v>
      </c>
      <c r="V100" s="39">
        <f>ROUND(Tabla2[[#This Row],[Valor del terreno (US$)]]*Tabla2[[#This Row],[Tipo de Cambio]],-2)</f>
        <v>11200</v>
      </c>
      <c r="W100" s="39" t="e">
        <f>Tabla2[[#This Row],[Valor Comercial (S/.)]]-Tabla2[[#This Row],[Valor del terreno (S/.)]]</f>
        <v>#REF!</v>
      </c>
      <c r="X100" s="39" t="e">
        <f>ROUND(Tabla2[[#This Row],[Valor Comercial (US$)]]*Tabla2[[#This Row],[Tipo de Cambio]],-2)</f>
        <v>#REF!</v>
      </c>
      <c r="Y100" s="39" t="e">
        <f>ROUND(Tabla2[[#This Row],[Valor Realización (US$)]]*Tabla2[[#This Row],[Tipo de Cambio]],-2)</f>
        <v>#REF!</v>
      </c>
      <c r="Z100" s="39">
        <f>+ROUND(Tabla2[[#This Row],[Importe Asegurable (US$)]]*Tabla2[[#This Row],[Tipo de Cambio]],-2)</f>
        <v>118000</v>
      </c>
      <c r="AA100" s="40"/>
      <c r="AB100" s="2" t="e">
        <f>+Tabla2[[#This Row],[Valor Comercial (US$)]]/Tabla2[[#This Row],[Área techada (m²)4]]</f>
        <v>#REF!</v>
      </c>
      <c r="AC10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0" s="61" t="s">
        <v>43</v>
      </c>
      <c r="AE100" s="54">
        <f>IF(Tabla2[[#This Row],[Moneda]]="Soles",Tabla2[[#This Row],[Valor de Venta]]/Tabla2[[#This Row],[Área techada (m²)]]/Tabla2[[#This Row],[Tipo de Cambio]],Tabla2[[#This Row],[Valor de Venta]]/Tabla2[[#This Row],[Área techada (m²)]])</f>
        <v>847.940403155127</v>
      </c>
      <c r="AF100" s="43" t="e">
        <f>_xlfn.XLOOKUP(Tabla2[[#This Row],[VISTA]],[1]!Table1[Clase],[1]!Table1[VUE (USD)],0,0,1)</f>
        <v>#REF!</v>
      </c>
      <c r="AG100" s="55" t="e">
        <f>+Tabla2[[#This Row],[Valor Comercial (S/.)]]/Tabla2[[#This Row],[Valor de Venta]]-1</f>
        <v>#REF!</v>
      </c>
    </row>
    <row r="101" spans="1:33" s="1" customFormat="1" ht="15" customHeight="1" x14ac:dyDescent="0.25">
      <c r="A101" s="60" t="s">
        <v>27</v>
      </c>
      <c r="B101" s="14">
        <v>1202</v>
      </c>
      <c r="C101" s="11">
        <v>12</v>
      </c>
      <c r="D101" s="15"/>
      <c r="E101" s="15"/>
      <c r="F101" s="51">
        <f>ROUND(Tabla2[[#This Row],[Área ocupada (m²)]]/20*1.4,2)</f>
        <v>4.38</v>
      </c>
      <c r="G101" s="46">
        <v>62.5</v>
      </c>
      <c r="H101" s="46">
        <v>62.5</v>
      </c>
      <c r="I101" s="51">
        <f>ROUND(Tabla2[[#This Row],[Área techada (m²)]]*0.15,2)</f>
        <v>9.3800000000000008</v>
      </c>
      <c r="J101" s="47" t="s">
        <v>30</v>
      </c>
      <c r="K101" s="48">
        <v>186500</v>
      </c>
      <c r="L101" s="51">
        <f>ROUND(Tabla2[[#This Row],[Área ocupada (m²)3]]/20*1.4,2)</f>
        <v>4.38</v>
      </c>
      <c r="M101" s="37">
        <f>ROUND(Tabla2[[#This Row],[Área ocupada (m²)]],2)</f>
        <v>62.5</v>
      </c>
      <c r="N101" s="37">
        <f>ROUND(Tabla2[[#This Row],[Área techada (m²)]],2)</f>
        <v>62.5</v>
      </c>
      <c r="O101" s="52">
        <f>ROUND(Tabla2[[#This Row],[Área techada (m²)4]]*0.15,2)</f>
        <v>9.3800000000000008</v>
      </c>
      <c r="P101" s="52">
        <f>ROUND(Tabla2[[#This Row],[Área del terreno (m²)2]]*[1]DATA!$A$2,-2)</f>
        <v>3100</v>
      </c>
      <c r="Q101" s="38" t="e">
        <f>+Tabla2[[#This Row],[Valor Comercial (US$)]]-Tabla2[[#This Row],[Valor del terreno (US$)]]</f>
        <v>#REF!</v>
      </c>
      <c r="R10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1" s="53" t="e">
        <f>ROUND(Tabla2[[#This Row],[Valor Comercial (US$)]]*0.8,-2)</f>
        <v>#REF!</v>
      </c>
      <c r="T101" s="53">
        <f>IF($H$6=$G$5,R101,ROUND(Tabla2[[#This Row],[Área techada (m²)4]]*[1]DATA!$B$2*1.15,-2))</f>
        <v>32300</v>
      </c>
      <c r="U101" s="6">
        <f t="shared" si="1"/>
        <v>3.5</v>
      </c>
      <c r="V101" s="39">
        <f>ROUND(Tabla2[[#This Row],[Valor del terreno (US$)]]*Tabla2[[#This Row],[Tipo de Cambio]],-2)</f>
        <v>10900</v>
      </c>
      <c r="W101" s="39" t="e">
        <f>Tabla2[[#This Row],[Valor Comercial (S/.)]]-Tabla2[[#This Row],[Valor del terreno (S/.)]]</f>
        <v>#REF!</v>
      </c>
      <c r="X101" s="39" t="e">
        <f>ROUND(Tabla2[[#This Row],[Valor Comercial (US$)]]*Tabla2[[#This Row],[Tipo de Cambio]],-2)</f>
        <v>#REF!</v>
      </c>
      <c r="Y101" s="39" t="e">
        <f>ROUND(Tabla2[[#This Row],[Valor Realización (US$)]]*Tabla2[[#This Row],[Tipo de Cambio]],-2)</f>
        <v>#REF!</v>
      </c>
      <c r="Z101" s="39">
        <f>+ROUND(Tabla2[[#This Row],[Importe Asegurable (US$)]]*Tabla2[[#This Row],[Tipo de Cambio]],-2)</f>
        <v>113100</v>
      </c>
      <c r="AA101" s="40"/>
      <c r="AB101" s="2" t="e">
        <f>+Tabla2[[#This Row],[Valor Comercial (US$)]]/Tabla2[[#This Row],[Área techada (m²)4]]</f>
        <v>#REF!</v>
      </c>
      <c r="AC10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1" s="61" t="s">
        <v>43</v>
      </c>
      <c r="AE101" s="54">
        <f>IF(Tabla2[[#This Row],[Moneda]]="Soles",Tabla2[[#This Row],[Valor de Venta]]/Tabla2[[#This Row],[Área techada (m²)]]/Tabla2[[#This Row],[Tipo de Cambio]],Tabla2[[#This Row],[Valor de Venta]]/Tabla2[[#This Row],[Área techada (m²)]])</f>
        <v>852.57142857142856</v>
      </c>
      <c r="AF101" s="43" t="e">
        <f>_xlfn.XLOOKUP(Tabla2[[#This Row],[VISTA]],[1]!Table1[Clase],[1]!Table1[VUE (USD)],0,0,1)</f>
        <v>#REF!</v>
      </c>
      <c r="AG101" s="55" t="e">
        <f>+Tabla2[[#This Row],[Valor Comercial (S/.)]]/Tabla2[[#This Row],[Valor de Venta]]-1</f>
        <v>#REF!</v>
      </c>
    </row>
    <row r="102" spans="1:33" s="1" customFormat="1" ht="15" customHeight="1" x14ac:dyDescent="0.25">
      <c r="A102" s="60" t="s">
        <v>27</v>
      </c>
      <c r="B102" s="14">
        <v>1203</v>
      </c>
      <c r="C102" s="11">
        <v>12</v>
      </c>
      <c r="D102" s="15"/>
      <c r="E102" s="15"/>
      <c r="F102" s="51">
        <f>ROUND(Tabla2[[#This Row],[Área ocupada (m²)]]/20*1.4,2)</f>
        <v>4.38</v>
      </c>
      <c r="G102" s="46">
        <v>62.5</v>
      </c>
      <c r="H102" s="46">
        <v>62.5</v>
      </c>
      <c r="I102" s="51">
        <f>ROUND(Tabla2[[#This Row],[Área techada (m²)]]*0.15,2)</f>
        <v>9.3800000000000008</v>
      </c>
      <c r="J102" s="47" t="s">
        <v>30</v>
      </c>
      <c r="K102" s="48">
        <v>191500</v>
      </c>
      <c r="L102" s="51">
        <f>ROUND(Tabla2[[#This Row],[Área ocupada (m²)3]]/20*1.4,2)</f>
        <v>4.38</v>
      </c>
      <c r="M102" s="37">
        <f>ROUND(Tabla2[[#This Row],[Área ocupada (m²)]],2)</f>
        <v>62.5</v>
      </c>
      <c r="N102" s="37">
        <f>ROUND(Tabla2[[#This Row],[Área techada (m²)]],2)</f>
        <v>62.5</v>
      </c>
      <c r="O102" s="52">
        <f>ROUND(Tabla2[[#This Row],[Área techada (m²)4]]*0.15,2)</f>
        <v>9.3800000000000008</v>
      </c>
      <c r="P102" s="52">
        <f>ROUND(Tabla2[[#This Row],[Área del terreno (m²)2]]*[1]DATA!$A$2,-2)</f>
        <v>3100</v>
      </c>
      <c r="Q102" s="38" t="e">
        <f>+Tabla2[[#This Row],[Valor Comercial (US$)]]-Tabla2[[#This Row],[Valor del terreno (US$)]]</f>
        <v>#REF!</v>
      </c>
      <c r="R10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2" s="53" t="e">
        <f>ROUND(Tabla2[[#This Row],[Valor Comercial (US$)]]*0.8,-2)</f>
        <v>#REF!</v>
      </c>
      <c r="T102" s="53">
        <f>IF($H$6=$G$5,R102,ROUND(Tabla2[[#This Row],[Área techada (m²)4]]*[1]DATA!$B$2*1.15,-2))</f>
        <v>32300</v>
      </c>
      <c r="U102" s="6">
        <f t="shared" si="1"/>
        <v>3.5</v>
      </c>
      <c r="V102" s="39">
        <f>ROUND(Tabla2[[#This Row],[Valor del terreno (US$)]]*Tabla2[[#This Row],[Tipo de Cambio]],-2)</f>
        <v>10900</v>
      </c>
      <c r="W102" s="39" t="e">
        <f>Tabla2[[#This Row],[Valor Comercial (S/.)]]-Tabla2[[#This Row],[Valor del terreno (S/.)]]</f>
        <v>#REF!</v>
      </c>
      <c r="X102" s="39" t="e">
        <f>ROUND(Tabla2[[#This Row],[Valor Comercial (US$)]]*Tabla2[[#This Row],[Tipo de Cambio]],-2)</f>
        <v>#REF!</v>
      </c>
      <c r="Y102" s="39" t="e">
        <f>ROUND(Tabla2[[#This Row],[Valor Realización (US$)]]*Tabla2[[#This Row],[Tipo de Cambio]],-2)</f>
        <v>#REF!</v>
      </c>
      <c r="Z102" s="39">
        <f>+ROUND(Tabla2[[#This Row],[Importe Asegurable (US$)]]*Tabla2[[#This Row],[Tipo de Cambio]],-2)</f>
        <v>113100</v>
      </c>
      <c r="AA102" s="40"/>
      <c r="AB102" s="2" t="e">
        <f>+Tabla2[[#This Row],[Valor Comercial (US$)]]/Tabla2[[#This Row],[Área techada (m²)4]]</f>
        <v>#REF!</v>
      </c>
      <c r="AC10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2" s="61" t="s">
        <v>43</v>
      </c>
      <c r="AE102" s="54">
        <f>IF(Tabla2[[#This Row],[Moneda]]="Soles",Tabla2[[#This Row],[Valor de Venta]]/Tabla2[[#This Row],[Área techada (m²)]]/Tabla2[[#This Row],[Tipo de Cambio]],Tabla2[[#This Row],[Valor de Venta]]/Tabla2[[#This Row],[Área techada (m²)]])</f>
        <v>875.42857142857144</v>
      </c>
      <c r="AF102" s="43" t="e">
        <f>_xlfn.XLOOKUP(Tabla2[[#This Row],[VISTA]],[1]!Table1[Clase],[1]!Table1[VUE (USD)],0,0,1)</f>
        <v>#REF!</v>
      </c>
      <c r="AG102" s="55" t="e">
        <f>+Tabla2[[#This Row],[Valor Comercial (S/.)]]/Tabla2[[#This Row],[Valor de Venta]]-1</f>
        <v>#REF!</v>
      </c>
    </row>
    <row r="103" spans="1:33" s="1" customFormat="1" ht="15" customHeight="1" x14ac:dyDescent="0.25">
      <c r="A103" s="60" t="s">
        <v>27</v>
      </c>
      <c r="B103" s="14">
        <v>1204</v>
      </c>
      <c r="C103" s="11">
        <v>12</v>
      </c>
      <c r="D103" s="15"/>
      <c r="E103" s="15"/>
      <c r="F103" s="51">
        <f>ROUND(Tabla2[[#This Row],[Área ocupada (m²)]]/20*1.4,2)</f>
        <v>4.5599999999999996</v>
      </c>
      <c r="G103" s="46">
        <v>65.2</v>
      </c>
      <c r="H103" s="46">
        <v>65.2</v>
      </c>
      <c r="I103" s="51">
        <f>ROUND(Tabla2[[#This Row],[Área techada (m²)]]*0.15,2)</f>
        <v>9.7799999999999994</v>
      </c>
      <c r="J103" s="47" t="s">
        <v>30</v>
      </c>
      <c r="K103" s="48">
        <v>207500</v>
      </c>
      <c r="L103" s="51">
        <f>ROUND(Tabla2[[#This Row],[Área ocupada (m²)3]]/20*1.4,2)</f>
        <v>4.5599999999999996</v>
      </c>
      <c r="M103" s="37">
        <f>ROUND(Tabla2[[#This Row],[Área ocupada (m²)]],2)</f>
        <v>65.2</v>
      </c>
      <c r="N103" s="37">
        <f>ROUND(Tabla2[[#This Row],[Área techada (m²)]],2)</f>
        <v>65.2</v>
      </c>
      <c r="O103" s="52">
        <f>ROUND(Tabla2[[#This Row],[Área techada (m²)4]]*0.15,2)</f>
        <v>9.7799999999999994</v>
      </c>
      <c r="P103" s="52">
        <f>ROUND(Tabla2[[#This Row],[Área del terreno (m²)2]]*[1]DATA!$A$2,-2)</f>
        <v>3200</v>
      </c>
      <c r="Q103" s="38" t="e">
        <f>+Tabla2[[#This Row],[Valor Comercial (US$)]]-Tabla2[[#This Row],[Valor del terreno (US$)]]</f>
        <v>#REF!</v>
      </c>
      <c r="R10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3" s="53" t="e">
        <f>ROUND(Tabla2[[#This Row],[Valor Comercial (US$)]]*0.8,-2)</f>
        <v>#REF!</v>
      </c>
      <c r="T103" s="53">
        <f>IF($H$6=$G$5,R103,ROUND(Tabla2[[#This Row],[Área techada (m²)4]]*[1]DATA!$B$2*1.15,-2))</f>
        <v>33700</v>
      </c>
      <c r="U103" s="6">
        <f t="shared" si="1"/>
        <v>3.5</v>
      </c>
      <c r="V103" s="39">
        <f>ROUND(Tabla2[[#This Row],[Valor del terreno (US$)]]*Tabla2[[#This Row],[Tipo de Cambio]],-2)</f>
        <v>11200</v>
      </c>
      <c r="W103" s="39" t="e">
        <f>Tabla2[[#This Row],[Valor Comercial (S/.)]]-Tabla2[[#This Row],[Valor del terreno (S/.)]]</f>
        <v>#REF!</v>
      </c>
      <c r="X103" s="39" t="e">
        <f>ROUND(Tabla2[[#This Row],[Valor Comercial (US$)]]*Tabla2[[#This Row],[Tipo de Cambio]],-2)</f>
        <v>#REF!</v>
      </c>
      <c r="Y103" s="39" t="e">
        <f>ROUND(Tabla2[[#This Row],[Valor Realización (US$)]]*Tabla2[[#This Row],[Tipo de Cambio]],-2)</f>
        <v>#REF!</v>
      </c>
      <c r="Z103" s="39">
        <f>+ROUND(Tabla2[[#This Row],[Importe Asegurable (US$)]]*Tabla2[[#This Row],[Tipo de Cambio]],-2)</f>
        <v>118000</v>
      </c>
      <c r="AA103" s="40"/>
      <c r="AB103" s="2" t="e">
        <f>+Tabla2[[#This Row],[Valor Comercial (US$)]]/Tabla2[[#This Row],[Área techada (m²)4]]</f>
        <v>#REF!</v>
      </c>
      <c r="AC10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3" s="61" t="s">
        <v>42</v>
      </c>
      <c r="AE103" s="54">
        <f>IF(Tabla2[[#This Row],[Moneda]]="Soles",Tabla2[[#This Row],[Valor de Venta]]/Tabla2[[#This Row],[Área techada (m²)]]/Tabla2[[#This Row],[Tipo de Cambio]],Tabla2[[#This Row],[Valor de Venta]]/Tabla2[[#This Row],[Área techada (m²)]])</f>
        <v>909.29009640666084</v>
      </c>
      <c r="AF103" s="43" t="e">
        <f>_xlfn.XLOOKUP(Tabla2[[#This Row],[VISTA]],[1]!Table1[Clase],[1]!Table1[VUE (USD)],0,0,1)</f>
        <v>#REF!</v>
      </c>
      <c r="AG103" s="55" t="e">
        <f>+Tabla2[[#This Row],[Valor Comercial (S/.)]]/Tabla2[[#This Row],[Valor de Venta]]-1</f>
        <v>#REF!</v>
      </c>
    </row>
    <row r="104" spans="1:33" s="1" customFormat="1" ht="15" customHeight="1" x14ac:dyDescent="0.25">
      <c r="A104" s="60" t="s">
        <v>27</v>
      </c>
      <c r="B104" s="14">
        <v>1205</v>
      </c>
      <c r="C104" s="11">
        <v>12</v>
      </c>
      <c r="D104" s="15"/>
      <c r="E104" s="15"/>
      <c r="F104" s="51">
        <f>ROUND(Tabla2[[#This Row],[Área ocupada (m²)]]/20*1.4,2)</f>
        <v>4.5599999999999996</v>
      </c>
      <c r="G104" s="46">
        <v>65.2</v>
      </c>
      <c r="H104" s="46">
        <v>65.2</v>
      </c>
      <c r="I104" s="51">
        <f>ROUND(Tabla2[[#This Row],[Área techada (m²)]]*0.15,2)</f>
        <v>9.7799999999999994</v>
      </c>
      <c r="J104" s="47" t="s">
        <v>30</v>
      </c>
      <c r="K104" s="48">
        <v>201500</v>
      </c>
      <c r="L104" s="51">
        <f>ROUND(Tabla2[[#This Row],[Área ocupada (m²)3]]/20*1.4,2)</f>
        <v>4.5599999999999996</v>
      </c>
      <c r="M104" s="37">
        <f>ROUND(Tabla2[[#This Row],[Área ocupada (m²)]],2)</f>
        <v>65.2</v>
      </c>
      <c r="N104" s="37">
        <f>ROUND(Tabla2[[#This Row],[Área techada (m²)]],2)</f>
        <v>65.2</v>
      </c>
      <c r="O104" s="52">
        <f>ROUND(Tabla2[[#This Row],[Área techada (m²)4]]*0.15,2)</f>
        <v>9.7799999999999994</v>
      </c>
      <c r="P104" s="52">
        <f>ROUND(Tabla2[[#This Row],[Área del terreno (m²)2]]*[1]DATA!$A$2,-2)</f>
        <v>3200</v>
      </c>
      <c r="Q104" s="38" t="e">
        <f>+Tabla2[[#This Row],[Valor Comercial (US$)]]-Tabla2[[#This Row],[Valor del terreno (US$)]]</f>
        <v>#REF!</v>
      </c>
      <c r="R10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4" s="53" t="e">
        <f>ROUND(Tabla2[[#This Row],[Valor Comercial (US$)]]*0.8,-2)</f>
        <v>#REF!</v>
      </c>
      <c r="T104" s="53">
        <f>IF($H$6=$G$5,R104,ROUND(Tabla2[[#This Row],[Área techada (m²)4]]*[1]DATA!$B$2*1.15,-2))</f>
        <v>33700</v>
      </c>
      <c r="U104" s="6">
        <f t="shared" si="1"/>
        <v>3.5</v>
      </c>
      <c r="V104" s="39">
        <f>ROUND(Tabla2[[#This Row],[Valor del terreno (US$)]]*Tabla2[[#This Row],[Tipo de Cambio]],-2)</f>
        <v>11200</v>
      </c>
      <c r="W104" s="39" t="e">
        <f>Tabla2[[#This Row],[Valor Comercial (S/.)]]-Tabla2[[#This Row],[Valor del terreno (S/.)]]</f>
        <v>#REF!</v>
      </c>
      <c r="X104" s="39" t="e">
        <f>ROUND(Tabla2[[#This Row],[Valor Comercial (US$)]]*Tabla2[[#This Row],[Tipo de Cambio]],-2)</f>
        <v>#REF!</v>
      </c>
      <c r="Y104" s="39" t="e">
        <f>ROUND(Tabla2[[#This Row],[Valor Realización (US$)]]*Tabla2[[#This Row],[Tipo de Cambio]],-2)</f>
        <v>#REF!</v>
      </c>
      <c r="Z104" s="39">
        <f>+ROUND(Tabla2[[#This Row],[Importe Asegurable (US$)]]*Tabla2[[#This Row],[Tipo de Cambio]],-2)</f>
        <v>118000</v>
      </c>
      <c r="AA104" s="40"/>
      <c r="AB104" s="2" t="e">
        <f>+Tabla2[[#This Row],[Valor Comercial (US$)]]/Tabla2[[#This Row],[Área techada (m²)4]]</f>
        <v>#REF!</v>
      </c>
      <c r="AC10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4" s="61" t="s">
        <v>43</v>
      </c>
      <c r="AE104" s="54">
        <f>IF(Tabla2[[#This Row],[Moneda]]="Soles",Tabla2[[#This Row],[Valor de Venta]]/Tabla2[[#This Row],[Área techada (m²)]]/Tabla2[[#This Row],[Tipo de Cambio]],Tabla2[[#This Row],[Valor de Venta]]/Tabla2[[#This Row],[Área techada (m²)]])</f>
        <v>882.9973707274321</v>
      </c>
      <c r="AF104" s="43" t="e">
        <f>_xlfn.XLOOKUP(Tabla2[[#This Row],[VISTA]],[1]!Table1[Clase],[1]!Table1[VUE (USD)],0,0,1)</f>
        <v>#REF!</v>
      </c>
      <c r="AG104" s="55" t="e">
        <f>+Tabla2[[#This Row],[Valor Comercial (S/.)]]/Tabla2[[#This Row],[Valor de Venta]]-1</f>
        <v>#REF!</v>
      </c>
    </row>
    <row r="105" spans="1:33" s="1" customFormat="1" ht="15" customHeight="1" x14ac:dyDescent="0.25">
      <c r="A105" s="60" t="s">
        <v>27</v>
      </c>
      <c r="B105" s="14">
        <v>1206</v>
      </c>
      <c r="C105" s="11">
        <v>12</v>
      </c>
      <c r="D105" s="15"/>
      <c r="E105" s="15"/>
      <c r="F105" s="51">
        <f>ROUND(Tabla2[[#This Row],[Área ocupada (m²)]]/20*1.4,2)</f>
        <v>4.38</v>
      </c>
      <c r="G105" s="46">
        <v>62.5</v>
      </c>
      <c r="H105" s="46">
        <v>62.5</v>
      </c>
      <c r="I105" s="51">
        <f>ROUND(Tabla2[[#This Row],[Área techada (m²)]]*0.15,2)</f>
        <v>9.3800000000000008</v>
      </c>
      <c r="J105" s="47" t="s">
        <v>30</v>
      </c>
      <c r="K105" s="48">
        <v>194500</v>
      </c>
      <c r="L105" s="51">
        <f>ROUND(Tabla2[[#This Row],[Área ocupada (m²)3]]/20*1.4,2)</f>
        <v>4.38</v>
      </c>
      <c r="M105" s="37">
        <f>ROUND(Tabla2[[#This Row],[Área ocupada (m²)]],2)</f>
        <v>62.5</v>
      </c>
      <c r="N105" s="37">
        <f>ROUND(Tabla2[[#This Row],[Área techada (m²)]],2)</f>
        <v>62.5</v>
      </c>
      <c r="O105" s="52">
        <f>ROUND(Tabla2[[#This Row],[Área techada (m²)4]]*0.15,2)</f>
        <v>9.3800000000000008</v>
      </c>
      <c r="P105" s="52">
        <f>ROUND(Tabla2[[#This Row],[Área del terreno (m²)2]]*[1]DATA!$A$2,-2)</f>
        <v>3100</v>
      </c>
      <c r="Q105" s="38" t="e">
        <f>+Tabla2[[#This Row],[Valor Comercial (US$)]]-Tabla2[[#This Row],[Valor del terreno (US$)]]</f>
        <v>#REF!</v>
      </c>
      <c r="R10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5" s="53" t="e">
        <f>ROUND(Tabla2[[#This Row],[Valor Comercial (US$)]]*0.8,-2)</f>
        <v>#REF!</v>
      </c>
      <c r="T105" s="53">
        <f>IF($H$6=$G$5,R105,ROUND(Tabla2[[#This Row],[Área techada (m²)4]]*[1]DATA!$B$2*1.15,-2))</f>
        <v>32300</v>
      </c>
      <c r="U105" s="6">
        <f t="shared" si="1"/>
        <v>3.5</v>
      </c>
      <c r="V105" s="39">
        <f>ROUND(Tabla2[[#This Row],[Valor del terreno (US$)]]*Tabla2[[#This Row],[Tipo de Cambio]],-2)</f>
        <v>10900</v>
      </c>
      <c r="W105" s="39" t="e">
        <f>Tabla2[[#This Row],[Valor Comercial (S/.)]]-Tabla2[[#This Row],[Valor del terreno (S/.)]]</f>
        <v>#REF!</v>
      </c>
      <c r="X105" s="39" t="e">
        <f>ROUND(Tabla2[[#This Row],[Valor Comercial (US$)]]*Tabla2[[#This Row],[Tipo de Cambio]],-2)</f>
        <v>#REF!</v>
      </c>
      <c r="Y105" s="39" t="e">
        <f>ROUND(Tabla2[[#This Row],[Valor Realización (US$)]]*Tabla2[[#This Row],[Tipo de Cambio]],-2)</f>
        <v>#REF!</v>
      </c>
      <c r="Z105" s="39">
        <f>+ROUND(Tabla2[[#This Row],[Importe Asegurable (US$)]]*Tabla2[[#This Row],[Tipo de Cambio]],-2)</f>
        <v>113100</v>
      </c>
      <c r="AA105" s="40"/>
      <c r="AB105" s="2" t="e">
        <f>+Tabla2[[#This Row],[Valor Comercial (US$)]]/Tabla2[[#This Row],[Área techada (m²)4]]</f>
        <v>#REF!</v>
      </c>
      <c r="AC10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5" s="61" t="s">
        <v>42</v>
      </c>
      <c r="AE105" s="54">
        <f>IF(Tabla2[[#This Row],[Moneda]]="Soles",Tabla2[[#This Row],[Valor de Venta]]/Tabla2[[#This Row],[Área techada (m²)]]/Tabla2[[#This Row],[Tipo de Cambio]],Tabla2[[#This Row],[Valor de Venta]]/Tabla2[[#This Row],[Área techada (m²)]])</f>
        <v>889.14285714285711</v>
      </c>
      <c r="AF105" s="43" t="e">
        <f>_xlfn.XLOOKUP(Tabla2[[#This Row],[VISTA]],[1]!Table1[Clase],[1]!Table1[VUE (USD)],0,0,1)</f>
        <v>#REF!</v>
      </c>
      <c r="AG105" s="55" t="e">
        <f>+Tabla2[[#This Row],[Valor Comercial (S/.)]]/Tabla2[[#This Row],[Valor de Venta]]-1</f>
        <v>#REF!</v>
      </c>
    </row>
    <row r="106" spans="1:33" s="1" customFormat="1" ht="15" customHeight="1" x14ac:dyDescent="0.25">
      <c r="A106" s="60" t="s">
        <v>27</v>
      </c>
      <c r="B106" s="14">
        <v>1207</v>
      </c>
      <c r="C106" s="11">
        <v>12</v>
      </c>
      <c r="D106" s="15"/>
      <c r="E106" s="15"/>
      <c r="F106" s="51">
        <f>ROUND(Tabla2[[#This Row],[Área ocupada (m²)]]/20*1.4,2)</f>
        <v>4.38</v>
      </c>
      <c r="G106" s="46">
        <v>62.5</v>
      </c>
      <c r="H106" s="46">
        <v>62.5</v>
      </c>
      <c r="I106" s="51">
        <f>ROUND(Tabla2[[#This Row],[Área techada (m²)]]*0.15,2)</f>
        <v>9.3800000000000008</v>
      </c>
      <c r="J106" s="47" t="s">
        <v>30</v>
      </c>
      <c r="K106" s="48">
        <v>182500</v>
      </c>
      <c r="L106" s="51">
        <f>ROUND(Tabla2[[#This Row],[Área ocupada (m²)3]]/20*1.4,2)</f>
        <v>4.38</v>
      </c>
      <c r="M106" s="37">
        <f>ROUND(Tabla2[[#This Row],[Área ocupada (m²)]],2)</f>
        <v>62.5</v>
      </c>
      <c r="N106" s="37">
        <f>ROUND(Tabla2[[#This Row],[Área techada (m²)]],2)</f>
        <v>62.5</v>
      </c>
      <c r="O106" s="52">
        <f>ROUND(Tabla2[[#This Row],[Área techada (m²)4]]*0.15,2)</f>
        <v>9.3800000000000008</v>
      </c>
      <c r="P106" s="52">
        <f>ROUND(Tabla2[[#This Row],[Área del terreno (m²)2]]*[1]DATA!$A$2,-2)</f>
        <v>3100</v>
      </c>
      <c r="Q106" s="38" t="e">
        <f>+Tabla2[[#This Row],[Valor Comercial (US$)]]-Tabla2[[#This Row],[Valor del terreno (US$)]]</f>
        <v>#REF!</v>
      </c>
      <c r="R10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6" s="53" t="e">
        <f>ROUND(Tabla2[[#This Row],[Valor Comercial (US$)]]*0.8,-2)</f>
        <v>#REF!</v>
      </c>
      <c r="T106" s="53">
        <f>IF($H$6=$G$5,R106,ROUND(Tabla2[[#This Row],[Área techada (m²)4]]*[1]DATA!$B$2*1.15,-2))</f>
        <v>32300</v>
      </c>
      <c r="U106" s="6">
        <f t="shared" si="1"/>
        <v>3.5</v>
      </c>
      <c r="V106" s="39">
        <f>ROUND(Tabla2[[#This Row],[Valor del terreno (US$)]]*Tabla2[[#This Row],[Tipo de Cambio]],-2)</f>
        <v>10900</v>
      </c>
      <c r="W106" s="39" t="e">
        <f>Tabla2[[#This Row],[Valor Comercial (S/.)]]-Tabla2[[#This Row],[Valor del terreno (S/.)]]</f>
        <v>#REF!</v>
      </c>
      <c r="X106" s="39" t="e">
        <f>ROUND(Tabla2[[#This Row],[Valor Comercial (US$)]]*Tabla2[[#This Row],[Tipo de Cambio]],-2)</f>
        <v>#REF!</v>
      </c>
      <c r="Y106" s="39" t="e">
        <f>ROUND(Tabla2[[#This Row],[Valor Realización (US$)]]*Tabla2[[#This Row],[Tipo de Cambio]],-2)</f>
        <v>#REF!</v>
      </c>
      <c r="Z106" s="39">
        <f>+ROUND(Tabla2[[#This Row],[Importe Asegurable (US$)]]*Tabla2[[#This Row],[Tipo de Cambio]],-2)</f>
        <v>113100</v>
      </c>
      <c r="AA106" s="40"/>
      <c r="AB106" s="2" t="e">
        <f>+Tabla2[[#This Row],[Valor Comercial (US$)]]/Tabla2[[#This Row],[Área techada (m²)4]]</f>
        <v>#REF!</v>
      </c>
      <c r="AC10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6" s="61" t="s">
        <v>44</v>
      </c>
      <c r="AE106" s="54">
        <f>IF(Tabla2[[#This Row],[Moneda]]="Soles",Tabla2[[#This Row],[Valor de Venta]]/Tabla2[[#This Row],[Área techada (m²)]]/Tabla2[[#This Row],[Tipo de Cambio]],Tabla2[[#This Row],[Valor de Venta]]/Tabla2[[#This Row],[Área techada (m²)]])</f>
        <v>834.28571428571433</v>
      </c>
      <c r="AF106" s="43" t="e">
        <f>_xlfn.XLOOKUP(Tabla2[[#This Row],[VISTA]],[1]!Table1[Clase],[1]!Table1[VUE (USD)],0,0,1)</f>
        <v>#REF!</v>
      </c>
      <c r="AG106" s="55" t="e">
        <f>+Tabla2[[#This Row],[Valor Comercial (S/.)]]/Tabla2[[#This Row],[Valor de Venta]]-1</f>
        <v>#REF!</v>
      </c>
    </row>
    <row r="107" spans="1:33" s="1" customFormat="1" ht="15" customHeight="1" x14ac:dyDescent="0.25">
      <c r="A107" s="60" t="s">
        <v>27</v>
      </c>
      <c r="B107" s="14">
        <v>1208</v>
      </c>
      <c r="C107" s="11">
        <v>12</v>
      </c>
      <c r="D107" s="15"/>
      <c r="E107" s="15"/>
      <c r="F107" s="51">
        <f>ROUND(Tabla2[[#This Row],[Área ocupada (m²)]]/20*1.4,2)</f>
        <v>4.5599999999999996</v>
      </c>
      <c r="G107" s="46">
        <v>65.2</v>
      </c>
      <c r="H107" s="46">
        <v>65.2</v>
      </c>
      <c r="I107" s="51">
        <f>ROUND(Tabla2[[#This Row],[Área techada (m²)]]*0.15,2)</f>
        <v>9.7799999999999994</v>
      </c>
      <c r="J107" s="47" t="s">
        <v>30</v>
      </c>
      <c r="K107" s="48">
        <v>198500</v>
      </c>
      <c r="L107" s="51">
        <f>ROUND(Tabla2[[#This Row],[Área ocupada (m²)3]]/20*1.4,2)</f>
        <v>4.5599999999999996</v>
      </c>
      <c r="M107" s="37">
        <f>ROUND(Tabla2[[#This Row],[Área ocupada (m²)]],2)</f>
        <v>65.2</v>
      </c>
      <c r="N107" s="37">
        <f>ROUND(Tabla2[[#This Row],[Área techada (m²)]],2)</f>
        <v>65.2</v>
      </c>
      <c r="O107" s="52">
        <f>ROUND(Tabla2[[#This Row],[Área techada (m²)4]]*0.15,2)</f>
        <v>9.7799999999999994</v>
      </c>
      <c r="P107" s="52">
        <f>ROUND(Tabla2[[#This Row],[Área del terreno (m²)2]]*[1]DATA!$A$2,-2)</f>
        <v>3200</v>
      </c>
      <c r="Q107" s="38" t="e">
        <f>+Tabla2[[#This Row],[Valor Comercial (US$)]]-Tabla2[[#This Row],[Valor del terreno (US$)]]</f>
        <v>#REF!</v>
      </c>
      <c r="R10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7" s="53" t="e">
        <f>ROUND(Tabla2[[#This Row],[Valor Comercial (US$)]]*0.8,-2)</f>
        <v>#REF!</v>
      </c>
      <c r="T107" s="53">
        <f>IF($H$6=$G$5,R107,ROUND(Tabla2[[#This Row],[Área techada (m²)4]]*[1]DATA!$B$2*1.15,-2))</f>
        <v>33700</v>
      </c>
      <c r="U107" s="6">
        <f t="shared" si="1"/>
        <v>3.5</v>
      </c>
      <c r="V107" s="39">
        <f>ROUND(Tabla2[[#This Row],[Valor del terreno (US$)]]*Tabla2[[#This Row],[Tipo de Cambio]],-2)</f>
        <v>11200</v>
      </c>
      <c r="W107" s="39" t="e">
        <f>Tabla2[[#This Row],[Valor Comercial (S/.)]]-Tabla2[[#This Row],[Valor del terreno (S/.)]]</f>
        <v>#REF!</v>
      </c>
      <c r="X107" s="39" t="e">
        <f>ROUND(Tabla2[[#This Row],[Valor Comercial (US$)]]*Tabla2[[#This Row],[Tipo de Cambio]],-2)</f>
        <v>#REF!</v>
      </c>
      <c r="Y107" s="39" t="e">
        <f>ROUND(Tabla2[[#This Row],[Valor Realización (US$)]]*Tabla2[[#This Row],[Tipo de Cambio]],-2)</f>
        <v>#REF!</v>
      </c>
      <c r="Z107" s="39">
        <f>+ROUND(Tabla2[[#This Row],[Importe Asegurable (US$)]]*Tabla2[[#This Row],[Tipo de Cambio]],-2)</f>
        <v>118000</v>
      </c>
      <c r="AA107" s="40"/>
      <c r="AB107" s="2" t="e">
        <f>+Tabla2[[#This Row],[Valor Comercial (US$)]]/Tabla2[[#This Row],[Área techada (m²)4]]</f>
        <v>#REF!</v>
      </c>
      <c r="AC10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7" s="61" t="s">
        <v>43</v>
      </c>
      <c r="AE107" s="54">
        <f>IF(Tabla2[[#This Row],[Moneda]]="Soles",Tabla2[[#This Row],[Valor de Venta]]/Tabla2[[#This Row],[Área techada (m²)]]/Tabla2[[#This Row],[Tipo de Cambio]],Tabla2[[#This Row],[Valor de Venta]]/Tabla2[[#This Row],[Área techada (m²)]])</f>
        <v>869.85100788781767</v>
      </c>
      <c r="AF107" s="43" t="e">
        <f>_xlfn.XLOOKUP(Tabla2[[#This Row],[VISTA]],[1]!Table1[Clase],[1]!Table1[VUE (USD)],0,0,1)</f>
        <v>#REF!</v>
      </c>
      <c r="AG107" s="55" t="e">
        <f>+Tabla2[[#This Row],[Valor Comercial (S/.)]]/Tabla2[[#This Row],[Valor de Venta]]-1</f>
        <v>#REF!</v>
      </c>
    </row>
    <row r="108" spans="1:33" s="1" customFormat="1" ht="15" customHeight="1" x14ac:dyDescent="0.25">
      <c r="A108" s="60" t="s">
        <v>27</v>
      </c>
      <c r="B108" s="14">
        <v>1301</v>
      </c>
      <c r="C108" s="11">
        <v>13</v>
      </c>
      <c r="D108" s="15"/>
      <c r="E108" s="15"/>
      <c r="F108" s="51">
        <f>ROUND(Tabla2[[#This Row],[Área ocupada (m²)]]/20*1.4,2)</f>
        <v>4.5599999999999996</v>
      </c>
      <c r="G108" s="46">
        <v>65.2</v>
      </c>
      <c r="H108" s="46">
        <v>65.2</v>
      </c>
      <c r="I108" s="51">
        <f>ROUND(Tabla2[[#This Row],[Área techada (m²)]]*0.15,2)</f>
        <v>9.7799999999999994</v>
      </c>
      <c r="J108" s="47" t="s">
        <v>30</v>
      </c>
      <c r="K108" s="48">
        <v>194600</v>
      </c>
      <c r="L108" s="51">
        <f>ROUND(Tabla2[[#This Row],[Área ocupada (m²)3]]/20*1.4,2)</f>
        <v>4.5599999999999996</v>
      </c>
      <c r="M108" s="37">
        <f>ROUND(Tabla2[[#This Row],[Área ocupada (m²)]],2)</f>
        <v>65.2</v>
      </c>
      <c r="N108" s="37">
        <f>ROUND(Tabla2[[#This Row],[Área techada (m²)]],2)</f>
        <v>65.2</v>
      </c>
      <c r="O108" s="52">
        <f>ROUND(Tabla2[[#This Row],[Área techada (m²)4]]*0.15,2)</f>
        <v>9.7799999999999994</v>
      </c>
      <c r="P108" s="52">
        <f>ROUND(Tabla2[[#This Row],[Área del terreno (m²)2]]*[1]DATA!$A$2,-2)</f>
        <v>3200</v>
      </c>
      <c r="Q108" s="38" t="e">
        <f>+Tabla2[[#This Row],[Valor Comercial (US$)]]-Tabla2[[#This Row],[Valor del terreno (US$)]]</f>
        <v>#REF!</v>
      </c>
      <c r="R10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8" s="53" t="e">
        <f>ROUND(Tabla2[[#This Row],[Valor Comercial (US$)]]*0.8,-2)</f>
        <v>#REF!</v>
      </c>
      <c r="T108" s="53">
        <f>IF($H$6=$G$5,R108,ROUND(Tabla2[[#This Row],[Área techada (m²)4]]*[1]DATA!$B$2*1.15,-2))</f>
        <v>33700</v>
      </c>
      <c r="U108" s="6">
        <f t="shared" si="1"/>
        <v>3.5</v>
      </c>
      <c r="V108" s="39">
        <f>ROUND(Tabla2[[#This Row],[Valor del terreno (US$)]]*Tabla2[[#This Row],[Tipo de Cambio]],-2)</f>
        <v>11200</v>
      </c>
      <c r="W108" s="39" t="e">
        <f>Tabla2[[#This Row],[Valor Comercial (S/.)]]-Tabla2[[#This Row],[Valor del terreno (S/.)]]</f>
        <v>#REF!</v>
      </c>
      <c r="X108" s="39" t="e">
        <f>ROUND(Tabla2[[#This Row],[Valor Comercial (US$)]]*Tabla2[[#This Row],[Tipo de Cambio]],-2)</f>
        <v>#REF!</v>
      </c>
      <c r="Y108" s="39" t="e">
        <f>ROUND(Tabla2[[#This Row],[Valor Realización (US$)]]*Tabla2[[#This Row],[Tipo de Cambio]],-2)</f>
        <v>#REF!</v>
      </c>
      <c r="Z108" s="39">
        <f>+ROUND(Tabla2[[#This Row],[Importe Asegurable (US$)]]*Tabla2[[#This Row],[Tipo de Cambio]],-2)</f>
        <v>118000</v>
      </c>
      <c r="AA108" s="40"/>
      <c r="AB108" s="2" t="e">
        <f>+Tabla2[[#This Row],[Valor Comercial (US$)]]/Tabla2[[#This Row],[Área techada (m²)4]]</f>
        <v>#REF!</v>
      </c>
      <c r="AC10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8" s="61" t="s">
        <v>43</v>
      </c>
      <c r="AE108" s="54">
        <f>IF(Tabla2[[#This Row],[Moneda]]="Soles",Tabla2[[#This Row],[Valor de Venta]]/Tabla2[[#This Row],[Área techada (m²)]]/Tabla2[[#This Row],[Tipo de Cambio]],Tabla2[[#This Row],[Valor de Venta]]/Tabla2[[#This Row],[Área techada (m²)]])</f>
        <v>852.76073619631904</v>
      </c>
      <c r="AF108" s="43" t="e">
        <f>_xlfn.XLOOKUP(Tabla2[[#This Row],[VISTA]],[1]!Table1[Clase],[1]!Table1[VUE (USD)],0,0,1)</f>
        <v>#REF!</v>
      </c>
      <c r="AG108" s="55" t="e">
        <f>+Tabla2[[#This Row],[Valor Comercial (S/.)]]/Tabla2[[#This Row],[Valor de Venta]]-1</f>
        <v>#REF!</v>
      </c>
    </row>
    <row r="109" spans="1:33" s="1" customFormat="1" ht="15" customHeight="1" x14ac:dyDescent="0.25">
      <c r="A109" s="60" t="s">
        <v>27</v>
      </c>
      <c r="B109" s="14">
        <v>1302</v>
      </c>
      <c r="C109" s="11">
        <v>13</v>
      </c>
      <c r="D109" s="15"/>
      <c r="E109" s="15"/>
      <c r="F109" s="51">
        <f>ROUND(Tabla2[[#This Row],[Área ocupada (m²)]]/20*1.4,2)</f>
        <v>4.38</v>
      </c>
      <c r="G109" s="46">
        <v>62.5</v>
      </c>
      <c r="H109" s="46">
        <v>62.5</v>
      </c>
      <c r="I109" s="51">
        <f>ROUND(Tabla2[[#This Row],[Área techada (m²)]]*0.15,2)</f>
        <v>9.3800000000000008</v>
      </c>
      <c r="J109" s="47" t="s">
        <v>30</v>
      </c>
      <c r="K109" s="48">
        <v>184600</v>
      </c>
      <c r="L109" s="51">
        <f>ROUND(Tabla2[[#This Row],[Área ocupada (m²)3]]/20*1.4,2)</f>
        <v>4.38</v>
      </c>
      <c r="M109" s="37">
        <f>ROUND(Tabla2[[#This Row],[Área ocupada (m²)]],2)</f>
        <v>62.5</v>
      </c>
      <c r="N109" s="37">
        <f>ROUND(Tabla2[[#This Row],[Área techada (m²)]],2)</f>
        <v>62.5</v>
      </c>
      <c r="O109" s="52">
        <f>ROUND(Tabla2[[#This Row],[Área techada (m²)4]]*0.15,2)</f>
        <v>9.3800000000000008</v>
      </c>
      <c r="P109" s="52">
        <f>ROUND(Tabla2[[#This Row],[Área del terreno (m²)2]]*[1]DATA!$A$2,-2)</f>
        <v>3100</v>
      </c>
      <c r="Q109" s="38" t="e">
        <f>+Tabla2[[#This Row],[Valor Comercial (US$)]]-Tabla2[[#This Row],[Valor del terreno (US$)]]</f>
        <v>#REF!</v>
      </c>
      <c r="R10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9" s="53" t="e">
        <f>ROUND(Tabla2[[#This Row],[Valor Comercial (US$)]]*0.8,-2)</f>
        <v>#REF!</v>
      </c>
      <c r="T109" s="53">
        <f>IF($H$6=$G$5,R109,ROUND(Tabla2[[#This Row],[Área techada (m²)4]]*[1]DATA!$B$2*1.15,-2))</f>
        <v>32300</v>
      </c>
      <c r="U109" s="6">
        <f t="shared" si="1"/>
        <v>3.5</v>
      </c>
      <c r="V109" s="39">
        <f>ROUND(Tabla2[[#This Row],[Valor del terreno (US$)]]*Tabla2[[#This Row],[Tipo de Cambio]],-2)</f>
        <v>10900</v>
      </c>
      <c r="W109" s="39" t="e">
        <f>Tabla2[[#This Row],[Valor Comercial (S/.)]]-Tabla2[[#This Row],[Valor del terreno (S/.)]]</f>
        <v>#REF!</v>
      </c>
      <c r="X109" s="39" t="e">
        <f>ROUND(Tabla2[[#This Row],[Valor Comercial (US$)]]*Tabla2[[#This Row],[Tipo de Cambio]],-2)</f>
        <v>#REF!</v>
      </c>
      <c r="Y109" s="39" t="e">
        <f>ROUND(Tabla2[[#This Row],[Valor Realización (US$)]]*Tabla2[[#This Row],[Tipo de Cambio]],-2)</f>
        <v>#REF!</v>
      </c>
      <c r="Z109" s="39">
        <f>+ROUND(Tabla2[[#This Row],[Importe Asegurable (US$)]]*Tabla2[[#This Row],[Tipo de Cambio]],-2)</f>
        <v>113100</v>
      </c>
      <c r="AA109" s="40"/>
      <c r="AB109" s="2" t="e">
        <f>+Tabla2[[#This Row],[Valor Comercial (US$)]]/Tabla2[[#This Row],[Área techada (m²)4]]</f>
        <v>#REF!</v>
      </c>
      <c r="AC10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9" s="61" t="s">
        <v>43</v>
      </c>
      <c r="AE109" s="54">
        <f>IF(Tabla2[[#This Row],[Moneda]]="Soles",Tabla2[[#This Row],[Valor de Venta]]/Tabla2[[#This Row],[Área techada (m²)]]/Tabla2[[#This Row],[Tipo de Cambio]],Tabla2[[#This Row],[Valor de Venta]]/Tabla2[[#This Row],[Área techada (m²)]])</f>
        <v>843.88571428571424</v>
      </c>
      <c r="AF109" s="43" t="e">
        <f>_xlfn.XLOOKUP(Tabla2[[#This Row],[VISTA]],[1]!Table1[Clase],[1]!Table1[VUE (USD)],0,0,1)</f>
        <v>#REF!</v>
      </c>
      <c r="AG109" s="55" t="e">
        <f>+Tabla2[[#This Row],[Valor Comercial (S/.)]]/Tabla2[[#This Row],[Valor de Venta]]-1</f>
        <v>#REF!</v>
      </c>
    </row>
    <row r="110" spans="1:33" s="1" customFormat="1" ht="15" customHeight="1" x14ac:dyDescent="0.25">
      <c r="A110" s="60" t="s">
        <v>27</v>
      </c>
      <c r="B110" s="14">
        <v>1303</v>
      </c>
      <c r="C110" s="11">
        <v>13</v>
      </c>
      <c r="D110" s="15"/>
      <c r="E110" s="15"/>
      <c r="F110" s="51">
        <f>ROUND(Tabla2[[#This Row],[Área ocupada (m²)]]/20*1.4,2)</f>
        <v>4.38</v>
      </c>
      <c r="G110" s="46">
        <v>62.5</v>
      </c>
      <c r="H110" s="46">
        <v>62.5</v>
      </c>
      <c r="I110" s="51">
        <f>ROUND(Tabla2[[#This Row],[Área techada (m²)]]*0.15,2)</f>
        <v>9.3800000000000008</v>
      </c>
      <c r="J110" s="47" t="s">
        <v>30</v>
      </c>
      <c r="K110" s="48">
        <v>189600</v>
      </c>
      <c r="L110" s="51">
        <f>ROUND(Tabla2[[#This Row],[Área ocupada (m²)3]]/20*1.4,2)</f>
        <v>4.38</v>
      </c>
      <c r="M110" s="37">
        <f>ROUND(Tabla2[[#This Row],[Área ocupada (m²)]],2)</f>
        <v>62.5</v>
      </c>
      <c r="N110" s="37">
        <f>ROUND(Tabla2[[#This Row],[Área techada (m²)]],2)</f>
        <v>62.5</v>
      </c>
      <c r="O110" s="52">
        <f>ROUND(Tabla2[[#This Row],[Área techada (m²)4]]*0.15,2)</f>
        <v>9.3800000000000008</v>
      </c>
      <c r="P110" s="52">
        <f>ROUND(Tabla2[[#This Row],[Área del terreno (m²)2]]*[1]DATA!$A$2,-2)</f>
        <v>3100</v>
      </c>
      <c r="Q110" s="38" t="e">
        <f>+Tabla2[[#This Row],[Valor Comercial (US$)]]-Tabla2[[#This Row],[Valor del terreno (US$)]]</f>
        <v>#REF!</v>
      </c>
      <c r="R11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0" s="53" t="e">
        <f>ROUND(Tabla2[[#This Row],[Valor Comercial (US$)]]*0.8,-2)</f>
        <v>#REF!</v>
      </c>
      <c r="T110" s="53">
        <f>IF($H$6=$G$5,R110,ROUND(Tabla2[[#This Row],[Área techada (m²)4]]*[1]DATA!$B$2*1.15,-2))</f>
        <v>32300</v>
      </c>
      <c r="U110" s="6">
        <f t="shared" si="1"/>
        <v>3.5</v>
      </c>
      <c r="V110" s="39">
        <f>ROUND(Tabla2[[#This Row],[Valor del terreno (US$)]]*Tabla2[[#This Row],[Tipo de Cambio]],-2)</f>
        <v>10900</v>
      </c>
      <c r="W110" s="39" t="e">
        <f>Tabla2[[#This Row],[Valor Comercial (S/.)]]-Tabla2[[#This Row],[Valor del terreno (S/.)]]</f>
        <v>#REF!</v>
      </c>
      <c r="X110" s="39" t="e">
        <f>ROUND(Tabla2[[#This Row],[Valor Comercial (US$)]]*Tabla2[[#This Row],[Tipo de Cambio]],-2)</f>
        <v>#REF!</v>
      </c>
      <c r="Y110" s="39" t="e">
        <f>ROUND(Tabla2[[#This Row],[Valor Realización (US$)]]*Tabla2[[#This Row],[Tipo de Cambio]],-2)</f>
        <v>#REF!</v>
      </c>
      <c r="Z110" s="39">
        <f>+ROUND(Tabla2[[#This Row],[Importe Asegurable (US$)]]*Tabla2[[#This Row],[Tipo de Cambio]],-2)</f>
        <v>113100</v>
      </c>
      <c r="AA110" s="40"/>
      <c r="AB110" s="2" t="e">
        <f>+Tabla2[[#This Row],[Valor Comercial (US$)]]/Tabla2[[#This Row],[Área techada (m²)4]]</f>
        <v>#REF!</v>
      </c>
      <c r="AC11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0" s="61" t="s">
        <v>43</v>
      </c>
      <c r="AE110" s="54">
        <f>IF(Tabla2[[#This Row],[Moneda]]="Soles",Tabla2[[#This Row],[Valor de Venta]]/Tabla2[[#This Row],[Área techada (m²)]]/Tabla2[[#This Row],[Tipo de Cambio]],Tabla2[[#This Row],[Valor de Venta]]/Tabla2[[#This Row],[Área techada (m²)]])</f>
        <v>866.74285714285713</v>
      </c>
      <c r="AF110" s="43" t="e">
        <f>_xlfn.XLOOKUP(Tabla2[[#This Row],[VISTA]],[1]!Table1[Clase],[1]!Table1[VUE (USD)],0,0,1)</f>
        <v>#REF!</v>
      </c>
      <c r="AG110" s="55" t="e">
        <f>+Tabla2[[#This Row],[Valor Comercial (S/.)]]/Tabla2[[#This Row],[Valor de Venta]]-1</f>
        <v>#REF!</v>
      </c>
    </row>
    <row r="111" spans="1:33" s="1" customFormat="1" ht="15" customHeight="1" x14ac:dyDescent="0.25">
      <c r="A111" s="60" t="s">
        <v>27</v>
      </c>
      <c r="B111" s="14">
        <v>1304</v>
      </c>
      <c r="C111" s="11">
        <v>13</v>
      </c>
      <c r="D111" s="15"/>
      <c r="E111" s="15"/>
      <c r="F111" s="51">
        <f>ROUND(Tabla2[[#This Row],[Área ocupada (m²)]]/20*1.4,2)</f>
        <v>4.5599999999999996</v>
      </c>
      <c r="G111" s="46">
        <v>65.2</v>
      </c>
      <c r="H111" s="46">
        <v>65.2</v>
      </c>
      <c r="I111" s="51">
        <f>ROUND(Tabla2[[#This Row],[Área techada (m²)]]*0.15,2)</f>
        <v>9.7799999999999994</v>
      </c>
      <c r="J111" s="47" t="s">
        <v>30</v>
      </c>
      <c r="K111" s="48">
        <v>200600</v>
      </c>
      <c r="L111" s="51">
        <f>ROUND(Tabla2[[#This Row],[Área ocupada (m²)3]]/20*1.4,2)</f>
        <v>4.5599999999999996</v>
      </c>
      <c r="M111" s="37">
        <f>ROUND(Tabla2[[#This Row],[Área ocupada (m²)]],2)</f>
        <v>65.2</v>
      </c>
      <c r="N111" s="37">
        <f>ROUND(Tabla2[[#This Row],[Área techada (m²)]],2)</f>
        <v>65.2</v>
      </c>
      <c r="O111" s="52">
        <f>ROUND(Tabla2[[#This Row],[Área techada (m²)4]]*0.15,2)</f>
        <v>9.7799999999999994</v>
      </c>
      <c r="P111" s="52">
        <f>ROUND(Tabla2[[#This Row],[Área del terreno (m²)2]]*[1]DATA!$A$2,-2)</f>
        <v>3200</v>
      </c>
      <c r="Q111" s="38" t="e">
        <f>+Tabla2[[#This Row],[Valor Comercial (US$)]]-Tabla2[[#This Row],[Valor del terreno (US$)]]</f>
        <v>#REF!</v>
      </c>
      <c r="R11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1" s="53" t="e">
        <f>ROUND(Tabla2[[#This Row],[Valor Comercial (US$)]]*0.8,-2)</f>
        <v>#REF!</v>
      </c>
      <c r="T111" s="53">
        <f>IF($H$6=$G$5,R111,ROUND(Tabla2[[#This Row],[Área techada (m²)4]]*[1]DATA!$B$2*1.15,-2))</f>
        <v>33700</v>
      </c>
      <c r="U111" s="6">
        <f t="shared" si="1"/>
        <v>3.5</v>
      </c>
      <c r="V111" s="39">
        <f>ROUND(Tabla2[[#This Row],[Valor del terreno (US$)]]*Tabla2[[#This Row],[Tipo de Cambio]],-2)</f>
        <v>11200</v>
      </c>
      <c r="W111" s="39" t="e">
        <f>Tabla2[[#This Row],[Valor Comercial (S/.)]]-Tabla2[[#This Row],[Valor del terreno (S/.)]]</f>
        <v>#REF!</v>
      </c>
      <c r="X111" s="39" t="e">
        <f>ROUND(Tabla2[[#This Row],[Valor Comercial (US$)]]*Tabla2[[#This Row],[Tipo de Cambio]],-2)</f>
        <v>#REF!</v>
      </c>
      <c r="Y111" s="39" t="e">
        <f>ROUND(Tabla2[[#This Row],[Valor Realización (US$)]]*Tabla2[[#This Row],[Tipo de Cambio]],-2)</f>
        <v>#REF!</v>
      </c>
      <c r="Z111" s="39">
        <f>+ROUND(Tabla2[[#This Row],[Importe Asegurable (US$)]]*Tabla2[[#This Row],[Tipo de Cambio]],-2)</f>
        <v>118000</v>
      </c>
      <c r="AA111" s="40"/>
      <c r="AB111" s="2" t="e">
        <f>+Tabla2[[#This Row],[Valor Comercial (US$)]]/Tabla2[[#This Row],[Área techada (m²)4]]</f>
        <v>#REF!</v>
      </c>
      <c r="AC11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1" s="61" t="s">
        <v>42</v>
      </c>
      <c r="AE111" s="54">
        <f>IF(Tabla2[[#This Row],[Moneda]]="Soles",Tabla2[[#This Row],[Valor de Venta]]/Tabla2[[#This Row],[Área techada (m²)]]/Tabla2[[#This Row],[Tipo de Cambio]],Tabla2[[#This Row],[Valor de Venta]]/Tabla2[[#This Row],[Área techada (m²)]])</f>
        <v>879.05346187554767</v>
      </c>
      <c r="AF111" s="43" t="e">
        <f>_xlfn.XLOOKUP(Tabla2[[#This Row],[VISTA]],[1]!Table1[Clase],[1]!Table1[VUE (USD)],0,0,1)</f>
        <v>#REF!</v>
      </c>
      <c r="AG111" s="55" t="e">
        <f>+Tabla2[[#This Row],[Valor Comercial (S/.)]]/Tabla2[[#This Row],[Valor de Venta]]-1</f>
        <v>#REF!</v>
      </c>
    </row>
    <row r="112" spans="1:33" s="1" customFormat="1" ht="15" customHeight="1" x14ac:dyDescent="0.25">
      <c r="A112" s="60" t="s">
        <v>27</v>
      </c>
      <c r="B112" s="14">
        <v>1305</v>
      </c>
      <c r="C112" s="11">
        <v>13</v>
      </c>
      <c r="D112" s="15"/>
      <c r="E112" s="15"/>
      <c r="F112" s="51">
        <f>ROUND(Tabla2[[#This Row],[Área ocupada (m²)]]/20*1.4,2)</f>
        <v>4.5599999999999996</v>
      </c>
      <c r="G112" s="46">
        <v>65.2</v>
      </c>
      <c r="H112" s="46">
        <v>65.2</v>
      </c>
      <c r="I112" s="51">
        <f>ROUND(Tabla2[[#This Row],[Área techada (m²)]]*0.15,2)</f>
        <v>9.7799999999999994</v>
      </c>
      <c r="J112" s="47" t="s">
        <v>30</v>
      </c>
      <c r="K112" s="48">
        <v>202600</v>
      </c>
      <c r="L112" s="51">
        <f>ROUND(Tabla2[[#This Row],[Área ocupada (m²)3]]/20*1.4,2)</f>
        <v>4.5599999999999996</v>
      </c>
      <c r="M112" s="37">
        <f>ROUND(Tabla2[[#This Row],[Área ocupada (m²)]],2)</f>
        <v>65.2</v>
      </c>
      <c r="N112" s="37">
        <f>ROUND(Tabla2[[#This Row],[Área techada (m²)]],2)</f>
        <v>65.2</v>
      </c>
      <c r="O112" s="52">
        <f>ROUND(Tabla2[[#This Row],[Área techada (m²)4]]*0.15,2)</f>
        <v>9.7799999999999994</v>
      </c>
      <c r="P112" s="52">
        <f>ROUND(Tabla2[[#This Row],[Área del terreno (m²)2]]*[1]DATA!$A$2,-2)</f>
        <v>3200</v>
      </c>
      <c r="Q112" s="38" t="e">
        <f>+Tabla2[[#This Row],[Valor Comercial (US$)]]-Tabla2[[#This Row],[Valor del terreno (US$)]]</f>
        <v>#REF!</v>
      </c>
      <c r="R1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2" s="53" t="e">
        <f>ROUND(Tabla2[[#This Row],[Valor Comercial (US$)]]*0.8,-2)</f>
        <v>#REF!</v>
      </c>
      <c r="T112" s="53">
        <f>IF($H$6=$G$5,R112,ROUND(Tabla2[[#This Row],[Área techada (m²)4]]*[1]DATA!$B$2*1.15,-2))</f>
        <v>33700</v>
      </c>
      <c r="U112" s="6">
        <f t="shared" si="1"/>
        <v>3.5</v>
      </c>
      <c r="V112" s="39">
        <f>ROUND(Tabla2[[#This Row],[Valor del terreno (US$)]]*Tabla2[[#This Row],[Tipo de Cambio]],-2)</f>
        <v>11200</v>
      </c>
      <c r="W112" s="39" t="e">
        <f>Tabla2[[#This Row],[Valor Comercial (S/.)]]-Tabla2[[#This Row],[Valor del terreno (S/.)]]</f>
        <v>#REF!</v>
      </c>
      <c r="X112" s="39" t="e">
        <f>ROUND(Tabla2[[#This Row],[Valor Comercial (US$)]]*Tabla2[[#This Row],[Tipo de Cambio]],-2)</f>
        <v>#REF!</v>
      </c>
      <c r="Y112" s="39" t="e">
        <f>ROUND(Tabla2[[#This Row],[Valor Realización (US$)]]*Tabla2[[#This Row],[Tipo de Cambio]],-2)</f>
        <v>#REF!</v>
      </c>
      <c r="Z112" s="39">
        <f>+ROUND(Tabla2[[#This Row],[Importe Asegurable (US$)]]*Tabla2[[#This Row],[Tipo de Cambio]],-2)</f>
        <v>118000</v>
      </c>
      <c r="AA112" s="40"/>
      <c r="AB112" s="2" t="e">
        <f>+Tabla2[[#This Row],[Valor Comercial (US$)]]/Tabla2[[#This Row],[Área techada (m²)4]]</f>
        <v>#REF!</v>
      </c>
      <c r="AC11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2" s="61" t="s">
        <v>42</v>
      </c>
      <c r="AE112" s="54">
        <f>IF(Tabla2[[#This Row],[Moneda]]="Soles",Tabla2[[#This Row],[Valor de Venta]]/Tabla2[[#This Row],[Área techada (m²)]]/Tabla2[[#This Row],[Tipo de Cambio]],Tabla2[[#This Row],[Valor de Venta]]/Tabla2[[#This Row],[Área techada (m²)]])</f>
        <v>887.81770376862391</v>
      </c>
      <c r="AF112" s="43" t="e">
        <f>_xlfn.XLOOKUP(Tabla2[[#This Row],[VISTA]],[1]!Table1[Clase],[1]!Table1[VUE (USD)],0,0,1)</f>
        <v>#REF!</v>
      </c>
      <c r="AG112" s="55" t="e">
        <f>+Tabla2[[#This Row],[Valor Comercial (S/.)]]/Tabla2[[#This Row],[Valor de Venta]]-1</f>
        <v>#REF!</v>
      </c>
    </row>
    <row r="113" spans="1:33" s="1" customFormat="1" ht="15" customHeight="1" x14ac:dyDescent="0.25">
      <c r="A113" s="60" t="s">
        <v>27</v>
      </c>
      <c r="B113" s="14">
        <v>1306</v>
      </c>
      <c r="C113" s="11">
        <v>13</v>
      </c>
      <c r="D113" s="15"/>
      <c r="E113" s="15"/>
      <c r="F113" s="51">
        <f>ROUND(Tabla2[[#This Row],[Área ocupada (m²)]]/20*1.4,2)</f>
        <v>4.38</v>
      </c>
      <c r="G113" s="46">
        <v>62.5</v>
      </c>
      <c r="H113" s="46">
        <v>62.5</v>
      </c>
      <c r="I113" s="51">
        <f>ROUND(Tabla2[[#This Row],[Área techada (m²)]]*0.15,2)</f>
        <v>9.3800000000000008</v>
      </c>
      <c r="J113" s="47" t="s">
        <v>30</v>
      </c>
      <c r="K113" s="48">
        <v>192600</v>
      </c>
      <c r="L113" s="51">
        <f>ROUND(Tabla2[[#This Row],[Área ocupada (m²)3]]/20*1.4,2)</f>
        <v>4.38</v>
      </c>
      <c r="M113" s="37">
        <f>ROUND(Tabla2[[#This Row],[Área ocupada (m²)]],2)</f>
        <v>62.5</v>
      </c>
      <c r="N113" s="37">
        <f>ROUND(Tabla2[[#This Row],[Área techada (m²)]],2)</f>
        <v>62.5</v>
      </c>
      <c r="O113" s="52">
        <f>ROUND(Tabla2[[#This Row],[Área techada (m²)4]]*0.15,2)</f>
        <v>9.3800000000000008</v>
      </c>
      <c r="P113" s="52">
        <f>ROUND(Tabla2[[#This Row],[Área del terreno (m²)2]]*[1]DATA!$A$2,-2)</f>
        <v>3100</v>
      </c>
      <c r="Q113" s="38" t="e">
        <f>+Tabla2[[#This Row],[Valor Comercial (US$)]]-Tabla2[[#This Row],[Valor del terreno (US$)]]</f>
        <v>#REF!</v>
      </c>
      <c r="R1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3" s="53" t="e">
        <f>ROUND(Tabla2[[#This Row],[Valor Comercial (US$)]]*0.8,-2)</f>
        <v>#REF!</v>
      </c>
      <c r="T113" s="53">
        <f>IF($H$6=$G$5,R113,ROUND(Tabla2[[#This Row],[Área techada (m²)4]]*[1]DATA!$B$2*1.15,-2))</f>
        <v>32300</v>
      </c>
      <c r="U113" s="6">
        <f t="shared" si="1"/>
        <v>3.5</v>
      </c>
      <c r="V113" s="39">
        <f>ROUND(Tabla2[[#This Row],[Valor del terreno (US$)]]*Tabla2[[#This Row],[Tipo de Cambio]],-2)</f>
        <v>10900</v>
      </c>
      <c r="W113" s="39" t="e">
        <f>Tabla2[[#This Row],[Valor Comercial (S/.)]]-Tabla2[[#This Row],[Valor del terreno (S/.)]]</f>
        <v>#REF!</v>
      </c>
      <c r="X113" s="39" t="e">
        <f>ROUND(Tabla2[[#This Row],[Valor Comercial (US$)]]*Tabla2[[#This Row],[Tipo de Cambio]],-2)</f>
        <v>#REF!</v>
      </c>
      <c r="Y113" s="39" t="e">
        <f>ROUND(Tabla2[[#This Row],[Valor Realización (US$)]]*Tabla2[[#This Row],[Tipo de Cambio]],-2)</f>
        <v>#REF!</v>
      </c>
      <c r="Z113" s="39">
        <f>+ROUND(Tabla2[[#This Row],[Importe Asegurable (US$)]]*Tabla2[[#This Row],[Tipo de Cambio]],-2)</f>
        <v>113100</v>
      </c>
      <c r="AA113" s="40"/>
      <c r="AB113" s="2" t="e">
        <f>+Tabla2[[#This Row],[Valor Comercial (US$)]]/Tabla2[[#This Row],[Área techada (m²)4]]</f>
        <v>#REF!</v>
      </c>
      <c r="AC1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3" s="61" t="s">
        <v>43</v>
      </c>
      <c r="AE113" s="54">
        <f>IF(Tabla2[[#This Row],[Moneda]]="Soles",Tabla2[[#This Row],[Valor de Venta]]/Tabla2[[#This Row],[Área techada (m²)]]/Tabla2[[#This Row],[Tipo de Cambio]],Tabla2[[#This Row],[Valor de Venta]]/Tabla2[[#This Row],[Área techada (m²)]])</f>
        <v>880.4571428571428</v>
      </c>
      <c r="AF113" s="43" t="e">
        <f>_xlfn.XLOOKUP(Tabla2[[#This Row],[VISTA]],[1]!Table1[Clase],[1]!Table1[VUE (USD)],0,0,1)</f>
        <v>#REF!</v>
      </c>
      <c r="AG113" s="55" t="e">
        <f>+Tabla2[[#This Row],[Valor Comercial (S/.)]]/Tabla2[[#This Row],[Valor de Venta]]-1</f>
        <v>#REF!</v>
      </c>
    </row>
    <row r="114" spans="1:33" s="1" customFormat="1" ht="15" customHeight="1" x14ac:dyDescent="0.25">
      <c r="A114" s="60" t="s">
        <v>27</v>
      </c>
      <c r="B114" s="14">
        <v>1307</v>
      </c>
      <c r="C114" s="11">
        <v>13</v>
      </c>
      <c r="D114" s="15"/>
      <c r="E114" s="15"/>
      <c r="F114" s="51">
        <f>ROUND(Tabla2[[#This Row],[Área ocupada (m²)]]/20*1.4,2)</f>
        <v>4.38</v>
      </c>
      <c r="G114" s="46">
        <v>62.5</v>
      </c>
      <c r="H114" s="46">
        <v>62.5</v>
      </c>
      <c r="I114" s="51">
        <f>ROUND(Tabla2[[#This Row],[Área techada (m²)]]*0.15,2)</f>
        <v>9.3800000000000008</v>
      </c>
      <c r="J114" s="47" t="s">
        <v>30</v>
      </c>
      <c r="K114" s="48">
        <v>185600</v>
      </c>
      <c r="L114" s="51">
        <f>ROUND(Tabla2[[#This Row],[Área ocupada (m²)3]]/20*1.4,2)</f>
        <v>4.38</v>
      </c>
      <c r="M114" s="37">
        <f>ROUND(Tabla2[[#This Row],[Área ocupada (m²)]],2)</f>
        <v>62.5</v>
      </c>
      <c r="N114" s="37">
        <f>ROUND(Tabla2[[#This Row],[Área techada (m²)]],2)</f>
        <v>62.5</v>
      </c>
      <c r="O114" s="52">
        <f>ROUND(Tabla2[[#This Row],[Área techada (m²)4]]*0.15,2)</f>
        <v>9.3800000000000008</v>
      </c>
      <c r="P114" s="52">
        <f>ROUND(Tabla2[[#This Row],[Área del terreno (m²)2]]*[1]DATA!$A$2,-2)</f>
        <v>3100</v>
      </c>
      <c r="Q114" s="38" t="e">
        <f>+Tabla2[[#This Row],[Valor Comercial (US$)]]-Tabla2[[#This Row],[Valor del terreno (US$)]]</f>
        <v>#REF!</v>
      </c>
      <c r="R1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4" s="53" t="e">
        <f>ROUND(Tabla2[[#This Row],[Valor Comercial (US$)]]*0.8,-2)</f>
        <v>#REF!</v>
      </c>
      <c r="T114" s="53">
        <f>IF($H$6=$G$5,R114,ROUND(Tabla2[[#This Row],[Área techada (m²)4]]*[1]DATA!$B$2*1.15,-2))</f>
        <v>32300</v>
      </c>
      <c r="U114" s="6">
        <f t="shared" si="1"/>
        <v>3.5</v>
      </c>
      <c r="V114" s="39">
        <f>ROUND(Tabla2[[#This Row],[Valor del terreno (US$)]]*Tabla2[[#This Row],[Tipo de Cambio]],-2)</f>
        <v>10900</v>
      </c>
      <c r="W114" s="39" t="e">
        <f>Tabla2[[#This Row],[Valor Comercial (S/.)]]-Tabla2[[#This Row],[Valor del terreno (S/.)]]</f>
        <v>#REF!</v>
      </c>
      <c r="X114" s="39" t="e">
        <f>ROUND(Tabla2[[#This Row],[Valor Comercial (US$)]]*Tabla2[[#This Row],[Tipo de Cambio]],-2)</f>
        <v>#REF!</v>
      </c>
      <c r="Y114" s="39" t="e">
        <f>ROUND(Tabla2[[#This Row],[Valor Realización (US$)]]*Tabla2[[#This Row],[Tipo de Cambio]],-2)</f>
        <v>#REF!</v>
      </c>
      <c r="Z114" s="39">
        <f>+ROUND(Tabla2[[#This Row],[Importe Asegurable (US$)]]*Tabla2[[#This Row],[Tipo de Cambio]],-2)</f>
        <v>113100</v>
      </c>
      <c r="AA114" s="40"/>
      <c r="AB114" s="2" t="e">
        <f>+Tabla2[[#This Row],[Valor Comercial (US$)]]/Tabla2[[#This Row],[Área techada (m²)4]]</f>
        <v>#REF!</v>
      </c>
      <c r="AC1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4" s="61" t="s">
        <v>43</v>
      </c>
      <c r="AE114" s="54">
        <f>IF(Tabla2[[#This Row],[Moneda]]="Soles",Tabla2[[#This Row],[Valor de Venta]]/Tabla2[[#This Row],[Área techada (m²)]]/Tabla2[[#This Row],[Tipo de Cambio]],Tabla2[[#This Row],[Valor de Venta]]/Tabla2[[#This Row],[Área techada (m²)]])</f>
        <v>848.4571428571428</v>
      </c>
      <c r="AF114" s="43" t="e">
        <f>_xlfn.XLOOKUP(Tabla2[[#This Row],[VISTA]],[1]!Table1[Clase],[1]!Table1[VUE (USD)],0,0,1)</f>
        <v>#REF!</v>
      </c>
      <c r="AG114" s="55" t="e">
        <f>+Tabla2[[#This Row],[Valor Comercial (S/.)]]/Tabla2[[#This Row],[Valor de Venta]]-1</f>
        <v>#REF!</v>
      </c>
    </row>
    <row r="115" spans="1:33" s="1" customFormat="1" ht="15" customHeight="1" x14ac:dyDescent="0.25">
      <c r="A115" s="60" t="s">
        <v>27</v>
      </c>
      <c r="B115" s="14">
        <v>1308</v>
      </c>
      <c r="C115" s="11">
        <v>13</v>
      </c>
      <c r="D115" s="15"/>
      <c r="E115" s="15"/>
      <c r="F115" s="51">
        <f>ROUND(Tabla2[[#This Row],[Área ocupada (m²)]]/20*1.4,2)</f>
        <v>4.5599999999999996</v>
      </c>
      <c r="G115" s="46">
        <v>65.2</v>
      </c>
      <c r="H115" s="46">
        <v>65.2</v>
      </c>
      <c r="I115" s="51">
        <f>ROUND(Tabla2[[#This Row],[Área techada (m²)]]*0.15,2)</f>
        <v>9.7799999999999994</v>
      </c>
      <c r="J115" s="47" t="s">
        <v>30</v>
      </c>
      <c r="K115" s="48">
        <v>198600</v>
      </c>
      <c r="L115" s="51">
        <f>ROUND(Tabla2[[#This Row],[Área ocupada (m²)3]]/20*1.4,2)</f>
        <v>4.5599999999999996</v>
      </c>
      <c r="M115" s="37">
        <f>ROUND(Tabla2[[#This Row],[Área ocupada (m²)]],2)</f>
        <v>65.2</v>
      </c>
      <c r="N115" s="37">
        <f>ROUND(Tabla2[[#This Row],[Área techada (m²)]],2)</f>
        <v>65.2</v>
      </c>
      <c r="O115" s="52">
        <f>ROUND(Tabla2[[#This Row],[Área techada (m²)4]]*0.15,2)</f>
        <v>9.7799999999999994</v>
      </c>
      <c r="P115" s="52">
        <f>ROUND(Tabla2[[#This Row],[Área del terreno (m²)2]]*[1]DATA!$A$2,-2)</f>
        <v>3200</v>
      </c>
      <c r="Q115" s="38" t="e">
        <f>+Tabla2[[#This Row],[Valor Comercial (US$)]]-Tabla2[[#This Row],[Valor del terreno (US$)]]</f>
        <v>#REF!</v>
      </c>
      <c r="R1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5" s="53" t="e">
        <f>ROUND(Tabla2[[#This Row],[Valor Comercial (US$)]]*0.8,-2)</f>
        <v>#REF!</v>
      </c>
      <c r="T115" s="53">
        <f>IF($H$6=$G$5,R115,ROUND(Tabla2[[#This Row],[Área techada (m²)4]]*[1]DATA!$B$2*1.15,-2))</f>
        <v>33700</v>
      </c>
      <c r="U115" s="6">
        <f t="shared" si="1"/>
        <v>3.5</v>
      </c>
      <c r="V115" s="39">
        <f>ROUND(Tabla2[[#This Row],[Valor del terreno (US$)]]*Tabla2[[#This Row],[Tipo de Cambio]],-2)</f>
        <v>11200</v>
      </c>
      <c r="W115" s="39" t="e">
        <f>Tabla2[[#This Row],[Valor Comercial (S/.)]]-Tabla2[[#This Row],[Valor del terreno (S/.)]]</f>
        <v>#REF!</v>
      </c>
      <c r="X115" s="39" t="e">
        <f>ROUND(Tabla2[[#This Row],[Valor Comercial (US$)]]*Tabla2[[#This Row],[Tipo de Cambio]],-2)</f>
        <v>#REF!</v>
      </c>
      <c r="Y115" s="39" t="e">
        <f>ROUND(Tabla2[[#This Row],[Valor Realización (US$)]]*Tabla2[[#This Row],[Tipo de Cambio]],-2)</f>
        <v>#REF!</v>
      </c>
      <c r="Z115" s="39">
        <f>+ROUND(Tabla2[[#This Row],[Importe Asegurable (US$)]]*Tabla2[[#This Row],[Tipo de Cambio]],-2)</f>
        <v>118000</v>
      </c>
      <c r="AA115" s="40"/>
      <c r="AB115" s="2" t="e">
        <f>+Tabla2[[#This Row],[Valor Comercial (US$)]]/Tabla2[[#This Row],[Área techada (m²)4]]</f>
        <v>#REF!</v>
      </c>
      <c r="AC1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5" s="61" t="s">
        <v>43</v>
      </c>
      <c r="AE115" s="54">
        <f>IF(Tabla2[[#This Row],[Moneda]]="Soles",Tabla2[[#This Row],[Valor de Venta]]/Tabla2[[#This Row],[Área techada (m²)]]/Tabla2[[#This Row],[Tipo de Cambio]],Tabla2[[#This Row],[Valor de Venta]]/Tabla2[[#This Row],[Área techada (m²)]])</f>
        <v>870.28921998247154</v>
      </c>
      <c r="AF115" s="43" t="e">
        <f>_xlfn.XLOOKUP(Tabla2[[#This Row],[VISTA]],[1]!Table1[Clase],[1]!Table1[VUE (USD)],0,0,1)</f>
        <v>#REF!</v>
      </c>
      <c r="AG115" s="55" t="e">
        <f>+Tabla2[[#This Row],[Valor Comercial (S/.)]]/Tabla2[[#This Row],[Valor de Venta]]-1</f>
        <v>#REF!</v>
      </c>
    </row>
    <row r="116" spans="1:33" s="1" customFormat="1" ht="15" customHeight="1" x14ac:dyDescent="0.25">
      <c r="A116" s="60" t="s">
        <v>27</v>
      </c>
      <c r="B116" s="14">
        <v>1401</v>
      </c>
      <c r="C116" s="11">
        <v>14</v>
      </c>
      <c r="D116" s="15"/>
      <c r="E116" s="15"/>
      <c r="F116" s="51">
        <f>ROUND(Tabla2[[#This Row],[Área ocupada (m²)]]/20*1.4,2)</f>
        <v>4.5599999999999996</v>
      </c>
      <c r="G116" s="46">
        <v>65.2</v>
      </c>
      <c r="H116" s="46">
        <v>65.2</v>
      </c>
      <c r="I116" s="51">
        <f>ROUND(Tabla2[[#This Row],[Área techada (m²)]]*0.15,2)</f>
        <v>9.7799999999999994</v>
      </c>
      <c r="J116" s="47" t="s">
        <v>30</v>
      </c>
      <c r="K116" s="48">
        <v>189600</v>
      </c>
      <c r="L116" s="51">
        <f>ROUND(Tabla2[[#This Row],[Área ocupada (m²)3]]/20*1.4,2)</f>
        <v>4.5599999999999996</v>
      </c>
      <c r="M116" s="37">
        <f>ROUND(Tabla2[[#This Row],[Área ocupada (m²)]],2)</f>
        <v>65.2</v>
      </c>
      <c r="N116" s="37">
        <f>ROUND(Tabla2[[#This Row],[Área techada (m²)]],2)</f>
        <v>65.2</v>
      </c>
      <c r="O116" s="52">
        <f>ROUND(Tabla2[[#This Row],[Área techada (m²)4]]*0.15,2)</f>
        <v>9.7799999999999994</v>
      </c>
      <c r="P116" s="52">
        <f>ROUND(Tabla2[[#This Row],[Área del terreno (m²)2]]*[1]DATA!$A$2,-2)</f>
        <v>3200</v>
      </c>
      <c r="Q116" s="38" t="e">
        <f>+Tabla2[[#This Row],[Valor Comercial (US$)]]-Tabla2[[#This Row],[Valor del terreno (US$)]]</f>
        <v>#REF!</v>
      </c>
      <c r="R1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6" s="53" t="e">
        <f>ROUND(Tabla2[[#This Row],[Valor Comercial (US$)]]*0.8,-2)</f>
        <v>#REF!</v>
      </c>
      <c r="T116" s="53">
        <f>IF($H$6=$G$5,R116,ROUND(Tabla2[[#This Row],[Área techada (m²)4]]*[1]DATA!$B$2*1.15,-2))</f>
        <v>33700</v>
      </c>
      <c r="U116" s="6">
        <f t="shared" si="1"/>
        <v>3.5</v>
      </c>
      <c r="V116" s="39">
        <f>ROUND(Tabla2[[#This Row],[Valor del terreno (US$)]]*Tabla2[[#This Row],[Tipo de Cambio]],-2)</f>
        <v>11200</v>
      </c>
      <c r="W116" s="39" t="e">
        <f>Tabla2[[#This Row],[Valor Comercial (S/.)]]-Tabla2[[#This Row],[Valor del terreno (S/.)]]</f>
        <v>#REF!</v>
      </c>
      <c r="X116" s="39" t="e">
        <f>ROUND(Tabla2[[#This Row],[Valor Comercial (US$)]]*Tabla2[[#This Row],[Tipo de Cambio]],-2)</f>
        <v>#REF!</v>
      </c>
      <c r="Y116" s="39" t="e">
        <f>ROUND(Tabla2[[#This Row],[Valor Realización (US$)]]*Tabla2[[#This Row],[Tipo de Cambio]],-2)</f>
        <v>#REF!</v>
      </c>
      <c r="Z116" s="39">
        <f>+ROUND(Tabla2[[#This Row],[Importe Asegurable (US$)]]*Tabla2[[#This Row],[Tipo de Cambio]],-2)</f>
        <v>118000</v>
      </c>
      <c r="AA116" s="40"/>
      <c r="AB116" s="2" t="e">
        <f>+Tabla2[[#This Row],[Valor Comercial (US$)]]/Tabla2[[#This Row],[Área techada (m²)4]]</f>
        <v>#REF!</v>
      </c>
      <c r="AC1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6" s="61" t="s">
        <v>44</v>
      </c>
      <c r="AE116" s="54">
        <f>IF(Tabla2[[#This Row],[Moneda]]="Soles",Tabla2[[#This Row],[Valor de Venta]]/Tabla2[[#This Row],[Área techada (m²)]]/Tabla2[[#This Row],[Tipo de Cambio]],Tabla2[[#This Row],[Valor de Venta]]/Tabla2[[#This Row],[Área techada (m²)]])</f>
        <v>830.85013146362837</v>
      </c>
      <c r="AF116" s="43" t="e">
        <f>_xlfn.XLOOKUP(Tabla2[[#This Row],[VISTA]],[1]!Table1[Clase],[1]!Table1[VUE (USD)],0,0,1)</f>
        <v>#REF!</v>
      </c>
      <c r="AG116" s="55" t="e">
        <f>+Tabla2[[#This Row],[Valor Comercial (S/.)]]/Tabla2[[#This Row],[Valor de Venta]]-1</f>
        <v>#REF!</v>
      </c>
    </row>
    <row r="117" spans="1:33" s="1" customFormat="1" ht="15" customHeight="1" x14ac:dyDescent="0.25">
      <c r="A117" s="60" t="s">
        <v>27</v>
      </c>
      <c r="B117" s="14">
        <v>1402</v>
      </c>
      <c r="C117" s="11">
        <v>14</v>
      </c>
      <c r="D117" s="15"/>
      <c r="E117" s="15"/>
      <c r="F117" s="51">
        <f>ROUND(Tabla2[[#This Row],[Área ocupada (m²)]]/20*1.4,2)</f>
        <v>4.38</v>
      </c>
      <c r="G117" s="46">
        <v>62.5</v>
      </c>
      <c r="H117" s="46">
        <v>62.5</v>
      </c>
      <c r="I117" s="51">
        <f>ROUND(Tabla2[[#This Row],[Área techada (m²)]]*0.15,2)</f>
        <v>9.3800000000000008</v>
      </c>
      <c r="J117" s="47" t="s">
        <v>30</v>
      </c>
      <c r="K117" s="48">
        <v>182700</v>
      </c>
      <c r="L117" s="51">
        <f>ROUND(Tabla2[[#This Row],[Área ocupada (m²)3]]/20*1.4,2)</f>
        <v>4.38</v>
      </c>
      <c r="M117" s="37">
        <f>ROUND(Tabla2[[#This Row],[Área ocupada (m²)]],2)</f>
        <v>62.5</v>
      </c>
      <c r="N117" s="37">
        <f>ROUND(Tabla2[[#This Row],[Área techada (m²)]],2)</f>
        <v>62.5</v>
      </c>
      <c r="O117" s="52">
        <f>ROUND(Tabla2[[#This Row],[Área techada (m²)4]]*0.15,2)</f>
        <v>9.3800000000000008</v>
      </c>
      <c r="P117" s="52">
        <f>ROUND(Tabla2[[#This Row],[Área del terreno (m²)2]]*[1]DATA!$A$2,-2)</f>
        <v>3100</v>
      </c>
      <c r="Q117" s="38" t="e">
        <f>+Tabla2[[#This Row],[Valor Comercial (US$)]]-Tabla2[[#This Row],[Valor del terreno (US$)]]</f>
        <v>#REF!</v>
      </c>
      <c r="R1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7" s="53" t="e">
        <f>ROUND(Tabla2[[#This Row],[Valor Comercial (US$)]]*0.8,-2)</f>
        <v>#REF!</v>
      </c>
      <c r="T117" s="53">
        <f>IF($H$6=$G$5,R117,ROUND(Tabla2[[#This Row],[Área techada (m²)4]]*[1]DATA!$B$2*1.15,-2))</f>
        <v>32300</v>
      </c>
      <c r="U117" s="6">
        <f t="shared" si="1"/>
        <v>3.5</v>
      </c>
      <c r="V117" s="39">
        <f>ROUND(Tabla2[[#This Row],[Valor del terreno (US$)]]*Tabla2[[#This Row],[Tipo de Cambio]],-2)</f>
        <v>10900</v>
      </c>
      <c r="W117" s="39" t="e">
        <f>Tabla2[[#This Row],[Valor Comercial (S/.)]]-Tabla2[[#This Row],[Valor del terreno (S/.)]]</f>
        <v>#REF!</v>
      </c>
      <c r="X117" s="39" t="e">
        <f>ROUND(Tabla2[[#This Row],[Valor Comercial (US$)]]*Tabla2[[#This Row],[Tipo de Cambio]],-2)</f>
        <v>#REF!</v>
      </c>
      <c r="Y117" s="39" t="e">
        <f>ROUND(Tabla2[[#This Row],[Valor Realización (US$)]]*Tabla2[[#This Row],[Tipo de Cambio]],-2)</f>
        <v>#REF!</v>
      </c>
      <c r="Z117" s="39">
        <f>+ROUND(Tabla2[[#This Row],[Importe Asegurable (US$)]]*Tabla2[[#This Row],[Tipo de Cambio]],-2)</f>
        <v>113100</v>
      </c>
      <c r="AA117" s="40"/>
      <c r="AB117" s="2" t="e">
        <f>+Tabla2[[#This Row],[Valor Comercial (US$)]]/Tabla2[[#This Row],[Área techada (m²)4]]</f>
        <v>#REF!</v>
      </c>
      <c r="AC1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7" s="61" t="s">
        <v>44</v>
      </c>
      <c r="AE117" s="54">
        <f>IF(Tabla2[[#This Row],[Moneda]]="Soles",Tabla2[[#This Row],[Valor de Venta]]/Tabla2[[#This Row],[Área techada (m²)]]/Tabla2[[#This Row],[Tipo de Cambio]],Tabla2[[#This Row],[Valor de Venta]]/Tabla2[[#This Row],[Área techada (m²)]])</f>
        <v>835.19999999999993</v>
      </c>
      <c r="AF117" s="43" t="e">
        <f>_xlfn.XLOOKUP(Tabla2[[#This Row],[VISTA]],[1]!Table1[Clase],[1]!Table1[VUE (USD)],0,0,1)</f>
        <v>#REF!</v>
      </c>
      <c r="AG117" s="55" t="e">
        <f>+Tabla2[[#This Row],[Valor Comercial (S/.)]]/Tabla2[[#This Row],[Valor de Venta]]-1</f>
        <v>#REF!</v>
      </c>
    </row>
    <row r="118" spans="1:33" s="1" customFormat="1" ht="15" customHeight="1" x14ac:dyDescent="0.25">
      <c r="A118" s="60" t="s">
        <v>27</v>
      </c>
      <c r="B118" s="14">
        <v>1403</v>
      </c>
      <c r="C118" s="11">
        <v>14</v>
      </c>
      <c r="D118" s="15"/>
      <c r="E118" s="15"/>
      <c r="F118" s="51">
        <f>ROUND(Tabla2[[#This Row],[Área ocupada (m²)]]/20*1.4,2)</f>
        <v>4.38</v>
      </c>
      <c r="G118" s="46">
        <v>62.5</v>
      </c>
      <c r="H118" s="46">
        <v>62.5</v>
      </c>
      <c r="I118" s="51">
        <f>ROUND(Tabla2[[#This Row],[Área techada (m²)]]*0.15,2)</f>
        <v>9.3800000000000008</v>
      </c>
      <c r="J118" s="47" t="s">
        <v>30</v>
      </c>
      <c r="K118" s="48">
        <v>187700</v>
      </c>
      <c r="L118" s="51">
        <f>ROUND(Tabla2[[#This Row],[Área ocupada (m²)3]]/20*1.4,2)</f>
        <v>4.38</v>
      </c>
      <c r="M118" s="37">
        <f>ROUND(Tabla2[[#This Row],[Área ocupada (m²)]],2)</f>
        <v>62.5</v>
      </c>
      <c r="N118" s="37">
        <f>ROUND(Tabla2[[#This Row],[Área techada (m²)]],2)</f>
        <v>62.5</v>
      </c>
      <c r="O118" s="52">
        <f>ROUND(Tabla2[[#This Row],[Área techada (m²)4]]*0.15,2)</f>
        <v>9.3800000000000008</v>
      </c>
      <c r="P118" s="52">
        <f>ROUND(Tabla2[[#This Row],[Área del terreno (m²)2]]*[1]DATA!$A$2,-2)</f>
        <v>3100</v>
      </c>
      <c r="Q118" s="38" t="e">
        <f>+Tabla2[[#This Row],[Valor Comercial (US$)]]-Tabla2[[#This Row],[Valor del terreno (US$)]]</f>
        <v>#REF!</v>
      </c>
      <c r="R1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8" s="53" t="e">
        <f>ROUND(Tabla2[[#This Row],[Valor Comercial (US$)]]*0.8,-2)</f>
        <v>#REF!</v>
      </c>
      <c r="T118" s="53">
        <f>IF($H$6=$G$5,R118,ROUND(Tabla2[[#This Row],[Área techada (m²)4]]*[1]DATA!$B$2*1.15,-2))</f>
        <v>32300</v>
      </c>
      <c r="U118" s="6">
        <f t="shared" si="1"/>
        <v>3.5</v>
      </c>
      <c r="V118" s="39">
        <f>ROUND(Tabla2[[#This Row],[Valor del terreno (US$)]]*Tabla2[[#This Row],[Tipo de Cambio]],-2)</f>
        <v>10900</v>
      </c>
      <c r="W118" s="39" t="e">
        <f>Tabla2[[#This Row],[Valor Comercial (S/.)]]-Tabla2[[#This Row],[Valor del terreno (S/.)]]</f>
        <v>#REF!</v>
      </c>
      <c r="X118" s="39" t="e">
        <f>ROUND(Tabla2[[#This Row],[Valor Comercial (US$)]]*Tabla2[[#This Row],[Tipo de Cambio]],-2)</f>
        <v>#REF!</v>
      </c>
      <c r="Y118" s="39" t="e">
        <f>ROUND(Tabla2[[#This Row],[Valor Realización (US$)]]*Tabla2[[#This Row],[Tipo de Cambio]],-2)</f>
        <v>#REF!</v>
      </c>
      <c r="Z118" s="39">
        <f>+ROUND(Tabla2[[#This Row],[Importe Asegurable (US$)]]*Tabla2[[#This Row],[Tipo de Cambio]],-2)</f>
        <v>113100</v>
      </c>
      <c r="AA118" s="40"/>
      <c r="AB118" s="2" t="e">
        <f>+Tabla2[[#This Row],[Valor Comercial (US$)]]/Tabla2[[#This Row],[Área techada (m²)4]]</f>
        <v>#REF!</v>
      </c>
      <c r="AC1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8" s="61" t="s">
        <v>43</v>
      </c>
      <c r="AE118" s="54">
        <f>IF(Tabla2[[#This Row],[Moneda]]="Soles",Tabla2[[#This Row],[Valor de Venta]]/Tabla2[[#This Row],[Área techada (m²)]]/Tabla2[[#This Row],[Tipo de Cambio]],Tabla2[[#This Row],[Valor de Venta]]/Tabla2[[#This Row],[Área techada (m²)]])</f>
        <v>858.05714285714282</v>
      </c>
      <c r="AF118" s="43" t="e">
        <f>_xlfn.XLOOKUP(Tabla2[[#This Row],[VISTA]],[1]!Table1[Clase],[1]!Table1[VUE (USD)],0,0,1)</f>
        <v>#REF!</v>
      </c>
      <c r="AG118" s="55" t="e">
        <f>+Tabla2[[#This Row],[Valor Comercial (S/.)]]/Tabla2[[#This Row],[Valor de Venta]]-1</f>
        <v>#REF!</v>
      </c>
    </row>
    <row r="119" spans="1:33" s="1" customFormat="1" ht="15" customHeight="1" x14ac:dyDescent="0.25">
      <c r="A119" s="60" t="s">
        <v>27</v>
      </c>
      <c r="B119" s="14">
        <v>1404</v>
      </c>
      <c r="C119" s="11">
        <v>14</v>
      </c>
      <c r="D119" s="15"/>
      <c r="E119" s="15"/>
      <c r="F119" s="51">
        <f>ROUND(Tabla2[[#This Row],[Área ocupada (m²)]]/20*1.4,2)</f>
        <v>4.5599999999999996</v>
      </c>
      <c r="G119" s="46">
        <v>65.2</v>
      </c>
      <c r="H119" s="46">
        <v>65.2</v>
      </c>
      <c r="I119" s="51">
        <f>ROUND(Tabla2[[#This Row],[Área techada (m²)]]*0.15,2)</f>
        <v>9.7799999999999994</v>
      </c>
      <c r="J119" s="47" t="s">
        <v>30</v>
      </c>
      <c r="K119" s="48">
        <v>203600</v>
      </c>
      <c r="L119" s="51">
        <f>ROUND(Tabla2[[#This Row],[Área ocupada (m²)3]]/20*1.4,2)</f>
        <v>4.5599999999999996</v>
      </c>
      <c r="M119" s="37">
        <f>ROUND(Tabla2[[#This Row],[Área ocupada (m²)]],2)</f>
        <v>65.2</v>
      </c>
      <c r="N119" s="37">
        <f>ROUND(Tabla2[[#This Row],[Área techada (m²)]],2)</f>
        <v>65.2</v>
      </c>
      <c r="O119" s="52">
        <f>ROUND(Tabla2[[#This Row],[Área techada (m²)4]]*0.15,2)</f>
        <v>9.7799999999999994</v>
      </c>
      <c r="P119" s="52">
        <f>ROUND(Tabla2[[#This Row],[Área del terreno (m²)2]]*[1]DATA!$A$2,-2)</f>
        <v>3200</v>
      </c>
      <c r="Q119" s="38" t="e">
        <f>+Tabla2[[#This Row],[Valor Comercial (US$)]]-Tabla2[[#This Row],[Valor del terreno (US$)]]</f>
        <v>#REF!</v>
      </c>
      <c r="R1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9" s="53" t="e">
        <f>ROUND(Tabla2[[#This Row],[Valor Comercial (US$)]]*0.8,-2)</f>
        <v>#REF!</v>
      </c>
      <c r="T119" s="53">
        <f>IF($H$6=$G$5,R119,ROUND(Tabla2[[#This Row],[Área techada (m²)4]]*[1]DATA!$B$2*1.15,-2))</f>
        <v>33700</v>
      </c>
      <c r="U119" s="6">
        <f t="shared" si="1"/>
        <v>3.5</v>
      </c>
      <c r="V119" s="39">
        <f>ROUND(Tabla2[[#This Row],[Valor del terreno (US$)]]*Tabla2[[#This Row],[Tipo de Cambio]],-2)</f>
        <v>11200</v>
      </c>
      <c r="W119" s="39" t="e">
        <f>Tabla2[[#This Row],[Valor Comercial (S/.)]]-Tabla2[[#This Row],[Valor del terreno (S/.)]]</f>
        <v>#REF!</v>
      </c>
      <c r="X119" s="39" t="e">
        <f>ROUND(Tabla2[[#This Row],[Valor Comercial (US$)]]*Tabla2[[#This Row],[Tipo de Cambio]],-2)</f>
        <v>#REF!</v>
      </c>
      <c r="Y119" s="39" t="e">
        <f>ROUND(Tabla2[[#This Row],[Valor Realización (US$)]]*Tabla2[[#This Row],[Tipo de Cambio]],-2)</f>
        <v>#REF!</v>
      </c>
      <c r="Z119" s="39">
        <f>+ROUND(Tabla2[[#This Row],[Importe Asegurable (US$)]]*Tabla2[[#This Row],[Tipo de Cambio]],-2)</f>
        <v>118000</v>
      </c>
      <c r="AA119" s="40"/>
      <c r="AB119" s="2" t="e">
        <f>+Tabla2[[#This Row],[Valor Comercial (US$)]]/Tabla2[[#This Row],[Área techada (m²)4]]</f>
        <v>#REF!</v>
      </c>
      <c r="AC1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9" s="61" t="s">
        <v>42</v>
      </c>
      <c r="AE119" s="54">
        <f>IF(Tabla2[[#This Row],[Moneda]]="Soles",Tabla2[[#This Row],[Valor de Venta]]/Tabla2[[#This Row],[Área techada (m²)]]/Tabla2[[#This Row],[Tipo de Cambio]],Tabla2[[#This Row],[Valor de Venta]]/Tabla2[[#This Row],[Área techada (m²)]])</f>
        <v>892.19982471516209</v>
      </c>
      <c r="AF119" s="43" t="e">
        <f>_xlfn.XLOOKUP(Tabla2[[#This Row],[VISTA]],[1]!Table1[Clase],[1]!Table1[VUE (USD)],0,0,1)</f>
        <v>#REF!</v>
      </c>
      <c r="AG119" s="55" t="e">
        <f>+Tabla2[[#This Row],[Valor Comercial (S/.)]]/Tabla2[[#This Row],[Valor de Venta]]-1</f>
        <v>#REF!</v>
      </c>
    </row>
    <row r="120" spans="1:33" s="1" customFormat="1" ht="15" customHeight="1" x14ac:dyDescent="0.25">
      <c r="A120" s="60" t="s">
        <v>27</v>
      </c>
      <c r="B120" s="14">
        <v>1405</v>
      </c>
      <c r="C120" s="11">
        <v>14</v>
      </c>
      <c r="D120" s="15"/>
      <c r="E120" s="15"/>
      <c r="F120" s="51">
        <f>ROUND(Tabla2[[#This Row],[Área ocupada (m²)]]/20*1.4,2)</f>
        <v>4.5599999999999996</v>
      </c>
      <c r="G120" s="46">
        <v>65.2</v>
      </c>
      <c r="H120" s="46">
        <v>65.2</v>
      </c>
      <c r="I120" s="51">
        <f>ROUND(Tabla2[[#This Row],[Área techada (m²)]]*0.15,2)</f>
        <v>9.7799999999999994</v>
      </c>
      <c r="J120" s="47" t="s">
        <v>30</v>
      </c>
      <c r="K120" s="48">
        <v>200600</v>
      </c>
      <c r="L120" s="51">
        <f>ROUND(Tabla2[[#This Row],[Área ocupada (m²)3]]/20*1.4,2)</f>
        <v>4.5599999999999996</v>
      </c>
      <c r="M120" s="37">
        <f>ROUND(Tabla2[[#This Row],[Área ocupada (m²)]],2)</f>
        <v>65.2</v>
      </c>
      <c r="N120" s="37">
        <f>ROUND(Tabla2[[#This Row],[Área techada (m²)]],2)</f>
        <v>65.2</v>
      </c>
      <c r="O120" s="52">
        <f>ROUND(Tabla2[[#This Row],[Área techada (m²)4]]*0.15,2)</f>
        <v>9.7799999999999994</v>
      </c>
      <c r="P120" s="52">
        <f>ROUND(Tabla2[[#This Row],[Área del terreno (m²)2]]*[1]DATA!$A$2,-2)</f>
        <v>3200</v>
      </c>
      <c r="Q120" s="38" t="e">
        <f>+Tabla2[[#This Row],[Valor Comercial (US$)]]-Tabla2[[#This Row],[Valor del terreno (US$)]]</f>
        <v>#REF!</v>
      </c>
      <c r="R1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0" s="53" t="e">
        <f>ROUND(Tabla2[[#This Row],[Valor Comercial (US$)]]*0.8,-2)</f>
        <v>#REF!</v>
      </c>
      <c r="T120" s="53">
        <f>IF($H$6=$G$5,R120,ROUND(Tabla2[[#This Row],[Área techada (m²)4]]*[1]DATA!$B$2*1.15,-2))</f>
        <v>33700</v>
      </c>
      <c r="U120" s="6">
        <f t="shared" si="1"/>
        <v>3.5</v>
      </c>
      <c r="V120" s="39">
        <f>ROUND(Tabla2[[#This Row],[Valor del terreno (US$)]]*Tabla2[[#This Row],[Tipo de Cambio]],-2)</f>
        <v>11200</v>
      </c>
      <c r="W120" s="39" t="e">
        <f>Tabla2[[#This Row],[Valor Comercial (S/.)]]-Tabla2[[#This Row],[Valor del terreno (S/.)]]</f>
        <v>#REF!</v>
      </c>
      <c r="X120" s="39" t="e">
        <f>ROUND(Tabla2[[#This Row],[Valor Comercial (US$)]]*Tabla2[[#This Row],[Tipo de Cambio]],-2)</f>
        <v>#REF!</v>
      </c>
      <c r="Y120" s="39" t="e">
        <f>ROUND(Tabla2[[#This Row],[Valor Realización (US$)]]*Tabla2[[#This Row],[Tipo de Cambio]],-2)</f>
        <v>#REF!</v>
      </c>
      <c r="Z120" s="39">
        <f>+ROUND(Tabla2[[#This Row],[Importe Asegurable (US$)]]*Tabla2[[#This Row],[Tipo de Cambio]],-2)</f>
        <v>118000</v>
      </c>
      <c r="AA120" s="40"/>
      <c r="AB120" s="2" t="e">
        <f>+Tabla2[[#This Row],[Valor Comercial (US$)]]/Tabla2[[#This Row],[Área techada (m²)4]]</f>
        <v>#REF!</v>
      </c>
      <c r="AC1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0" s="61" t="s">
        <v>43</v>
      </c>
      <c r="AE120" s="54">
        <f>IF(Tabla2[[#This Row],[Moneda]]="Soles",Tabla2[[#This Row],[Valor de Venta]]/Tabla2[[#This Row],[Área techada (m²)]]/Tabla2[[#This Row],[Tipo de Cambio]],Tabla2[[#This Row],[Valor de Venta]]/Tabla2[[#This Row],[Área techada (m²)]])</f>
        <v>879.05346187554767</v>
      </c>
      <c r="AF120" s="43" t="e">
        <f>_xlfn.XLOOKUP(Tabla2[[#This Row],[VISTA]],[1]!Table1[Clase],[1]!Table1[VUE (USD)],0,0,1)</f>
        <v>#REF!</v>
      </c>
      <c r="AG120" s="55" t="e">
        <f>+Tabla2[[#This Row],[Valor Comercial (S/.)]]/Tabla2[[#This Row],[Valor de Venta]]-1</f>
        <v>#REF!</v>
      </c>
    </row>
    <row r="121" spans="1:33" s="1" customFormat="1" ht="15" customHeight="1" x14ac:dyDescent="0.25">
      <c r="A121" s="60" t="s">
        <v>27</v>
      </c>
      <c r="B121" s="14">
        <v>1406</v>
      </c>
      <c r="C121" s="11">
        <v>14</v>
      </c>
      <c r="D121" s="15"/>
      <c r="E121" s="15"/>
      <c r="F121" s="51">
        <f>ROUND(Tabla2[[#This Row],[Área ocupada (m²)]]/20*1.4,2)</f>
        <v>4.38</v>
      </c>
      <c r="G121" s="46">
        <v>62.5</v>
      </c>
      <c r="H121" s="46">
        <v>62.5</v>
      </c>
      <c r="I121" s="51">
        <f>ROUND(Tabla2[[#This Row],[Área techada (m²)]]*0.15,2)</f>
        <v>9.3800000000000008</v>
      </c>
      <c r="J121" s="47" t="s">
        <v>30</v>
      </c>
      <c r="K121" s="48">
        <v>190700</v>
      </c>
      <c r="L121" s="51">
        <f>ROUND(Tabla2[[#This Row],[Área ocupada (m²)3]]/20*1.4,2)</f>
        <v>4.38</v>
      </c>
      <c r="M121" s="37">
        <f>ROUND(Tabla2[[#This Row],[Área ocupada (m²)]],2)</f>
        <v>62.5</v>
      </c>
      <c r="N121" s="37">
        <f>ROUND(Tabla2[[#This Row],[Área techada (m²)]],2)</f>
        <v>62.5</v>
      </c>
      <c r="O121" s="52">
        <f>ROUND(Tabla2[[#This Row],[Área techada (m²)4]]*0.15,2)</f>
        <v>9.3800000000000008</v>
      </c>
      <c r="P121" s="52">
        <f>ROUND(Tabla2[[#This Row],[Área del terreno (m²)2]]*[1]DATA!$A$2,-2)</f>
        <v>3100</v>
      </c>
      <c r="Q121" s="38" t="e">
        <f>+Tabla2[[#This Row],[Valor Comercial (US$)]]-Tabla2[[#This Row],[Valor del terreno (US$)]]</f>
        <v>#REF!</v>
      </c>
      <c r="R1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1" s="53" t="e">
        <f>ROUND(Tabla2[[#This Row],[Valor Comercial (US$)]]*0.8,-2)</f>
        <v>#REF!</v>
      </c>
      <c r="T121" s="53">
        <f>IF($H$6=$G$5,R121,ROUND(Tabla2[[#This Row],[Área techada (m²)4]]*[1]DATA!$B$2*1.15,-2))</f>
        <v>32300</v>
      </c>
      <c r="U121" s="6">
        <f t="shared" si="1"/>
        <v>3.5</v>
      </c>
      <c r="V121" s="39">
        <f>ROUND(Tabla2[[#This Row],[Valor del terreno (US$)]]*Tabla2[[#This Row],[Tipo de Cambio]],-2)</f>
        <v>10900</v>
      </c>
      <c r="W121" s="39" t="e">
        <f>Tabla2[[#This Row],[Valor Comercial (S/.)]]-Tabla2[[#This Row],[Valor del terreno (S/.)]]</f>
        <v>#REF!</v>
      </c>
      <c r="X121" s="39" t="e">
        <f>ROUND(Tabla2[[#This Row],[Valor Comercial (US$)]]*Tabla2[[#This Row],[Tipo de Cambio]],-2)</f>
        <v>#REF!</v>
      </c>
      <c r="Y121" s="39" t="e">
        <f>ROUND(Tabla2[[#This Row],[Valor Realización (US$)]]*Tabla2[[#This Row],[Tipo de Cambio]],-2)</f>
        <v>#REF!</v>
      </c>
      <c r="Z121" s="39">
        <f>+ROUND(Tabla2[[#This Row],[Importe Asegurable (US$)]]*Tabla2[[#This Row],[Tipo de Cambio]],-2)</f>
        <v>113100</v>
      </c>
      <c r="AA121" s="40"/>
      <c r="AB121" s="2" t="e">
        <f>+Tabla2[[#This Row],[Valor Comercial (US$)]]/Tabla2[[#This Row],[Área techada (m²)4]]</f>
        <v>#REF!</v>
      </c>
      <c r="AC1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1" s="61" t="s">
        <v>43</v>
      </c>
      <c r="AE121" s="54">
        <f>IF(Tabla2[[#This Row],[Moneda]]="Soles",Tabla2[[#This Row],[Valor de Venta]]/Tabla2[[#This Row],[Área techada (m²)]]/Tabla2[[#This Row],[Tipo de Cambio]],Tabla2[[#This Row],[Valor de Venta]]/Tabla2[[#This Row],[Área techada (m²)]])</f>
        <v>871.77142857142849</v>
      </c>
      <c r="AF121" s="43" t="e">
        <f>_xlfn.XLOOKUP(Tabla2[[#This Row],[VISTA]],[1]!Table1[Clase],[1]!Table1[VUE (USD)],0,0,1)</f>
        <v>#REF!</v>
      </c>
      <c r="AG121" s="55" t="e">
        <f>+Tabla2[[#This Row],[Valor Comercial (S/.)]]/Tabla2[[#This Row],[Valor de Venta]]-1</f>
        <v>#REF!</v>
      </c>
    </row>
    <row r="122" spans="1:33" s="1" customFormat="1" ht="15" customHeight="1" x14ac:dyDescent="0.25">
      <c r="A122" s="60" t="s">
        <v>27</v>
      </c>
      <c r="B122" s="14">
        <v>1407</v>
      </c>
      <c r="C122" s="11">
        <v>14</v>
      </c>
      <c r="D122" s="15"/>
      <c r="E122" s="15"/>
      <c r="F122" s="51">
        <f>ROUND(Tabla2[[#This Row],[Área ocupada (m²)]]/20*1.4,2)</f>
        <v>4.38</v>
      </c>
      <c r="G122" s="46">
        <v>62.5</v>
      </c>
      <c r="H122" s="46">
        <v>62.5</v>
      </c>
      <c r="I122" s="51">
        <f>ROUND(Tabla2[[#This Row],[Área techada (m²)]]*0.15,2)</f>
        <v>9.3800000000000008</v>
      </c>
      <c r="J122" s="47" t="s">
        <v>30</v>
      </c>
      <c r="K122" s="48">
        <v>183700</v>
      </c>
      <c r="L122" s="51">
        <f>ROUND(Tabla2[[#This Row],[Área ocupada (m²)3]]/20*1.4,2)</f>
        <v>4.38</v>
      </c>
      <c r="M122" s="37">
        <f>ROUND(Tabla2[[#This Row],[Área ocupada (m²)]],2)</f>
        <v>62.5</v>
      </c>
      <c r="N122" s="37">
        <f>ROUND(Tabla2[[#This Row],[Área techada (m²)]],2)</f>
        <v>62.5</v>
      </c>
      <c r="O122" s="52">
        <f>ROUND(Tabla2[[#This Row],[Área techada (m²)4]]*0.15,2)</f>
        <v>9.3800000000000008</v>
      </c>
      <c r="P122" s="52">
        <f>ROUND(Tabla2[[#This Row],[Área del terreno (m²)2]]*[1]DATA!$A$2,-2)</f>
        <v>3100</v>
      </c>
      <c r="Q122" s="38" t="e">
        <f>+Tabla2[[#This Row],[Valor Comercial (US$)]]-Tabla2[[#This Row],[Valor del terreno (US$)]]</f>
        <v>#REF!</v>
      </c>
      <c r="R1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2" s="53" t="e">
        <f>ROUND(Tabla2[[#This Row],[Valor Comercial (US$)]]*0.8,-2)</f>
        <v>#REF!</v>
      </c>
      <c r="T122" s="53">
        <f>IF($H$6=$G$5,R122,ROUND(Tabla2[[#This Row],[Área techada (m²)4]]*[1]DATA!$B$2*1.15,-2))</f>
        <v>32300</v>
      </c>
      <c r="U122" s="6">
        <f t="shared" si="1"/>
        <v>3.5</v>
      </c>
      <c r="V122" s="39">
        <f>ROUND(Tabla2[[#This Row],[Valor del terreno (US$)]]*Tabla2[[#This Row],[Tipo de Cambio]],-2)</f>
        <v>10900</v>
      </c>
      <c r="W122" s="39" t="e">
        <f>Tabla2[[#This Row],[Valor Comercial (S/.)]]-Tabla2[[#This Row],[Valor del terreno (S/.)]]</f>
        <v>#REF!</v>
      </c>
      <c r="X122" s="39" t="e">
        <f>ROUND(Tabla2[[#This Row],[Valor Comercial (US$)]]*Tabla2[[#This Row],[Tipo de Cambio]],-2)</f>
        <v>#REF!</v>
      </c>
      <c r="Y122" s="39" t="e">
        <f>ROUND(Tabla2[[#This Row],[Valor Realización (US$)]]*Tabla2[[#This Row],[Tipo de Cambio]],-2)</f>
        <v>#REF!</v>
      </c>
      <c r="Z122" s="39">
        <f>+ROUND(Tabla2[[#This Row],[Importe Asegurable (US$)]]*Tabla2[[#This Row],[Tipo de Cambio]],-2)</f>
        <v>113100</v>
      </c>
      <c r="AA122" s="40"/>
      <c r="AB122" s="2" t="e">
        <f>+Tabla2[[#This Row],[Valor Comercial (US$)]]/Tabla2[[#This Row],[Área techada (m²)4]]</f>
        <v>#REF!</v>
      </c>
      <c r="AC1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2" s="61" t="s">
        <v>44</v>
      </c>
      <c r="AE122" s="54">
        <f>IF(Tabla2[[#This Row],[Moneda]]="Soles",Tabla2[[#This Row],[Valor de Venta]]/Tabla2[[#This Row],[Área techada (m²)]]/Tabla2[[#This Row],[Tipo de Cambio]],Tabla2[[#This Row],[Valor de Venta]]/Tabla2[[#This Row],[Área techada (m²)]])</f>
        <v>839.77142857142849</v>
      </c>
      <c r="AF122" s="43" t="e">
        <f>_xlfn.XLOOKUP(Tabla2[[#This Row],[VISTA]],[1]!Table1[Clase],[1]!Table1[VUE (USD)],0,0,1)</f>
        <v>#REF!</v>
      </c>
      <c r="AG122" s="55" t="e">
        <f>+Tabla2[[#This Row],[Valor Comercial (S/.)]]/Tabla2[[#This Row],[Valor de Venta]]-1</f>
        <v>#REF!</v>
      </c>
    </row>
    <row r="123" spans="1:33" s="1" customFormat="1" ht="15" customHeight="1" x14ac:dyDescent="0.25">
      <c r="A123" s="60" t="s">
        <v>27</v>
      </c>
      <c r="B123" s="14">
        <v>1408</v>
      </c>
      <c r="C123" s="11">
        <v>14</v>
      </c>
      <c r="D123" s="15"/>
      <c r="E123" s="15"/>
      <c r="F123" s="51">
        <f>ROUND(Tabla2[[#This Row],[Área ocupada (m²)]]/20*1.4,2)</f>
        <v>4.5599999999999996</v>
      </c>
      <c r="G123" s="46">
        <v>65.2</v>
      </c>
      <c r="H123" s="46">
        <v>65.2</v>
      </c>
      <c r="I123" s="51">
        <f>ROUND(Tabla2[[#This Row],[Área techada (m²)]]*0.15,2)</f>
        <v>9.7799999999999994</v>
      </c>
      <c r="J123" s="47" t="s">
        <v>30</v>
      </c>
      <c r="K123" s="48">
        <v>194600</v>
      </c>
      <c r="L123" s="51">
        <f>ROUND(Tabla2[[#This Row],[Área ocupada (m²)3]]/20*1.4,2)</f>
        <v>4.5599999999999996</v>
      </c>
      <c r="M123" s="37">
        <f>ROUND(Tabla2[[#This Row],[Área ocupada (m²)]],2)</f>
        <v>65.2</v>
      </c>
      <c r="N123" s="37">
        <f>ROUND(Tabla2[[#This Row],[Área techada (m²)]],2)</f>
        <v>65.2</v>
      </c>
      <c r="O123" s="52">
        <f>ROUND(Tabla2[[#This Row],[Área techada (m²)4]]*0.15,2)</f>
        <v>9.7799999999999994</v>
      </c>
      <c r="P123" s="52">
        <f>ROUND(Tabla2[[#This Row],[Área del terreno (m²)2]]*[1]DATA!$A$2,-2)</f>
        <v>3200</v>
      </c>
      <c r="Q123" s="38" t="e">
        <f>+Tabla2[[#This Row],[Valor Comercial (US$)]]-Tabla2[[#This Row],[Valor del terreno (US$)]]</f>
        <v>#REF!</v>
      </c>
      <c r="R1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3" s="53" t="e">
        <f>ROUND(Tabla2[[#This Row],[Valor Comercial (US$)]]*0.8,-2)</f>
        <v>#REF!</v>
      </c>
      <c r="T123" s="53">
        <f>IF($H$6=$G$5,R123,ROUND(Tabla2[[#This Row],[Área techada (m²)4]]*[1]DATA!$B$2*1.15,-2))</f>
        <v>33700</v>
      </c>
      <c r="U123" s="6">
        <f t="shared" si="1"/>
        <v>3.5</v>
      </c>
      <c r="V123" s="39">
        <f>ROUND(Tabla2[[#This Row],[Valor del terreno (US$)]]*Tabla2[[#This Row],[Tipo de Cambio]],-2)</f>
        <v>11200</v>
      </c>
      <c r="W123" s="39" t="e">
        <f>Tabla2[[#This Row],[Valor Comercial (S/.)]]-Tabla2[[#This Row],[Valor del terreno (S/.)]]</f>
        <v>#REF!</v>
      </c>
      <c r="X123" s="39" t="e">
        <f>ROUND(Tabla2[[#This Row],[Valor Comercial (US$)]]*Tabla2[[#This Row],[Tipo de Cambio]],-2)</f>
        <v>#REF!</v>
      </c>
      <c r="Y123" s="39" t="e">
        <f>ROUND(Tabla2[[#This Row],[Valor Realización (US$)]]*Tabla2[[#This Row],[Tipo de Cambio]],-2)</f>
        <v>#REF!</v>
      </c>
      <c r="Z123" s="39">
        <f>+ROUND(Tabla2[[#This Row],[Importe Asegurable (US$)]]*Tabla2[[#This Row],[Tipo de Cambio]],-2)</f>
        <v>118000</v>
      </c>
      <c r="AA123" s="40"/>
      <c r="AB123" s="2" t="e">
        <f>+Tabla2[[#This Row],[Valor Comercial (US$)]]/Tabla2[[#This Row],[Área techada (m²)4]]</f>
        <v>#REF!</v>
      </c>
      <c r="AC1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3" s="61" t="s">
        <v>43</v>
      </c>
      <c r="AE123" s="54">
        <f>IF(Tabla2[[#This Row],[Moneda]]="Soles",Tabla2[[#This Row],[Valor de Venta]]/Tabla2[[#This Row],[Área techada (m²)]]/Tabla2[[#This Row],[Tipo de Cambio]],Tabla2[[#This Row],[Valor de Venta]]/Tabla2[[#This Row],[Área techada (m²)]])</f>
        <v>852.76073619631904</v>
      </c>
      <c r="AF123" s="43" t="e">
        <f>_xlfn.XLOOKUP(Tabla2[[#This Row],[VISTA]],[1]!Table1[Clase],[1]!Table1[VUE (USD)],0,0,1)</f>
        <v>#REF!</v>
      </c>
      <c r="AG123" s="55" t="e">
        <f>+Tabla2[[#This Row],[Valor Comercial (S/.)]]/Tabla2[[#This Row],[Valor de Venta]]-1</f>
        <v>#REF!</v>
      </c>
    </row>
    <row r="124" spans="1:33" s="1" customFormat="1" ht="15" customHeight="1" x14ac:dyDescent="0.25">
      <c r="A124" s="60" t="s">
        <v>27</v>
      </c>
      <c r="B124" s="14">
        <v>1501</v>
      </c>
      <c r="C124" s="11">
        <v>15</v>
      </c>
      <c r="D124" s="15"/>
      <c r="E124" s="15"/>
      <c r="F124" s="51">
        <f>ROUND(Tabla2[[#This Row],[Área ocupada (m²)]]/20*1.4,2)</f>
        <v>4.5599999999999996</v>
      </c>
      <c r="G124" s="46">
        <v>65.2</v>
      </c>
      <c r="H124" s="46">
        <v>65.2</v>
      </c>
      <c r="I124" s="51">
        <f>ROUND(Tabla2[[#This Row],[Área techada (m²)]]*0.15,2)</f>
        <v>9.7799999999999994</v>
      </c>
      <c r="J124" s="47" t="s">
        <v>30</v>
      </c>
      <c r="K124" s="48">
        <v>189800</v>
      </c>
      <c r="L124" s="51">
        <f>ROUND(Tabla2[[#This Row],[Área ocupada (m²)3]]/20*1.4,2)</f>
        <v>4.5599999999999996</v>
      </c>
      <c r="M124" s="37">
        <f>ROUND(Tabla2[[#This Row],[Área ocupada (m²)]],2)</f>
        <v>65.2</v>
      </c>
      <c r="N124" s="37">
        <f>ROUND(Tabla2[[#This Row],[Área techada (m²)]],2)</f>
        <v>65.2</v>
      </c>
      <c r="O124" s="52">
        <f>ROUND(Tabla2[[#This Row],[Área techada (m²)4]]*0.15,2)</f>
        <v>9.7799999999999994</v>
      </c>
      <c r="P124" s="52">
        <f>ROUND(Tabla2[[#This Row],[Área del terreno (m²)2]]*[1]DATA!$A$2,-2)</f>
        <v>3200</v>
      </c>
      <c r="Q124" s="38" t="e">
        <f>+Tabla2[[#This Row],[Valor Comercial (US$)]]-Tabla2[[#This Row],[Valor del terreno (US$)]]</f>
        <v>#REF!</v>
      </c>
      <c r="R1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4" s="53" t="e">
        <f>ROUND(Tabla2[[#This Row],[Valor Comercial (US$)]]*0.8,-2)</f>
        <v>#REF!</v>
      </c>
      <c r="T124" s="53">
        <f>IF($H$6=$G$5,R124,ROUND(Tabla2[[#This Row],[Área techada (m²)4]]*[1]DATA!$B$2*1.15,-2))</f>
        <v>33700</v>
      </c>
      <c r="U124" s="6">
        <f t="shared" si="1"/>
        <v>3.5</v>
      </c>
      <c r="V124" s="39">
        <f>ROUND(Tabla2[[#This Row],[Valor del terreno (US$)]]*Tabla2[[#This Row],[Tipo de Cambio]],-2)</f>
        <v>11200</v>
      </c>
      <c r="W124" s="39" t="e">
        <f>Tabla2[[#This Row],[Valor Comercial (S/.)]]-Tabla2[[#This Row],[Valor del terreno (S/.)]]</f>
        <v>#REF!</v>
      </c>
      <c r="X124" s="39" t="e">
        <f>ROUND(Tabla2[[#This Row],[Valor Comercial (US$)]]*Tabla2[[#This Row],[Tipo de Cambio]],-2)</f>
        <v>#REF!</v>
      </c>
      <c r="Y124" s="39" t="e">
        <f>ROUND(Tabla2[[#This Row],[Valor Realización (US$)]]*Tabla2[[#This Row],[Tipo de Cambio]],-2)</f>
        <v>#REF!</v>
      </c>
      <c r="Z124" s="39">
        <f>+ROUND(Tabla2[[#This Row],[Importe Asegurable (US$)]]*Tabla2[[#This Row],[Tipo de Cambio]],-2)</f>
        <v>118000</v>
      </c>
      <c r="AA124" s="40"/>
      <c r="AB124" s="2" t="e">
        <f>+Tabla2[[#This Row],[Valor Comercial (US$)]]/Tabla2[[#This Row],[Área techada (m²)4]]</f>
        <v>#REF!</v>
      </c>
      <c r="AC1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4" s="61" t="s">
        <v>44</v>
      </c>
      <c r="AE124" s="54">
        <f>IF(Tabla2[[#This Row],[Moneda]]="Soles",Tabla2[[#This Row],[Valor de Venta]]/Tabla2[[#This Row],[Área techada (m²)]]/Tabla2[[#This Row],[Tipo de Cambio]],Tabla2[[#This Row],[Valor de Venta]]/Tabla2[[#This Row],[Área techada (m²)]])</f>
        <v>831.72655565293587</v>
      </c>
      <c r="AF124" s="43" t="e">
        <f>_xlfn.XLOOKUP(Tabla2[[#This Row],[VISTA]],[1]!Table1[Clase],[1]!Table1[VUE (USD)],0,0,1)</f>
        <v>#REF!</v>
      </c>
      <c r="AG124" s="55" t="e">
        <f>+Tabla2[[#This Row],[Valor Comercial (S/.)]]/Tabla2[[#This Row],[Valor de Venta]]-1</f>
        <v>#REF!</v>
      </c>
    </row>
    <row r="125" spans="1:33" s="1" customFormat="1" ht="15" customHeight="1" x14ac:dyDescent="0.25">
      <c r="A125" s="60" t="s">
        <v>27</v>
      </c>
      <c r="B125" s="14">
        <v>1502</v>
      </c>
      <c r="C125" s="11">
        <v>15</v>
      </c>
      <c r="D125" s="15"/>
      <c r="E125" s="15"/>
      <c r="F125" s="51">
        <f>ROUND(Tabla2[[#This Row],[Área ocupada (m²)]]/20*1.4,2)</f>
        <v>4.38</v>
      </c>
      <c r="G125" s="46">
        <v>62.5</v>
      </c>
      <c r="H125" s="46">
        <v>62.5</v>
      </c>
      <c r="I125" s="51">
        <f>ROUND(Tabla2[[#This Row],[Área techada (m²)]]*0.15,2)</f>
        <v>9.3800000000000008</v>
      </c>
      <c r="J125" s="47" t="s">
        <v>30</v>
      </c>
      <c r="K125" s="48">
        <v>177900</v>
      </c>
      <c r="L125" s="51">
        <f>ROUND(Tabla2[[#This Row],[Área ocupada (m²)3]]/20*1.4,2)</f>
        <v>4.38</v>
      </c>
      <c r="M125" s="37">
        <f>ROUND(Tabla2[[#This Row],[Área ocupada (m²)]],2)</f>
        <v>62.5</v>
      </c>
      <c r="N125" s="37">
        <f>ROUND(Tabla2[[#This Row],[Área techada (m²)]],2)</f>
        <v>62.5</v>
      </c>
      <c r="O125" s="52">
        <f>ROUND(Tabla2[[#This Row],[Área techada (m²)4]]*0.15,2)</f>
        <v>9.3800000000000008</v>
      </c>
      <c r="P125" s="52">
        <f>ROUND(Tabla2[[#This Row],[Área del terreno (m²)2]]*[1]DATA!$A$2,-2)</f>
        <v>3100</v>
      </c>
      <c r="Q125" s="38" t="e">
        <f>+Tabla2[[#This Row],[Valor Comercial (US$)]]-Tabla2[[#This Row],[Valor del terreno (US$)]]</f>
        <v>#REF!</v>
      </c>
      <c r="R1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5" s="53" t="e">
        <f>ROUND(Tabla2[[#This Row],[Valor Comercial (US$)]]*0.8,-2)</f>
        <v>#REF!</v>
      </c>
      <c r="T125" s="53">
        <f>IF($H$6=$G$5,R125,ROUND(Tabla2[[#This Row],[Área techada (m²)4]]*[1]DATA!$B$2*1.15,-2))</f>
        <v>32300</v>
      </c>
      <c r="U125" s="6">
        <f t="shared" si="1"/>
        <v>3.5</v>
      </c>
      <c r="V125" s="39">
        <f>ROUND(Tabla2[[#This Row],[Valor del terreno (US$)]]*Tabla2[[#This Row],[Tipo de Cambio]],-2)</f>
        <v>10900</v>
      </c>
      <c r="W125" s="39" t="e">
        <f>Tabla2[[#This Row],[Valor Comercial (S/.)]]-Tabla2[[#This Row],[Valor del terreno (S/.)]]</f>
        <v>#REF!</v>
      </c>
      <c r="X125" s="39" t="e">
        <f>ROUND(Tabla2[[#This Row],[Valor Comercial (US$)]]*Tabla2[[#This Row],[Tipo de Cambio]],-2)</f>
        <v>#REF!</v>
      </c>
      <c r="Y125" s="39" t="e">
        <f>ROUND(Tabla2[[#This Row],[Valor Realización (US$)]]*Tabla2[[#This Row],[Tipo de Cambio]],-2)</f>
        <v>#REF!</v>
      </c>
      <c r="Z125" s="39">
        <f>+ROUND(Tabla2[[#This Row],[Importe Asegurable (US$)]]*Tabla2[[#This Row],[Tipo de Cambio]],-2)</f>
        <v>113100</v>
      </c>
      <c r="AA125" s="40"/>
      <c r="AB125" s="2" t="e">
        <f>+Tabla2[[#This Row],[Valor Comercial (US$)]]/Tabla2[[#This Row],[Área techada (m²)4]]</f>
        <v>#REF!</v>
      </c>
      <c r="AC1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5" s="61" t="s">
        <v>44</v>
      </c>
      <c r="AE125" s="54">
        <f>IF(Tabla2[[#This Row],[Moneda]]="Soles",Tabla2[[#This Row],[Valor de Venta]]/Tabla2[[#This Row],[Área techada (m²)]]/Tabla2[[#This Row],[Tipo de Cambio]],Tabla2[[#This Row],[Valor de Venta]]/Tabla2[[#This Row],[Área techada (m²)]])</f>
        <v>813.25714285714287</v>
      </c>
      <c r="AF125" s="43" t="e">
        <f>_xlfn.XLOOKUP(Tabla2[[#This Row],[VISTA]],[1]!Table1[Clase],[1]!Table1[VUE (USD)],0,0,1)</f>
        <v>#REF!</v>
      </c>
      <c r="AG125" s="55" t="e">
        <f>+Tabla2[[#This Row],[Valor Comercial (S/.)]]/Tabla2[[#This Row],[Valor de Venta]]-1</f>
        <v>#REF!</v>
      </c>
    </row>
    <row r="126" spans="1:33" s="1" customFormat="1" ht="15" customHeight="1" x14ac:dyDescent="0.25">
      <c r="A126" s="60" t="s">
        <v>27</v>
      </c>
      <c r="B126" s="14">
        <v>1503</v>
      </c>
      <c r="C126" s="11">
        <v>15</v>
      </c>
      <c r="D126" s="15"/>
      <c r="E126" s="15"/>
      <c r="F126" s="51">
        <f>ROUND(Tabla2[[#This Row],[Área ocupada (m²)]]/20*1.4,2)</f>
        <v>4.38</v>
      </c>
      <c r="G126" s="46">
        <v>62.5</v>
      </c>
      <c r="H126" s="46">
        <v>62.5</v>
      </c>
      <c r="I126" s="51">
        <f>ROUND(Tabla2[[#This Row],[Área techada (m²)]]*0.15,2)</f>
        <v>9.3800000000000008</v>
      </c>
      <c r="J126" s="47" t="s">
        <v>30</v>
      </c>
      <c r="K126" s="48">
        <v>185900</v>
      </c>
      <c r="L126" s="51">
        <f>ROUND(Tabla2[[#This Row],[Área ocupada (m²)3]]/20*1.4,2)</f>
        <v>4.38</v>
      </c>
      <c r="M126" s="37">
        <f>ROUND(Tabla2[[#This Row],[Área ocupada (m²)]],2)</f>
        <v>62.5</v>
      </c>
      <c r="N126" s="37">
        <f>ROUND(Tabla2[[#This Row],[Área techada (m²)]],2)</f>
        <v>62.5</v>
      </c>
      <c r="O126" s="52">
        <f>ROUND(Tabla2[[#This Row],[Área techada (m²)4]]*0.15,2)</f>
        <v>9.3800000000000008</v>
      </c>
      <c r="P126" s="52">
        <f>ROUND(Tabla2[[#This Row],[Área del terreno (m²)2]]*[1]DATA!$A$2,-2)</f>
        <v>3100</v>
      </c>
      <c r="Q126" s="38" t="e">
        <f>+Tabla2[[#This Row],[Valor Comercial (US$)]]-Tabla2[[#This Row],[Valor del terreno (US$)]]</f>
        <v>#REF!</v>
      </c>
      <c r="R1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6" s="53" t="e">
        <f>ROUND(Tabla2[[#This Row],[Valor Comercial (US$)]]*0.8,-2)</f>
        <v>#REF!</v>
      </c>
      <c r="T126" s="53">
        <f>IF($H$6=$G$5,R126,ROUND(Tabla2[[#This Row],[Área techada (m²)4]]*[1]DATA!$B$2*1.15,-2))</f>
        <v>32300</v>
      </c>
      <c r="U126" s="6">
        <f t="shared" si="1"/>
        <v>3.5</v>
      </c>
      <c r="V126" s="39">
        <f>ROUND(Tabla2[[#This Row],[Valor del terreno (US$)]]*Tabla2[[#This Row],[Tipo de Cambio]],-2)</f>
        <v>10900</v>
      </c>
      <c r="W126" s="39" t="e">
        <f>Tabla2[[#This Row],[Valor Comercial (S/.)]]-Tabla2[[#This Row],[Valor del terreno (S/.)]]</f>
        <v>#REF!</v>
      </c>
      <c r="X126" s="39" t="e">
        <f>ROUND(Tabla2[[#This Row],[Valor Comercial (US$)]]*Tabla2[[#This Row],[Tipo de Cambio]],-2)</f>
        <v>#REF!</v>
      </c>
      <c r="Y126" s="39" t="e">
        <f>ROUND(Tabla2[[#This Row],[Valor Realización (US$)]]*Tabla2[[#This Row],[Tipo de Cambio]],-2)</f>
        <v>#REF!</v>
      </c>
      <c r="Z126" s="39">
        <f>+ROUND(Tabla2[[#This Row],[Importe Asegurable (US$)]]*Tabla2[[#This Row],[Tipo de Cambio]],-2)</f>
        <v>113100</v>
      </c>
      <c r="AA126" s="40"/>
      <c r="AB126" s="2" t="e">
        <f>+Tabla2[[#This Row],[Valor Comercial (US$)]]/Tabla2[[#This Row],[Área techada (m²)4]]</f>
        <v>#REF!</v>
      </c>
      <c r="AC1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6" s="61" t="s">
        <v>43</v>
      </c>
      <c r="AE126" s="54">
        <f>IF(Tabla2[[#This Row],[Moneda]]="Soles",Tabla2[[#This Row],[Valor de Venta]]/Tabla2[[#This Row],[Área techada (m²)]]/Tabla2[[#This Row],[Tipo de Cambio]],Tabla2[[#This Row],[Valor de Venta]]/Tabla2[[#This Row],[Área techada (m²)]])</f>
        <v>849.82857142857142</v>
      </c>
      <c r="AF126" s="43" t="e">
        <f>_xlfn.XLOOKUP(Tabla2[[#This Row],[VISTA]],[1]!Table1[Clase],[1]!Table1[VUE (USD)],0,0,1)</f>
        <v>#REF!</v>
      </c>
      <c r="AG126" s="55" t="e">
        <f>+Tabla2[[#This Row],[Valor Comercial (S/.)]]/Tabla2[[#This Row],[Valor de Venta]]-1</f>
        <v>#REF!</v>
      </c>
    </row>
    <row r="127" spans="1:33" s="1" customFormat="1" ht="15" customHeight="1" x14ac:dyDescent="0.25">
      <c r="A127" s="60" t="s">
        <v>27</v>
      </c>
      <c r="B127" s="14">
        <v>1504</v>
      </c>
      <c r="C127" s="11">
        <v>15</v>
      </c>
      <c r="D127" s="15"/>
      <c r="E127" s="15"/>
      <c r="F127" s="51">
        <f>ROUND(Tabla2[[#This Row],[Área ocupada (m²)]]/20*1.4,2)</f>
        <v>4.5599999999999996</v>
      </c>
      <c r="G127" s="46">
        <v>65.2</v>
      </c>
      <c r="H127" s="46">
        <v>65.2</v>
      </c>
      <c r="I127" s="51">
        <f>ROUND(Tabla2[[#This Row],[Área techada (m²)]]*0.15,2)</f>
        <v>9.7799999999999994</v>
      </c>
      <c r="J127" s="47" t="s">
        <v>30</v>
      </c>
      <c r="K127" s="48">
        <v>201700</v>
      </c>
      <c r="L127" s="51">
        <f>ROUND(Tabla2[[#This Row],[Área ocupada (m²)3]]/20*1.4,2)</f>
        <v>4.5599999999999996</v>
      </c>
      <c r="M127" s="37">
        <f>ROUND(Tabla2[[#This Row],[Área ocupada (m²)]],2)</f>
        <v>65.2</v>
      </c>
      <c r="N127" s="37">
        <f>ROUND(Tabla2[[#This Row],[Área techada (m²)]],2)</f>
        <v>65.2</v>
      </c>
      <c r="O127" s="52">
        <f>ROUND(Tabla2[[#This Row],[Área techada (m²)4]]*0.15,2)</f>
        <v>9.7799999999999994</v>
      </c>
      <c r="P127" s="52">
        <f>ROUND(Tabla2[[#This Row],[Área del terreno (m²)2]]*[1]DATA!$A$2,-2)</f>
        <v>3200</v>
      </c>
      <c r="Q127" s="38" t="e">
        <f>+Tabla2[[#This Row],[Valor Comercial (US$)]]-Tabla2[[#This Row],[Valor del terreno (US$)]]</f>
        <v>#REF!</v>
      </c>
      <c r="R1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7" s="53" t="e">
        <f>ROUND(Tabla2[[#This Row],[Valor Comercial (US$)]]*0.8,-2)</f>
        <v>#REF!</v>
      </c>
      <c r="T127" s="53">
        <f>IF($H$6=$G$5,R127,ROUND(Tabla2[[#This Row],[Área techada (m²)4]]*[1]DATA!$B$2*1.15,-2))</f>
        <v>33700</v>
      </c>
      <c r="U127" s="6">
        <f t="shared" si="1"/>
        <v>3.5</v>
      </c>
      <c r="V127" s="39">
        <f>ROUND(Tabla2[[#This Row],[Valor del terreno (US$)]]*Tabla2[[#This Row],[Tipo de Cambio]],-2)</f>
        <v>11200</v>
      </c>
      <c r="W127" s="39" t="e">
        <f>Tabla2[[#This Row],[Valor Comercial (S/.)]]-Tabla2[[#This Row],[Valor del terreno (S/.)]]</f>
        <v>#REF!</v>
      </c>
      <c r="X127" s="39" t="e">
        <f>ROUND(Tabla2[[#This Row],[Valor Comercial (US$)]]*Tabla2[[#This Row],[Tipo de Cambio]],-2)</f>
        <v>#REF!</v>
      </c>
      <c r="Y127" s="39" t="e">
        <f>ROUND(Tabla2[[#This Row],[Valor Realización (US$)]]*Tabla2[[#This Row],[Tipo de Cambio]],-2)</f>
        <v>#REF!</v>
      </c>
      <c r="Z127" s="39">
        <f>+ROUND(Tabla2[[#This Row],[Importe Asegurable (US$)]]*Tabla2[[#This Row],[Tipo de Cambio]],-2)</f>
        <v>118000</v>
      </c>
      <c r="AA127" s="40"/>
      <c r="AB127" s="2" t="e">
        <f>+Tabla2[[#This Row],[Valor Comercial (US$)]]/Tabla2[[#This Row],[Área techada (m²)4]]</f>
        <v>#REF!</v>
      </c>
      <c r="AC1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7" s="61" t="s">
        <v>43</v>
      </c>
      <c r="AE127" s="54">
        <f>IF(Tabla2[[#This Row],[Moneda]]="Soles",Tabla2[[#This Row],[Valor de Venta]]/Tabla2[[#This Row],[Área techada (m²)]]/Tabla2[[#This Row],[Tipo de Cambio]],Tabla2[[#This Row],[Valor de Venta]]/Tabla2[[#This Row],[Área techada (m²)]])</f>
        <v>883.87379491673971</v>
      </c>
      <c r="AF127" s="43" t="e">
        <f>_xlfn.XLOOKUP(Tabla2[[#This Row],[VISTA]],[1]!Table1[Clase],[1]!Table1[VUE (USD)],0,0,1)</f>
        <v>#REF!</v>
      </c>
      <c r="AG127" s="55" t="e">
        <f>+Tabla2[[#This Row],[Valor Comercial (S/.)]]/Tabla2[[#This Row],[Valor de Venta]]-1</f>
        <v>#REF!</v>
      </c>
    </row>
    <row r="128" spans="1:33" s="1" customFormat="1" ht="15" customHeight="1" x14ac:dyDescent="0.25">
      <c r="A128" s="60" t="s">
        <v>27</v>
      </c>
      <c r="B128" s="14">
        <v>1505</v>
      </c>
      <c r="C128" s="11">
        <v>15</v>
      </c>
      <c r="D128" s="15"/>
      <c r="E128" s="15"/>
      <c r="F128" s="51">
        <f>ROUND(Tabla2[[#This Row],[Área ocupada (m²)]]/20*1.4,2)</f>
        <v>4.5599999999999996</v>
      </c>
      <c r="G128" s="46">
        <v>65.2</v>
      </c>
      <c r="H128" s="46">
        <v>65.2</v>
      </c>
      <c r="I128" s="51">
        <f>ROUND(Tabla2[[#This Row],[Área techada (m²)]]*0.15,2)</f>
        <v>9.7799999999999994</v>
      </c>
      <c r="J128" s="47" t="s">
        <v>30</v>
      </c>
      <c r="K128" s="48">
        <v>198700</v>
      </c>
      <c r="L128" s="51">
        <f>ROUND(Tabla2[[#This Row],[Área ocupada (m²)3]]/20*1.4,2)</f>
        <v>4.5599999999999996</v>
      </c>
      <c r="M128" s="37">
        <f>ROUND(Tabla2[[#This Row],[Área ocupada (m²)]],2)</f>
        <v>65.2</v>
      </c>
      <c r="N128" s="37">
        <f>ROUND(Tabla2[[#This Row],[Área techada (m²)]],2)</f>
        <v>65.2</v>
      </c>
      <c r="O128" s="52">
        <f>ROUND(Tabla2[[#This Row],[Área techada (m²)4]]*0.15,2)</f>
        <v>9.7799999999999994</v>
      </c>
      <c r="P128" s="52">
        <f>ROUND(Tabla2[[#This Row],[Área del terreno (m²)2]]*[1]DATA!$A$2,-2)</f>
        <v>3200</v>
      </c>
      <c r="Q128" s="38" t="e">
        <f>+Tabla2[[#This Row],[Valor Comercial (US$)]]-Tabla2[[#This Row],[Valor del terreno (US$)]]</f>
        <v>#REF!</v>
      </c>
      <c r="R1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8" s="53" t="e">
        <f>ROUND(Tabla2[[#This Row],[Valor Comercial (US$)]]*0.8,-2)</f>
        <v>#REF!</v>
      </c>
      <c r="T128" s="53">
        <f>IF($H$6=$G$5,R128,ROUND(Tabla2[[#This Row],[Área techada (m²)4]]*[1]DATA!$B$2*1.15,-2))</f>
        <v>33700</v>
      </c>
      <c r="U128" s="6">
        <f t="shared" si="1"/>
        <v>3.5</v>
      </c>
      <c r="V128" s="39">
        <f>ROUND(Tabla2[[#This Row],[Valor del terreno (US$)]]*Tabla2[[#This Row],[Tipo de Cambio]],-2)</f>
        <v>11200</v>
      </c>
      <c r="W128" s="39" t="e">
        <f>Tabla2[[#This Row],[Valor Comercial (S/.)]]-Tabla2[[#This Row],[Valor del terreno (S/.)]]</f>
        <v>#REF!</v>
      </c>
      <c r="X128" s="39" t="e">
        <f>ROUND(Tabla2[[#This Row],[Valor Comercial (US$)]]*Tabla2[[#This Row],[Tipo de Cambio]],-2)</f>
        <v>#REF!</v>
      </c>
      <c r="Y128" s="39" t="e">
        <f>ROUND(Tabla2[[#This Row],[Valor Realización (US$)]]*Tabla2[[#This Row],[Tipo de Cambio]],-2)</f>
        <v>#REF!</v>
      </c>
      <c r="Z128" s="39">
        <f>+ROUND(Tabla2[[#This Row],[Importe Asegurable (US$)]]*Tabla2[[#This Row],[Tipo de Cambio]],-2)</f>
        <v>118000</v>
      </c>
      <c r="AA128" s="40"/>
      <c r="AB128" s="2" t="e">
        <f>+Tabla2[[#This Row],[Valor Comercial (US$)]]/Tabla2[[#This Row],[Área techada (m²)4]]</f>
        <v>#REF!</v>
      </c>
      <c r="AC1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8" s="61" t="s">
        <v>43</v>
      </c>
      <c r="AE128" s="54">
        <f>IF(Tabla2[[#This Row],[Moneda]]="Soles",Tabla2[[#This Row],[Valor de Venta]]/Tabla2[[#This Row],[Área techada (m²)]]/Tabla2[[#This Row],[Tipo de Cambio]],Tabla2[[#This Row],[Valor de Venta]]/Tabla2[[#This Row],[Área techada (m²)]])</f>
        <v>870.7274320771254</v>
      </c>
      <c r="AF128" s="43" t="e">
        <f>_xlfn.XLOOKUP(Tabla2[[#This Row],[VISTA]],[1]!Table1[Clase],[1]!Table1[VUE (USD)],0,0,1)</f>
        <v>#REF!</v>
      </c>
      <c r="AG128" s="55" t="e">
        <f>+Tabla2[[#This Row],[Valor Comercial (S/.)]]/Tabla2[[#This Row],[Valor de Venta]]-1</f>
        <v>#REF!</v>
      </c>
    </row>
    <row r="129" spans="1:33" s="1" customFormat="1" ht="15" customHeight="1" x14ac:dyDescent="0.25">
      <c r="A129" s="60" t="s">
        <v>27</v>
      </c>
      <c r="B129" s="14">
        <v>1506</v>
      </c>
      <c r="C129" s="11">
        <v>15</v>
      </c>
      <c r="D129" s="15"/>
      <c r="E129" s="15"/>
      <c r="F129" s="51">
        <f>ROUND(Tabla2[[#This Row],[Área ocupada (m²)]]/20*1.4,2)</f>
        <v>4.38</v>
      </c>
      <c r="G129" s="46">
        <v>62.5</v>
      </c>
      <c r="H129" s="46">
        <v>62.5</v>
      </c>
      <c r="I129" s="51">
        <f>ROUND(Tabla2[[#This Row],[Área techada (m²)]]*0.15,2)</f>
        <v>9.3800000000000008</v>
      </c>
      <c r="J129" s="47" t="s">
        <v>30</v>
      </c>
      <c r="K129" s="48">
        <v>188900</v>
      </c>
      <c r="L129" s="51">
        <f>ROUND(Tabla2[[#This Row],[Área ocupada (m²)3]]/20*1.4,2)</f>
        <v>4.38</v>
      </c>
      <c r="M129" s="37">
        <f>ROUND(Tabla2[[#This Row],[Área ocupada (m²)]],2)</f>
        <v>62.5</v>
      </c>
      <c r="N129" s="37">
        <f>ROUND(Tabla2[[#This Row],[Área techada (m²)]],2)</f>
        <v>62.5</v>
      </c>
      <c r="O129" s="52">
        <f>ROUND(Tabla2[[#This Row],[Área techada (m²)4]]*0.15,2)</f>
        <v>9.3800000000000008</v>
      </c>
      <c r="P129" s="52">
        <f>ROUND(Tabla2[[#This Row],[Área del terreno (m²)2]]*[1]DATA!$A$2,-2)</f>
        <v>3100</v>
      </c>
      <c r="Q129" s="38" t="e">
        <f>+Tabla2[[#This Row],[Valor Comercial (US$)]]-Tabla2[[#This Row],[Valor del terreno (US$)]]</f>
        <v>#REF!</v>
      </c>
      <c r="R1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9" s="53" t="e">
        <f>ROUND(Tabla2[[#This Row],[Valor Comercial (US$)]]*0.8,-2)</f>
        <v>#REF!</v>
      </c>
      <c r="T129" s="53">
        <f>IF($H$6=$G$5,R129,ROUND(Tabla2[[#This Row],[Área techada (m²)4]]*[1]DATA!$B$2*1.15,-2))</f>
        <v>32300</v>
      </c>
      <c r="U129" s="6">
        <f t="shared" si="1"/>
        <v>3.5</v>
      </c>
      <c r="V129" s="39">
        <f>ROUND(Tabla2[[#This Row],[Valor del terreno (US$)]]*Tabla2[[#This Row],[Tipo de Cambio]],-2)</f>
        <v>10900</v>
      </c>
      <c r="W129" s="39" t="e">
        <f>Tabla2[[#This Row],[Valor Comercial (S/.)]]-Tabla2[[#This Row],[Valor del terreno (S/.)]]</f>
        <v>#REF!</v>
      </c>
      <c r="X129" s="39" t="e">
        <f>ROUND(Tabla2[[#This Row],[Valor Comercial (US$)]]*Tabla2[[#This Row],[Tipo de Cambio]],-2)</f>
        <v>#REF!</v>
      </c>
      <c r="Y129" s="39" t="e">
        <f>ROUND(Tabla2[[#This Row],[Valor Realización (US$)]]*Tabla2[[#This Row],[Tipo de Cambio]],-2)</f>
        <v>#REF!</v>
      </c>
      <c r="Z129" s="39">
        <f>+ROUND(Tabla2[[#This Row],[Importe Asegurable (US$)]]*Tabla2[[#This Row],[Tipo de Cambio]],-2)</f>
        <v>113100</v>
      </c>
      <c r="AA129" s="40"/>
      <c r="AB129" s="2" t="e">
        <f>+Tabla2[[#This Row],[Valor Comercial (US$)]]/Tabla2[[#This Row],[Área techada (m²)4]]</f>
        <v>#REF!</v>
      </c>
      <c r="AC1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9" s="61" t="s">
        <v>43</v>
      </c>
      <c r="AE129" s="54">
        <f>IF(Tabla2[[#This Row],[Moneda]]="Soles",Tabla2[[#This Row],[Valor de Venta]]/Tabla2[[#This Row],[Área techada (m²)]]/Tabla2[[#This Row],[Tipo de Cambio]],Tabla2[[#This Row],[Valor de Venta]]/Tabla2[[#This Row],[Área techada (m²)]])</f>
        <v>863.5428571428572</v>
      </c>
      <c r="AF129" s="43" t="e">
        <f>_xlfn.XLOOKUP(Tabla2[[#This Row],[VISTA]],[1]!Table1[Clase],[1]!Table1[VUE (USD)],0,0,1)</f>
        <v>#REF!</v>
      </c>
      <c r="AG129" s="55" t="e">
        <f>+Tabla2[[#This Row],[Valor Comercial (S/.)]]/Tabla2[[#This Row],[Valor de Venta]]-1</f>
        <v>#REF!</v>
      </c>
    </row>
    <row r="130" spans="1:33" s="1" customFormat="1" ht="15" customHeight="1" x14ac:dyDescent="0.25">
      <c r="A130" s="60" t="s">
        <v>27</v>
      </c>
      <c r="B130" s="14">
        <v>1507</v>
      </c>
      <c r="C130" s="11">
        <v>15</v>
      </c>
      <c r="D130" s="15"/>
      <c r="E130" s="15"/>
      <c r="F130" s="51">
        <f>ROUND(Tabla2[[#This Row],[Área ocupada (m²)]]/20*1.4,2)</f>
        <v>4.38</v>
      </c>
      <c r="G130" s="46">
        <v>62.5</v>
      </c>
      <c r="H130" s="46">
        <v>62.5</v>
      </c>
      <c r="I130" s="51">
        <f>ROUND(Tabla2[[#This Row],[Área techada (m²)]]*0.15,2)</f>
        <v>9.3800000000000008</v>
      </c>
      <c r="J130" s="47" t="s">
        <v>30</v>
      </c>
      <c r="K130" s="48">
        <v>175900</v>
      </c>
      <c r="L130" s="51">
        <f>ROUND(Tabla2[[#This Row],[Área ocupada (m²)3]]/20*1.4,2)</f>
        <v>4.38</v>
      </c>
      <c r="M130" s="37">
        <f>ROUND(Tabla2[[#This Row],[Área ocupada (m²)]],2)</f>
        <v>62.5</v>
      </c>
      <c r="N130" s="37">
        <f>ROUND(Tabla2[[#This Row],[Área techada (m²)]],2)</f>
        <v>62.5</v>
      </c>
      <c r="O130" s="52">
        <f>ROUND(Tabla2[[#This Row],[Área techada (m²)4]]*0.15,2)</f>
        <v>9.3800000000000008</v>
      </c>
      <c r="P130" s="52">
        <f>ROUND(Tabla2[[#This Row],[Área del terreno (m²)2]]*[1]DATA!$A$2,-2)</f>
        <v>3100</v>
      </c>
      <c r="Q130" s="38" t="e">
        <f>+Tabla2[[#This Row],[Valor Comercial (US$)]]-Tabla2[[#This Row],[Valor del terreno (US$)]]</f>
        <v>#REF!</v>
      </c>
      <c r="R1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0" s="53" t="e">
        <f>ROUND(Tabla2[[#This Row],[Valor Comercial (US$)]]*0.8,-2)</f>
        <v>#REF!</v>
      </c>
      <c r="T130" s="53">
        <f>IF($H$6=$G$5,R130,ROUND(Tabla2[[#This Row],[Área techada (m²)4]]*[1]DATA!$B$2*1.15,-2))</f>
        <v>32300</v>
      </c>
      <c r="U130" s="6">
        <f t="shared" si="1"/>
        <v>3.5</v>
      </c>
      <c r="V130" s="39">
        <f>ROUND(Tabla2[[#This Row],[Valor del terreno (US$)]]*Tabla2[[#This Row],[Tipo de Cambio]],-2)</f>
        <v>10900</v>
      </c>
      <c r="W130" s="39" t="e">
        <f>Tabla2[[#This Row],[Valor Comercial (S/.)]]-Tabla2[[#This Row],[Valor del terreno (S/.)]]</f>
        <v>#REF!</v>
      </c>
      <c r="X130" s="39" t="e">
        <f>ROUND(Tabla2[[#This Row],[Valor Comercial (US$)]]*Tabla2[[#This Row],[Tipo de Cambio]],-2)</f>
        <v>#REF!</v>
      </c>
      <c r="Y130" s="39" t="e">
        <f>ROUND(Tabla2[[#This Row],[Valor Realización (US$)]]*Tabla2[[#This Row],[Tipo de Cambio]],-2)</f>
        <v>#REF!</v>
      </c>
      <c r="Z130" s="39">
        <f>+ROUND(Tabla2[[#This Row],[Importe Asegurable (US$)]]*Tabla2[[#This Row],[Tipo de Cambio]],-2)</f>
        <v>113100</v>
      </c>
      <c r="AA130" s="40"/>
      <c r="AB130" s="2" t="e">
        <f>+Tabla2[[#This Row],[Valor Comercial (US$)]]/Tabla2[[#This Row],[Área techada (m²)4]]</f>
        <v>#REF!</v>
      </c>
      <c r="AC1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0" s="61" t="s">
        <v>44</v>
      </c>
      <c r="AE130" s="54">
        <f>IF(Tabla2[[#This Row],[Moneda]]="Soles",Tabla2[[#This Row],[Valor de Venta]]/Tabla2[[#This Row],[Área techada (m²)]]/Tabla2[[#This Row],[Tipo de Cambio]],Tabla2[[#This Row],[Valor de Venta]]/Tabla2[[#This Row],[Área techada (m²)]])</f>
        <v>804.11428571428576</v>
      </c>
      <c r="AF130" s="43" t="e">
        <f>_xlfn.XLOOKUP(Tabla2[[#This Row],[VISTA]],[1]!Table1[Clase],[1]!Table1[VUE (USD)],0,0,1)</f>
        <v>#REF!</v>
      </c>
      <c r="AG130" s="55" t="e">
        <f>+Tabla2[[#This Row],[Valor Comercial (S/.)]]/Tabla2[[#This Row],[Valor de Venta]]-1</f>
        <v>#REF!</v>
      </c>
    </row>
    <row r="131" spans="1:33" s="1" customFormat="1" ht="15" customHeight="1" x14ac:dyDescent="0.25">
      <c r="A131" s="60" t="s">
        <v>27</v>
      </c>
      <c r="B131" s="14">
        <v>1508</v>
      </c>
      <c r="C131" s="11">
        <v>15</v>
      </c>
      <c r="D131" s="15"/>
      <c r="E131" s="15"/>
      <c r="F131" s="51">
        <f>ROUND(Tabla2[[#This Row],[Área ocupada (m²)]]/20*1.4,2)</f>
        <v>4.5599999999999996</v>
      </c>
      <c r="G131" s="46">
        <v>65.2</v>
      </c>
      <c r="H131" s="46">
        <v>65.2</v>
      </c>
      <c r="I131" s="51">
        <f>ROUND(Tabla2[[#This Row],[Área techada (m²)]]*0.15,2)</f>
        <v>9.7799999999999994</v>
      </c>
      <c r="J131" s="47" t="s">
        <v>30</v>
      </c>
      <c r="K131" s="48">
        <v>194700</v>
      </c>
      <c r="L131" s="51">
        <f>ROUND(Tabla2[[#This Row],[Área ocupada (m²)3]]/20*1.4,2)</f>
        <v>4.5599999999999996</v>
      </c>
      <c r="M131" s="37">
        <f>ROUND(Tabla2[[#This Row],[Área ocupada (m²)]],2)</f>
        <v>65.2</v>
      </c>
      <c r="N131" s="37">
        <f>ROUND(Tabla2[[#This Row],[Área techada (m²)]],2)</f>
        <v>65.2</v>
      </c>
      <c r="O131" s="52">
        <f>ROUND(Tabla2[[#This Row],[Área techada (m²)4]]*0.15,2)</f>
        <v>9.7799999999999994</v>
      </c>
      <c r="P131" s="52">
        <f>ROUND(Tabla2[[#This Row],[Área del terreno (m²)2]]*[1]DATA!$A$2,-2)</f>
        <v>3200</v>
      </c>
      <c r="Q131" s="38" t="e">
        <f>+Tabla2[[#This Row],[Valor Comercial (US$)]]-Tabla2[[#This Row],[Valor del terreno (US$)]]</f>
        <v>#REF!</v>
      </c>
      <c r="R1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1" s="53" t="e">
        <f>ROUND(Tabla2[[#This Row],[Valor Comercial (US$)]]*0.8,-2)</f>
        <v>#REF!</v>
      </c>
      <c r="T131" s="53">
        <f>IF($H$6=$G$5,R131,ROUND(Tabla2[[#This Row],[Área techada (m²)4]]*[1]DATA!$B$2*1.15,-2))</f>
        <v>33700</v>
      </c>
      <c r="U131" s="6">
        <f t="shared" si="1"/>
        <v>3.5</v>
      </c>
      <c r="V131" s="39">
        <f>ROUND(Tabla2[[#This Row],[Valor del terreno (US$)]]*Tabla2[[#This Row],[Tipo de Cambio]],-2)</f>
        <v>11200</v>
      </c>
      <c r="W131" s="39" t="e">
        <f>Tabla2[[#This Row],[Valor Comercial (S/.)]]-Tabla2[[#This Row],[Valor del terreno (S/.)]]</f>
        <v>#REF!</v>
      </c>
      <c r="X131" s="39" t="e">
        <f>ROUND(Tabla2[[#This Row],[Valor Comercial (US$)]]*Tabla2[[#This Row],[Tipo de Cambio]],-2)</f>
        <v>#REF!</v>
      </c>
      <c r="Y131" s="39" t="e">
        <f>ROUND(Tabla2[[#This Row],[Valor Realización (US$)]]*Tabla2[[#This Row],[Tipo de Cambio]],-2)</f>
        <v>#REF!</v>
      </c>
      <c r="Z131" s="39">
        <f>+ROUND(Tabla2[[#This Row],[Importe Asegurable (US$)]]*Tabla2[[#This Row],[Tipo de Cambio]],-2)</f>
        <v>118000</v>
      </c>
      <c r="AA131" s="40"/>
      <c r="AB131" s="2" t="e">
        <f>+Tabla2[[#This Row],[Valor Comercial (US$)]]/Tabla2[[#This Row],[Área techada (m²)4]]</f>
        <v>#REF!</v>
      </c>
      <c r="AC1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1" s="61" t="s">
        <v>43</v>
      </c>
      <c r="AE131" s="54">
        <f>IF(Tabla2[[#This Row],[Moneda]]="Soles",Tabla2[[#This Row],[Valor de Venta]]/Tabla2[[#This Row],[Área techada (m²)]]/Tabla2[[#This Row],[Tipo de Cambio]],Tabla2[[#This Row],[Valor de Venta]]/Tabla2[[#This Row],[Área techada (m²)]])</f>
        <v>853.19894829097279</v>
      </c>
      <c r="AF131" s="43" t="e">
        <f>_xlfn.XLOOKUP(Tabla2[[#This Row],[VISTA]],[1]!Table1[Clase],[1]!Table1[VUE (USD)],0,0,1)</f>
        <v>#REF!</v>
      </c>
      <c r="AG131" s="55" t="e">
        <f>+Tabla2[[#This Row],[Valor Comercial (S/.)]]/Tabla2[[#This Row],[Valor de Venta]]-1</f>
        <v>#REF!</v>
      </c>
    </row>
    <row r="132" spans="1:33" s="1" customFormat="1" ht="15" customHeight="1" x14ac:dyDescent="0.25">
      <c r="A132" s="60" t="s">
        <v>27</v>
      </c>
      <c r="B132" s="14">
        <v>1601</v>
      </c>
      <c r="C132" s="11">
        <v>16</v>
      </c>
      <c r="D132" s="15"/>
      <c r="E132" s="15"/>
      <c r="F132" s="51">
        <f>ROUND(Tabla2[[#This Row],[Área ocupada (m²)]]/20*1.4,2)</f>
        <v>4.5599999999999996</v>
      </c>
      <c r="G132" s="46">
        <v>65.2</v>
      </c>
      <c r="H132" s="46">
        <v>65.2</v>
      </c>
      <c r="I132" s="51">
        <f>ROUND(Tabla2[[#This Row],[Área techada (m²)]]*0.15,2)</f>
        <v>9.7799999999999994</v>
      </c>
      <c r="J132" s="47" t="s">
        <v>30</v>
      </c>
      <c r="K132" s="48">
        <v>185800</v>
      </c>
      <c r="L132" s="51">
        <f>ROUND(Tabla2[[#This Row],[Área ocupada (m²)3]]/20*1.4,2)</f>
        <v>4.5599999999999996</v>
      </c>
      <c r="M132" s="37">
        <f>ROUND(Tabla2[[#This Row],[Área ocupada (m²)]],2)</f>
        <v>65.2</v>
      </c>
      <c r="N132" s="37">
        <f>ROUND(Tabla2[[#This Row],[Área techada (m²)]],2)</f>
        <v>65.2</v>
      </c>
      <c r="O132" s="52">
        <f>ROUND(Tabla2[[#This Row],[Área techada (m²)4]]*0.15,2)</f>
        <v>9.7799999999999994</v>
      </c>
      <c r="P132" s="52">
        <f>ROUND(Tabla2[[#This Row],[Área del terreno (m²)2]]*[1]DATA!$A$2,-2)</f>
        <v>3200</v>
      </c>
      <c r="Q132" s="38" t="e">
        <f>+Tabla2[[#This Row],[Valor Comercial (US$)]]-Tabla2[[#This Row],[Valor del terreno (US$)]]</f>
        <v>#REF!</v>
      </c>
      <c r="R1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2" s="53" t="e">
        <f>ROUND(Tabla2[[#This Row],[Valor Comercial (US$)]]*0.8,-2)</f>
        <v>#REF!</v>
      </c>
      <c r="T132" s="53">
        <f>IF($H$6=$G$5,R132,ROUND(Tabla2[[#This Row],[Área techada (m²)4]]*[1]DATA!$B$2*1.15,-2))</f>
        <v>33700</v>
      </c>
      <c r="U132" s="6">
        <f t="shared" si="1"/>
        <v>3.5</v>
      </c>
      <c r="V132" s="39">
        <f>ROUND(Tabla2[[#This Row],[Valor del terreno (US$)]]*Tabla2[[#This Row],[Tipo de Cambio]],-2)</f>
        <v>11200</v>
      </c>
      <c r="W132" s="39" t="e">
        <f>Tabla2[[#This Row],[Valor Comercial (S/.)]]-Tabla2[[#This Row],[Valor del terreno (S/.)]]</f>
        <v>#REF!</v>
      </c>
      <c r="X132" s="39" t="e">
        <f>ROUND(Tabla2[[#This Row],[Valor Comercial (US$)]]*Tabla2[[#This Row],[Tipo de Cambio]],-2)</f>
        <v>#REF!</v>
      </c>
      <c r="Y132" s="39" t="e">
        <f>ROUND(Tabla2[[#This Row],[Valor Realización (US$)]]*Tabla2[[#This Row],[Tipo de Cambio]],-2)</f>
        <v>#REF!</v>
      </c>
      <c r="Z132" s="39">
        <f>+ROUND(Tabla2[[#This Row],[Importe Asegurable (US$)]]*Tabla2[[#This Row],[Tipo de Cambio]],-2)</f>
        <v>118000</v>
      </c>
      <c r="AA132" s="40"/>
      <c r="AB132" s="2" t="e">
        <f>+Tabla2[[#This Row],[Valor Comercial (US$)]]/Tabla2[[#This Row],[Área techada (m²)4]]</f>
        <v>#REF!</v>
      </c>
      <c r="AC1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2" s="61" t="s">
        <v>44</v>
      </c>
      <c r="AE132" s="54">
        <f>IF(Tabla2[[#This Row],[Moneda]]="Soles",Tabla2[[#This Row],[Valor de Venta]]/Tabla2[[#This Row],[Área techada (m²)]]/Tabla2[[#This Row],[Tipo de Cambio]],Tabla2[[#This Row],[Valor de Venta]]/Tabla2[[#This Row],[Área techada (m²)]])</f>
        <v>814.19807186678349</v>
      </c>
      <c r="AF132" s="43" t="e">
        <f>_xlfn.XLOOKUP(Tabla2[[#This Row],[VISTA]],[1]!Table1[Clase],[1]!Table1[VUE (USD)],0,0,1)</f>
        <v>#REF!</v>
      </c>
      <c r="AG132" s="55" t="e">
        <f>+Tabla2[[#This Row],[Valor Comercial (S/.)]]/Tabla2[[#This Row],[Valor de Venta]]-1</f>
        <v>#REF!</v>
      </c>
    </row>
    <row r="133" spans="1:33" s="1" customFormat="1" ht="15" customHeight="1" x14ac:dyDescent="0.25">
      <c r="A133" s="60" t="s">
        <v>27</v>
      </c>
      <c r="B133" s="14">
        <v>1602</v>
      </c>
      <c r="C133" s="11">
        <v>16</v>
      </c>
      <c r="D133" s="15"/>
      <c r="E133" s="15"/>
      <c r="F133" s="51">
        <f>ROUND(Tabla2[[#This Row],[Área ocupada (m²)]]/20*1.4,2)</f>
        <v>4.38</v>
      </c>
      <c r="G133" s="46">
        <v>62.5</v>
      </c>
      <c r="H133" s="46">
        <v>62.5</v>
      </c>
      <c r="I133" s="51">
        <f>ROUND(Tabla2[[#This Row],[Área techada (m²)]]*0.15,2)</f>
        <v>9.3800000000000008</v>
      </c>
      <c r="J133" s="47" t="s">
        <v>30</v>
      </c>
      <c r="K133" s="48">
        <v>176100</v>
      </c>
      <c r="L133" s="51">
        <f>ROUND(Tabla2[[#This Row],[Área ocupada (m²)3]]/20*1.4,2)</f>
        <v>4.38</v>
      </c>
      <c r="M133" s="37">
        <f>ROUND(Tabla2[[#This Row],[Área ocupada (m²)]],2)</f>
        <v>62.5</v>
      </c>
      <c r="N133" s="37">
        <f>ROUND(Tabla2[[#This Row],[Área techada (m²)]],2)</f>
        <v>62.5</v>
      </c>
      <c r="O133" s="52">
        <f>ROUND(Tabla2[[#This Row],[Área techada (m²)4]]*0.15,2)</f>
        <v>9.3800000000000008</v>
      </c>
      <c r="P133" s="52">
        <f>ROUND(Tabla2[[#This Row],[Área del terreno (m²)2]]*[1]DATA!$A$2,-2)</f>
        <v>3100</v>
      </c>
      <c r="Q133" s="38" t="e">
        <f>+Tabla2[[#This Row],[Valor Comercial (US$)]]-Tabla2[[#This Row],[Valor del terreno (US$)]]</f>
        <v>#REF!</v>
      </c>
      <c r="R1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3" s="53" t="e">
        <f>ROUND(Tabla2[[#This Row],[Valor Comercial (US$)]]*0.8,-2)</f>
        <v>#REF!</v>
      </c>
      <c r="T133" s="53">
        <f>IF($H$6=$G$5,R133,ROUND(Tabla2[[#This Row],[Área techada (m²)4]]*[1]DATA!$B$2*1.15,-2))</f>
        <v>32300</v>
      </c>
      <c r="U133" s="6">
        <f t="shared" si="1"/>
        <v>3.5</v>
      </c>
      <c r="V133" s="39">
        <f>ROUND(Tabla2[[#This Row],[Valor del terreno (US$)]]*Tabla2[[#This Row],[Tipo de Cambio]],-2)</f>
        <v>10900</v>
      </c>
      <c r="W133" s="39" t="e">
        <f>Tabla2[[#This Row],[Valor Comercial (S/.)]]-Tabla2[[#This Row],[Valor del terreno (S/.)]]</f>
        <v>#REF!</v>
      </c>
      <c r="X133" s="39" t="e">
        <f>ROUND(Tabla2[[#This Row],[Valor Comercial (US$)]]*Tabla2[[#This Row],[Tipo de Cambio]],-2)</f>
        <v>#REF!</v>
      </c>
      <c r="Y133" s="39" t="e">
        <f>ROUND(Tabla2[[#This Row],[Valor Realización (US$)]]*Tabla2[[#This Row],[Tipo de Cambio]],-2)</f>
        <v>#REF!</v>
      </c>
      <c r="Z133" s="39">
        <f>+ROUND(Tabla2[[#This Row],[Importe Asegurable (US$)]]*Tabla2[[#This Row],[Tipo de Cambio]],-2)</f>
        <v>113100</v>
      </c>
      <c r="AA133" s="40"/>
      <c r="AB133" s="2" t="e">
        <f>+Tabla2[[#This Row],[Valor Comercial (US$)]]/Tabla2[[#This Row],[Área techada (m²)4]]</f>
        <v>#REF!</v>
      </c>
      <c r="AC1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3" s="61" t="s">
        <v>44</v>
      </c>
      <c r="AE133" s="54">
        <f>IF(Tabla2[[#This Row],[Moneda]]="Soles",Tabla2[[#This Row],[Valor de Venta]]/Tabla2[[#This Row],[Área techada (m²)]]/Tabla2[[#This Row],[Tipo de Cambio]],Tabla2[[#This Row],[Valor de Venta]]/Tabla2[[#This Row],[Área techada (m²)]])</f>
        <v>805.02857142857135</v>
      </c>
      <c r="AF133" s="43" t="e">
        <f>_xlfn.XLOOKUP(Tabla2[[#This Row],[VISTA]],[1]!Table1[Clase],[1]!Table1[VUE (USD)],0,0,1)</f>
        <v>#REF!</v>
      </c>
      <c r="AG133" s="55" t="e">
        <f>+Tabla2[[#This Row],[Valor Comercial (S/.)]]/Tabla2[[#This Row],[Valor de Venta]]-1</f>
        <v>#REF!</v>
      </c>
    </row>
    <row r="134" spans="1:33" s="1" customFormat="1" ht="15" customHeight="1" x14ac:dyDescent="0.25">
      <c r="A134" s="60" t="s">
        <v>27</v>
      </c>
      <c r="B134" s="14">
        <v>1603</v>
      </c>
      <c r="C134" s="11">
        <v>16</v>
      </c>
      <c r="D134" s="15"/>
      <c r="E134" s="15"/>
      <c r="F134" s="51">
        <f>ROUND(Tabla2[[#This Row],[Área ocupada (m²)]]/20*1.4,2)</f>
        <v>4.38</v>
      </c>
      <c r="G134" s="46">
        <v>62.5</v>
      </c>
      <c r="H134" s="46">
        <v>62.5</v>
      </c>
      <c r="I134" s="51">
        <f>ROUND(Tabla2[[#This Row],[Área techada (m²)]]*0.15,2)</f>
        <v>9.3800000000000008</v>
      </c>
      <c r="J134" s="47" t="s">
        <v>30</v>
      </c>
      <c r="K134" s="48">
        <v>179100</v>
      </c>
      <c r="L134" s="51">
        <f>ROUND(Tabla2[[#This Row],[Área ocupada (m²)3]]/20*1.4,2)</f>
        <v>4.38</v>
      </c>
      <c r="M134" s="37">
        <f>ROUND(Tabla2[[#This Row],[Área ocupada (m²)]],2)</f>
        <v>62.5</v>
      </c>
      <c r="N134" s="37">
        <f>ROUND(Tabla2[[#This Row],[Área techada (m²)]],2)</f>
        <v>62.5</v>
      </c>
      <c r="O134" s="52">
        <f>ROUND(Tabla2[[#This Row],[Área techada (m²)4]]*0.15,2)</f>
        <v>9.3800000000000008</v>
      </c>
      <c r="P134" s="52">
        <f>ROUND(Tabla2[[#This Row],[Área del terreno (m²)2]]*[1]DATA!$A$2,-2)</f>
        <v>3100</v>
      </c>
      <c r="Q134" s="38" t="e">
        <f>+Tabla2[[#This Row],[Valor Comercial (US$)]]-Tabla2[[#This Row],[Valor del terreno (US$)]]</f>
        <v>#REF!</v>
      </c>
      <c r="R1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4" s="53" t="e">
        <f>ROUND(Tabla2[[#This Row],[Valor Comercial (US$)]]*0.8,-2)</f>
        <v>#REF!</v>
      </c>
      <c r="T134" s="53">
        <f>IF($H$6=$G$5,R134,ROUND(Tabla2[[#This Row],[Área techada (m²)4]]*[1]DATA!$B$2*1.15,-2))</f>
        <v>32300</v>
      </c>
      <c r="U134" s="6">
        <f t="shared" si="1"/>
        <v>3.5</v>
      </c>
      <c r="V134" s="39">
        <f>ROUND(Tabla2[[#This Row],[Valor del terreno (US$)]]*Tabla2[[#This Row],[Tipo de Cambio]],-2)</f>
        <v>10900</v>
      </c>
      <c r="W134" s="39" t="e">
        <f>Tabla2[[#This Row],[Valor Comercial (S/.)]]-Tabla2[[#This Row],[Valor del terreno (S/.)]]</f>
        <v>#REF!</v>
      </c>
      <c r="X134" s="39" t="e">
        <f>ROUND(Tabla2[[#This Row],[Valor Comercial (US$)]]*Tabla2[[#This Row],[Tipo de Cambio]],-2)</f>
        <v>#REF!</v>
      </c>
      <c r="Y134" s="39" t="e">
        <f>ROUND(Tabla2[[#This Row],[Valor Realización (US$)]]*Tabla2[[#This Row],[Tipo de Cambio]],-2)</f>
        <v>#REF!</v>
      </c>
      <c r="Z134" s="39">
        <f>+ROUND(Tabla2[[#This Row],[Importe Asegurable (US$)]]*Tabla2[[#This Row],[Tipo de Cambio]],-2)</f>
        <v>113100</v>
      </c>
      <c r="AA134" s="40"/>
      <c r="AB134" s="2" t="e">
        <f>+Tabla2[[#This Row],[Valor Comercial (US$)]]/Tabla2[[#This Row],[Área techada (m²)4]]</f>
        <v>#REF!</v>
      </c>
      <c r="AC1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4" s="61" t="s">
        <v>44</v>
      </c>
      <c r="AE134" s="54">
        <f>IF(Tabla2[[#This Row],[Moneda]]="Soles",Tabla2[[#This Row],[Valor de Venta]]/Tabla2[[#This Row],[Área techada (m²)]]/Tabla2[[#This Row],[Tipo de Cambio]],Tabla2[[#This Row],[Valor de Venta]]/Tabla2[[#This Row],[Área techada (m²)]])</f>
        <v>818.74285714285713</v>
      </c>
      <c r="AF134" s="43" t="e">
        <f>_xlfn.XLOOKUP(Tabla2[[#This Row],[VISTA]],[1]!Table1[Clase],[1]!Table1[VUE (USD)],0,0,1)</f>
        <v>#REF!</v>
      </c>
      <c r="AG134" s="55" t="e">
        <f>+Tabla2[[#This Row],[Valor Comercial (S/.)]]/Tabla2[[#This Row],[Valor de Venta]]-1</f>
        <v>#REF!</v>
      </c>
    </row>
    <row r="135" spans="1:33" s="1" customFormat="1" ht="15" customHeight="1" x14ac:dyDescent="0.25">
      <c r="A135" s="60" t="s">
        <v>27</v>
      </c>
      <c r="B135" s="14">
        <v>1604</v>
      </c>
      <c r="C135" s="11">
        <v>16</v>
      </c>
      <c r="D135" s="15"/>
      <c r="E135" s="15"/>
      <c r="F135" s="51">
        <f>ROUND(Tabla2[[#This Row],[Área ocupada (m²)]]/20*1.4,2)</f>
        <v>4.5599999999999996</v>
      </c>
      <c r="G135" s="46">
        <v>65.2</v>
      </c>
      <c r="H135" s="46">
        <v>65.2</v>
      </c>
      <c r="I135" s="51">
        <f>ROUND(Tabla2[[#This Row],[Área techada (m²)]]*0.15,2)</f>
        <v>9.7799999999999994</v>
      </c>
      <c r="J135" s="47" t="s">
        <v>30</v>
      </c>
      <c r="K135" s="48">
        <v>199800</v>
      </c>
      <c r="L135" s="51">
        <f>ROUND(Tabla2[[#This Row],[Área ocupada (m²)3]]/20*1.4,2)</f>
        <v>4.5599999999999996</v>
      </c>
      <c r="M135" s="37">
        <f>ROUND(Tabla2[[#This Row],[Área ocupada (m²)]],2)</f>
        <v>65.2</v>
      </c>
      <c r="N135" s="37">
        <f>ROUND(Tabla2[[#This Row],[Área techada (m²)]],2)</f>
        <v>65.2</v>
      </c>
      <c r="O135" s="52">
        <f>ROUND(Tabla2[[#This Row],[Área techada (m²)4]]*0.15,2)</f>
        <v>9.7799999999999994</v>
      </c>
      <c r="P135" s="52">
        <f>ROUND(Tabla2[[#This Row],[Área del terreno (m²)2]]*[1]DATA!$A$2,-2)</f>
        <v>3200</v>
      </c>
      <c r="Q135" s="38" t="e">
        <f>+Tabla2[[#This Row],[Valor Comercial (US$)]]-Tabla2[[#This Row],[Valor del terreno (US$)]]</f>
        <v>#REF!</v>
      </c>
      <c r="R1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5" s="53" t="e">
        <f>ROUND(Tabla2[[#This Row],[Valor Comercial (US$)]]*0.8,-2)</f>
        <v>#REF!</v>
      </c>
      <c r="T135" s="53">
        <f>IF($H$6=$G$5,R135,ROUND(Tabla2[[#This Row],[Área techada (m²)4]]*[1]DATA!$B$2*1.15,-2))</f>
        <v>33700</v>
      </c>
      <c r="U135" s="6">
        <f t="shared" si="1"/>
        <v>3.5</v>
      </c>
      <c r="V135" s="39">
        <f>ROUND(Tabla2[[#This Row],[Valor del terreno (US$)]]*Tabla2[[#This Row],[Tipo de Cambio]],-2)</f>
        <v>11200</v>
      </c>
      <c r="W135" s="39" t="e">
        <f>Tabla2[[#This Row],[Valor Comercial (S/.)]]-Tabla2[[#This Row],[Valor del terreno (S/.)]]</f>
        <v>#REF!</v>
      </c>
      <c r="X135" s="39" t="e">
        <f>ROUND(Tabla2[[#This Row],[Valor Comercial (US$)]]*Tabla2[[#This Row],[Tipo de Cambio]],-2)</f>
        <v>#REF!</v>
      </c>
      <c r="Y135" s="39" t="e">
        <f>ROUND(Tabla2[[#This Row],[Valor Realización (US$)]]*Tabla2[[#This Row],[Tipo de Cambio]],-2)</f>
        <v>#REF!</v>
      </c>
      <c r="Z135" s="39">
        <f>+ROUND(Tabla2[[#This Row],[Importe Asegurable (US$)]]*Tabla2[[#This Row],[Tipo de Cambio]],-2)</f>
        <v>118000</v>
      </c>
      <c r="AA135" s="40"/>
      <c r="AB135" s="2" t="e">
        <f>+Tabla2[[#This Row],[Valor Comercial (US$)]]/Tabla2[[#This Row],[Área techada (m²)4]]</f>
        <v>#REF!</v>
      </c>
      <c r="AC1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5" s="61" t="s">
        <v>43</v>
      </c>
      <c r="AE135" s="54">
        <f>IF(Tabla2[[#This Row],[Moneda]]="Soles",Tabla2[[#This Row],[Valor de Venta]]/Tabla2[[#This Row],[Área techada (m²)]]/Tabla2[[#This Row],[Tipo de Cambio]],Tabla2[[#This Row],[Valor de Venta]]/Tabla2[[#This Row],[Área techada (m²)]])</f>
        <v>875.54776511831722</v>
      </c>
      <c r="AF135" s="43" t="e">
        <f>_xlfn.XLOOKUP(Tabla2[[#This Row],[VISTA]],[1]!Table1[Clase],[1]!Table1[VUE (USD)],0,0,1)</f>
        <v>#REF!</v>
      </c>
      <c r="AG135" s="55" t="e">
        <f>+Tabla2[[#This Row],[Valor Comercial (S/.)]]/Tabla2[[#This Row],[Valor de Venta]]-1</f>
        <v>#REF!</v>
      </c>
    </row>
    <row r="136" spans="1:33" s="1" customFormat="1" ht="15" customHeight="1" x14ac:dyDescent="0.25">
      <c r="A136" s="60" t="s">
        <v>27</v>
      </c>
      <c r="B136" s="14">
        <v>1605</v>
      </c>
      <c r="C136" s="11">
        <v>16</v>
      </c>
      <c r="D136" s="15"/>
      <c r="E136" s="15"/>
      <c r="F136" s="51">
        <f>ROUND(Tabla2[[#This Row],[Área ocupada (m²)]]/20*1.4,2)</f>
        <v>4.5599999999999996</v>
      </c>
      <c r="G136" s="46">
        <v>65.2</v>
      </c>
      <c r="H136" s="46">
        <v>65.2</v>
      </c>
      <c r="I136" s="51">
        <f>ROUND(Tabla2[[#This Row],[Área techada (m²)]]*0.15,2)</f>
        <v>9.7799999999999994</v>
      </c>
      <c r="J136" s="47" t="s">
        <v>30</v>
      </c>
      <c r="K136" s="48">
        <v>196800</v>
      </c>
      <c r="L136" s="51">
        <f>ROUND(Tabla2[[#This Row],[Área ocupada (m²)3]]/20*1.4,2)</f>
        <v>4.5599999999999996</v>
      </c>
      <c r="M136" s="37">
        <f>ROUND(Tabla2[[#This Row],[Área ocupada (m²)]],2)</f>
        <v>65.2</v>
      </c>
      <c r="N136" s="37">
        <f>ROUND(Tabla2[[#This Row],[Área techada (m²)]],2)</f>
        <v>65.2</v>
      </c>
      <c r="O136" s="52">
        <f>ROUND(Tabla2[[#This Row],[Área techada (m²)4]]*0.15,2)</f>
        <v>9.7799999999999994</v>
      </c>
      <c r="P136" s="52">
        <f>ROUND(Tabla2[[#This Row],[Área del terreno (m²)2]]*[1]DATA!$A$2,-2)</f>
        <v>3200</v>
      </c>
      <c r="Q136" s="38" t="e">
        <f>+Tabla2[[#This Row],[Valor Comercial (US$)]]-Tabla2[[#This Row],[Valor del terreno (US$)]]</f>
        <v>#REF!</v>
      </c>
      <c r="R1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6" s="53" t="e">
        <f>ROUND(Tabla2[[#This Row],[Valor Comercial (US$)]]*0.8,-2)</f>
        <v>#REF!</v>
      </c>
      <c r="T136" s="53">
        <f>IF($H$6=$G$5,R136,ROUND(Tabla2[[#This Row],[Área techada (m²)4]]*[1]DATA!$B$2*1.15,-2))</f>
        <v>33700</v>
      </c>
      <c r="U136" s="6">
        <f t="shared" si="1"/>
        <v>3.5</v>
      </c>
      <c r="V136" s="39">
        <f>ROUND(Tabla2[[#This Row],[Valor del terreno (US$)]]*Tabla2[[#This Row],[Tipo de Cambio]],-2)</f>
        <v>11200</v>
      </c>
      <c r="W136" s="39" t="e">
        <f>Tabla2[[#This Row],[Valor Comercial (S/.)]]-Tabla2[[#This Row],[Valor del terreno (S/.)]]</f>
        <v>#REF!</v>
      </c>
      <c r="X136" s="39" t="e">
        <f>ROUND(Tabla2[[#This Row],[Valor Comercial (US$)]]*Tabla2[[#This Row],[Tipo de Cambio]],-2)</f>
        <v>#REF!</v>
      </c>
      <c r="Y136" s="39" t="e">
        <f>ROUND(Tabla2[[#This Row],[Valor Realización (US$)]]*Tabla2[[#This Row],[Tipo de Cambio]],-2)</f>
        <v>#REF!</v>
      </c>
      <c r="Z136" s="39">
        <f>+ROUND(Tabla2[[#This Row],[Importe Asegurable (US$)]]*Tabla2[[#This Row],[Tipo de Cambio]],-2)</f>
        <v>118000</v>
      </c>
      <c r="AA136" s="40"/>
      <c r="AB136" s="2" t="e">
        <f>+Tabla2[[#This Row],[Valor Comercial (US$)]]/Tabla2[[#This Row],[Área techada (m²)4]]</f>
        <v>#REF!</v>
      </c>
      <c r="AC1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6" s="61" t="s">
        <v>43</v>
      </c>
      <c r="AE136" s="54">
        <f>IF(Tabla2[[#This Row],[Moneda]]="Soles",Tabla2[[#This Row],[Valor de Venta]]/Tabla2[[#This Row],[Área techada (m²)]]/Tabla2[[#This Row],[Tipo de Cambio]],Tabla2[[#This Row],[Valor de Venta]]/Tabla2[[#This Row],[Área techada (m²)]])</f>
        <v>862.4014022787029</v>
      </c>
      <c r="AF136" s="43" t="e">
        <f>_xlfn.XLOOKUP(Tabla2[[#This Row],[VISTA]],[1]!Table1[Clase],[1]!Table1[VUE (USD)],0,0,1)</f>
        <v>#REF!</v>
      </c>
      <c r="AG136" s="55" t="e">
        <f>+Tabla2[[#This Row],[Valor Comercial (S/.)]]/Tabla2[[#This Row],[Valor de Venta]]-1</f>
        <v>#REF!</v>
      </c>
    </row>
    <row r="137" spans="1:33" s="1" customFormat="1" ht="15" customHeight="1" x14ac:dyDescent="0.25">
      <c r="A137" s="60" t="s">
        <v>27</v>
      </c>
      <c r="B137" s="14">
        <v>1606</v>
      </c>
      <c r="C137" s="11">
        <v>16</v>
      </c>
      <c r="D137" s="15"/>
      <c r="E137" s="15"/>
      <c r="F137" s="51">
        <f>ROUND(Tabla2[[#This Row],[Área ocupada (m²)]]/20*1.4,2)</f>
        <v>4.38</v>
      </c>
      <c r="G137" s="46">
        <v>62.5</v>
      </c>
      <c r="H137" s="46">
        <v>62.5</v>
      </c>
      <c r="I137" s="51">
        <f>ROUND(Tabla2[[#This Row],[Área techada (m²)]]*0.15,2)</f>
        <v>9.3800000000000008</v>
      </c>
      <c r="J137" s="47" t="s">
        <v>30</v>
      </c>
      <c r="K137" s="48">
        <v>182100</v>
      </c>
      <c r="L137" s="51">
        <f>ROUND(Tabla2[[#This Row],[Área ocupada (m²)3]]/20*1.4,2)</f>
        <v>4.38</v>
      </c>
      <c r="M137" s="37">
        <f>ROUND(Tabla2[[#This Row],[Área ocupada (m²)]],2)</f>
        <v>62.5</v>
      </c>
      <c r="N137" s="37">
        <f>ROUND(Tabla2[[#This Row],[Área techada (m²)]],2)</f>
        <v>62.5</v>
      </c>
      <c r="O137" s="52">
        <f>ROUND(Tabla2[[#This Row],[Área techada (m²)4]]*0.15,2)</f>
        <v>9.3800000000000008</v>
      </c>
      <c r="P137" s="52">
        <f>ROUND(Tabla2[[#This Row],[Área del terreno (m²)2]]*[1]DATA!$A$2,-2)</f>
        <v>3100</v>
      </c>
      <c r="Q137" s="38" t="e">
        <f>+Tabla2[[#This Row],[Valor Comercial (US$)]]-Tabla2[[#This Row],[Valor del terreno (US$)]]</f>
        <v>#REF!</v>
      </c>
      <c r="R1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7" s="53" t="e">
        <f>ROUND(Tabla2[[#This Row],[Valor Comercial (US$)]]*0.8,-2)</f>
        <v>#REF!</v>
      </c>
      <c r="T137" s="53">
        <f>IF($H$6=$G$5,R137,ROUND(Tabla2[[#This Row],[Área techada (m²)4]]*[1]DATA!$B$2*1.15,-2))</f>
        <v>32300</v>
      </c>
      <c r="U137" s="6">
        <f t="shared" si="1"/>
        <v>3.5</v>
      </c>
      <c r="V137" s="39">
        <f>ROUND(Tabla2[[#This Row],[Valor del terreno (US$)]]*Tabla2[[#This Row],[Tipo de Cambio]],-2)</f>
        <v>10900</v>
      </c>
      <c r="W137" s="39" t="e">
        <f>Tabla2[[#This Row],[Valor Comercial (S/.)]]-Tabla2[[#This Row],[Valor del terreno (S/.)]]</f>
        <v>#REF!</v>
      </c>
      <c r="X137" s="39" t="e">
        <f>ROUND(Tabla2[[#This Row],[Valor Comercial (US$)]]*Tabla2[[#This Row],[Tipo de Cambio]],-2)</f>
        <v>#REF!</v>
      </c>
      <c r="Y137" s="39" t="e">
        <f>ROUND(Tabla2[[#This Row],[Valor Realización (US$)]]*Tabla2[[#This Row],[Tipo de Cambio]],-2)</f>
        <v>#REF!</v>
      </c>
      <c r="Z137" s="39">
        <f>+ROUND(Tabla2[[#This Row],[Importe Asegurable (US$)]]*Tabla2[[#This Row],[Tipo de Cambio]],-2)</f>
        <v>113100</v>
      </c>
      <c r="AA137" s="40"/>
      <c r="AB137" s="2" t="e">
        <f>+Tabla2[[#This Row],[Valor Comercial (US$)]]/Tabla2[[#This Row],[Área techada (m²)4]]</f>
        <v>#REF!</v>
      </c>
      <c r="AC1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7" s="61" t="s">
        <v>44</v>
      </c>
      <c r="AE137" s="54">
        <f>IF(Tabla2[[#This Row],[Moneda]]="Soles",Tabla2[[#This Row],[Valor de Venta]]/Tabla2[[#This Row],[Área techada (m²)]]/Tabla2[[#This Row],[Tipo de Cambio]],Tabla2[[#This Row],[Valor de Venta]]/Tabla2[[#This Row],[Área techada (m²)]])</f>
        <v>832.4571428571428</v>
      </c>
      <c r="AF137" s="43" t="e">
        <f>_xlfn.XLOOKUP(Tabla2[[#This Row],[VISTA]],[1]!Table1[Clase],[1]!Table1[VUE (USD)],0,0,1)</f>
        <v>#REF!</v>
      </c>
      <c r="AG137" s="55" t="e">
        <f>+Tabla2[[#This Row],[Valor Comercial (S/.)]]/Tabla2[[#This Row],[Valor de Venta]]-1</f>
        <v>#REF!</v>
      </c>
    </row>
    <row r="138" spans="1:33" s="1" customFormat="1" ht="15" customHeight="1" x14ac:dyDescent="0.25">
      <c r="A138" s="60" t="s">
        <v>27</v>
      </c>
      <c r="B138" s="14">
        <v>1607</v>
      </c>
      <c r="C138" s="11">
        <v>16</v>
      </c>
      <c r="D138" s="15"/>
      <c r="E138" s="15"/>
      <c r="F138" s="51">
        <f>ROUND(Tabla2[[#This Row],[Área ocupada (m²)]]/20*1.4,2)</f>
        <v>4.38</v>
      </c>
      <c r="G138" s="46">
        <v>62.5</v>
      </c>
      <c r="H138" s="46">
        <v>62.5</v>
      </c>
      <c r="I138" s="51">
        <f>ROUND(Tabla2[[#This Row],[Área techada (m²)]]*0.15,2)</f>
        <v>9.3800000000000008</v>
      </c>
      <c r="J138" s="47" t="s">
        <v>30</v>
      </c>
      <c r="K138" s="48">
        <v>177100</v>
      </c>
      <c r="L138" s="51">
        <f>ROUND(Tabla2[[#This Row],[Área ocupada (m²)3]]/20*1.4,2)</f>
        <v>4.38</v>
      </c>
      <c r="M138" s="37">
        <f>ROUND(Tabla2[[#This Row],[Área ocupada (m²)]],2)</f>
        <v>62.5</v>
      </c>
      <c r="N138" s="37">
        <f>ROUND(Tabla2[[#This Row],[Área techada (m²)]],2)</f>
        <v>62.5</v>
      </c>
      <c r="O138" s="52">
        <f>ROUND(Tabla2[[#This Row],[Área techada (m²)4]]*0.15,2)</f>
        <v>9.3800000000000008</v>
      </c>
      <c r="P138" s="52">
        <f>ROUND(Tabla2[[#This Row],[Área del terreno (m²)2]]*[1]DATA!$A$2,-2)</f>
        <v>3100</v>
      </c>
      <c r="Q138" s="38" t="e">
        <f>+Tabla2[[#This Row],[Valor Comercial (US$)]]-Tabla2[[#This Row],[Valor del terreno (US$)]]</f>
        <v>#REF!</v>
      </c>
      <c r="R13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8" s="53" t="e">
        <f>ROUND(Tabla2[[#This Row],[Valor Comercial (US$)]]*0.8,-2)</f>
        <v>#REF!</v>
      </c>
      <c r="T138" s="53">
        <f>IF($H$6=$G$5,R138,ROUND(Tabla2[[#This Row],[Área techada (m²)4]]*[1]DATA!$B$2*1.15,-2))</f>
        <v>32300</v>
      </c>
      <c r="U138" s="6">
        <f t="shared" si="1"/>
        <v>3.5</v>
      </c>
      <c r="V138" s="39">
        <f>ROUND(Tabla2[[#This Row],[Valor del terreno (US$)]]*Tabla2[[#This Row],[Tipo de Cambio]],-2)</f>
        <v>10900</v>
      </c>
      <c r="W138" s="39" t="e">
        <f>Tabla2[[#This Row],[Valor Comercial (S/.)]]-Tabla2[[#This Row],[Valor del terreno (S/.)]]</f>
        <v>#REF!</v>
      </c>
      <c r="X138" s="39" t="e">
        <f>ROUND(Tabla2[[#This Row],[Valor Comercial (US$)]]*Tabla2[[#This Row],[Tipo de Cambio]],-2)</f>
        <v>#REF!</v>
      </c>
      <c r="Y138" s="39" t="e">
        <f>ROUND(Tabla2[[#This Row],[Valor Realización (US$)]]*Tabla2[[#This Row],[Tipo de Cambio]],-2)</f>
        <v>#REF!</v>
      </c>
      <c r="Z138" s="39">
        <f>+ROUND(Tabla2[[#This Row],[Importe Asegurable (US$)]]*Tabla2[[#This Row],[Tipo de Cambio]],-2)</f>
        <v>113100</v>
      </c>
      <c r="AA138" s="40"/>
      <c r="AB138" s="2" t="e">
        <f>+Tabla2[[#This Row],[Valor Comercial (US$)]]/Tabla2[[#This Row],[Área techada (m²)4]]</f>
        <v>#REF!</v>
      </c>
      <c r="AC13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8" s="61" t="s">
        <v>44</v>
      </c>
      <c r="AE138" s="54">
        <f>IF(Tabla2[[#This Row],[Moneda]]="Soles",Tabla2[[#This Row],[Valor de Venta]]/Tabla2[[#This Row],[Área techada (m²)]]/Tabla2[[#This Row],[Tipo de Cambio]],Tabla2[[#This Row],[Valor de Venta]]/Tabla2[[#This Row],[Área techada (m²)]])</f>
        <v>809.6</v>
      </c>
      <c r="AF138" s="43" t="e">
        <f>_xlfn.XLOOKUP(Tabla2[[#This Row],[VISTA]],[1]!Table1[Clase],[1]!Table1[VUE (USD)],0,0,1)</f>
        <v>#REF!</v>
      </c>
      <c r="AG138" s="55" t="e">
        <f>+Tabla2[[#This Row],[Valor Comercial (S/.)]]/Tabla2[[#This Row],[Valor de Venta]]-1</f>
        <v>#REF!</v>
      </c>
    </row>
    <row r="139" spans="1:33" s="1" customFormat="1" ht="15" customHeight="1" x14ac:dyDescent="0.25">
      <c r="A139" s="60" t="s">
        <v>27</v>
      </c>
      <c r="B139" s="14">
        <v>1608</v>
      </c>
      <c r="C139" s="11">
        <v>16</v>
      </c>
      <c r="D139" s="15"/>
      <c r="E139" s="15"/>
      <c r="F139" s="51">
        <f>ROUND(Tabla2[[#This Row],[Área ocupada (m²)]]/20*1.4,2)</f>
        <v>4.5599999999999996</v>
      </c>
      <c r="G139" s="46">
        <v>65.2</v>
      </c>
      <c r="H139" s="46">
        <v>65.2</v>
      </c>
      <c r="I139" s="51">
        <f>ROUND(Tabla2[[#This Row],[Área techada (m²)]]*0.15,2)</f>
        <v>9.7799999999999994</v>
      </c>
      <c r="J139" s="47" t="s">
        <v>30</v>
      </c>
      <c r="K139" s="48">
        <v>192800</v>
      </c>
      <c r="L139" s="51">
        <f>ROUND(Tabla2[[#This Row],[Área ocupada (m²)3]]/20*1.4,2)</f>
        <v>4.5599999999999996</v>
      </c>
      <c r="M139" s="37">
        <f>ROUND(Tabla2[[#This Row],[Área ocupada (m²)]],2)</f>
        <v>65.2</v>
      </c>
      <c r="N139" s="37">
        <f>ROUND(Tabla2[[#This Row],[Área techada (m²)]],2)</f>
        <v>65.2</v>
      </c>
      <c r="O139" s="52">
        <f>ROUND(Tabla2[[#This Row],[Área techada (m²)4]]*0.15,2)</f>
        <v>9.7799999999999994</v>
      </c>
      <c r="P139" s="52">
        <f>ROUND(Tabla2[[#This Row],[Área del terreno (m²)2]]*[1]DATA!$A$2,-2)</f>
        <v>3200</v>
      </c>
      <c r="Q139" s="38" t="e">
        <f>+Tabla2[[#This Row],[Valor Comercial (US$)]]-Tabla2[[#This Row],[Valor del terreno (US$)]]</f>
        <v>#REF!</v>
      </c>
      <c r="R13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9" s="53" t="e">
        <f>ROUND(Tabla2[[#This Row],[Valor Comercial (US$)]]*0.8,-2)</f>
        <v>#REF!</v>
      </c>
      <c r="T139" s="53">
        <f>IF($H$6=$G$5,R139,ROUND(Tabla2[[#This Row],[Área techada (m²)4]]*[1]DATA!$B$2*1.15,-2))</f>
        <v>33700</v>
      </c>
      <c r="U139" s="6">
        <f t="shared" si="1"/>
        <v>3.5</v>
      </c>
      <c r="V139" s="39">
        <f>ROUND(Tabla2[[#This Row],[Valor del terreno (US$)]]*Tabla2[[#This Row],[Tipo de Cambio]],-2)</f>
        <v>11200</v>
      </c>
      <c r="W139" s="39" t="e">
        <f>Tabla2[[#This Row],[Valor Comercial (S/.)]]-Tabla2[[#This Row],[Valor del terreno (S/.)]]</f>
        <v>#REF!</v>
      </c>
      <c r="X139" s="39" t="e">
        <f>ROUND(Tabla2[[#This Row],[Valor Comercial (US$)]]*Tabla2[[#This Row],[Tipo de Cambio]],-2)</f>
        <v>#REF!</v>
      </c>
      <c r="Y139" s="39" t="e">
        <f>ROUND(Tabla2[[#This Row],[Valor Realización (US$)]]*Tabla2[[#This Row],[Tipo de Cambio]],-2)</f>
        <v>#REF!</v>
      </c>
      <c r="Z139" s="39">
        <f>+ROUND(Tabla2[[#This Row],[Importe Asegurable (US$)]]*Tabla2[[#This Row],[Tipo de Cambio]],-2)</f>
        <v>118000</v>
      </c>
      <c r="AA139" s="40"/>
      <c r="AB139" s="2" t="e">
        <f>+Tabla2[[#This Row],[Valor Comercial (US$)]]/Tabla2[[#This Row],[Área techada (m²)4]]</f>
        <v>#REF!</v>
      </c>
      <c r="AC13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9" s="61" t="s">
        <v>43</v>
      </c>
      <c r="AE139" s="54">
        <f>IF(Tabla2[[#This Row],[Moneda]]="Soles",Tabla2[[#This Row],[Valor de Venta]]/Tabla2[[#This Row],[Área techada (m²)]]/Tabla2[[#This Row],[Tipo de Cambio]],Tabla2[[#This Row],[Valor de Venta]]/Tabla2[[#This Row],[Área techada (m²)]])</f>
        <v>844.87291849255041</v>
      </c>
      <c r="AF139" s="43" t="e">
        <f>_xlfn.XLOOKUP(Tabla2[[#This Row],[VISTA]],[1]!Table1[Clase],[1]!Table1[VUE (USD)],0,0,1)</f>
        <v>#REF!</v>
      </c>
      <c r="AG139" s="55" t="e">
        <f>+Tabla2[[#This Row],[Valor Comercial (S/.)]]/Tabla2[[#This Row],[Valor de Venta]]-1</f>
        <v>#REF!</v>
      </c>
    </row>
    <row r="140" spans="1:33" s="1" customFormat="1" ht="15" customHeight="1" x14ac:dyDescent="0.25">
      <c r="A140" s="60" t="s">
        <v>27</v>
      </c>
      <c r="B140" s="14">
        <v>1701</v>
      </c>
      <c r="C140" s="11">
        <v>17</v>
      </c>
      <c r="D140" s="15"/>
      <c r="E140" s="15"/>
      <c r="F140" s="51">
        <f>ROUND(Tabla2[[#This Row],[Área ocupada (m²)]]/20*1.4,2)</f>
        <v>4.5599999999999996</v>
      </c>
      <c r="G140" s="46">
        <v>65.2</v>
      </c>
      <c r="H140" s="46">
        <v>65.2</v>
      </c>
      <c r="I140" s="51">
        <f>ROUND(Tabla2[[#This Row],[Área techada (m²)]]*0.15,2)</f>
        <v>9.7799999999999994</v>
      </c>
      <c r="J140" s="47" t="s">
        <v>30</v>
      </c>
      <c r="K140" s="48">
        <v>187000</v>
      </c>
      <c r="L140" s="51">
        <f>ROUND(Tabla2[[#This Row],[Área ocupada (m²)3]]/20*1.4,2)</f>
        <v>4.5599999999999996</v>
      </c>
      <c r="M140" s="37">
        <f>ROUND(Tabla2[[#This Row],[Área ocupada (m²)]],2)</f>
        <v>65.2</v>
      </c>
      <c r="N140" s="37">
        <f>ROUND(Tabla2[[#This Row],[Área techada (m²)]],2)</f>
        <v>65.2</v>
      </c>
      <c r="O140" s="52">
        <f>ROUND(Tabla2[[#This Row],[Área techada (m²)4]]*0.15,2)</f>
        <v>9.7799999999999994</v>
      </c>
      <c r="P140" s="52">
        <f>ROUND(Tabla2[[#This Row],[Área del terreno (m²)2]]*[1]DATA!$A$2,-2)</f>
        <v>3200</v>
      </c>
      <c r="Q140" s="38" t="e">
        <f>+Tabla2[[#This Row],[Valor Comercial (US$)]]-Tabla2[[#This Row],[Valor del terreno (US$)]]</f>
        <v>#REF!</v>
      </c>
      <c r="R14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0" s="53" t="e">
        <f>ROUND(Tabla2[[#This Row],[Valor Comercial (US$)]]*0.8,-2)</f>
        <v>#REF!</v>
      </c>
      <c r="T140" s="53">
        <f>IF($H$6=$G$5,R140,ROUND(Tabla2[[#This Row],[Área techada (m²)4]]*[1]DATA!$B$2*1.15,-2))</f>
        <v>33700</v>
      </c>
      <c r="U140" s="6">
        <f t="shared" si="1"/>
        <v>3.5</v>
      </c>
      <c r="V140" s="39">
        <f>ROUND(Tabla2[[#This Row],[Valor del terreno (US$)]]*Tabla2[[#This Row],[Tipo de Cambio]],-2)</f>
        <v>11200</v>
      </c>
      <c r="W140" s="39" t="e">
        <f>Tabla2[[#This Row],[Valor Comercial (S/.)]]-Tabla2[[#This Row],[Valor del terreno (S/.)]]</f>
        <v>#REF!</v>
      </c>
      <c r="X140" s="39" t="e">
        <f>ROUND(Tabla2[[#This Row],[Valor Comercial (US$)]]*Tabla2[[#This Row],[Tipo de Cambio]],-2)</f>
        <v>#REF!</v>
      </c>
      <c r="Y140" s="39" t="e">
        <f>ROUND(Tabla2[[#This Row],[Valor Realización (US$)]]*Tabla2[[#This Row],[Tipo de Cambio]],-2)</f>
        <v>#REF!</v>
      </c>
      <c r="Z140" s="39">
        <f>+ROUND(Tabla2[[#This Row],[Importe Asegurable (US$)]]*Tabla2[[#This Row],[Tipo de Cambio]],-2)</f>
        <v>118000</v>
      </c>
      <c r="AA140" s="40"/>
      <c r="AB140" s="2" t="e">
        <f>+Tabla2[[#This Row],[Valor Comercial (US$)]]/Tabla2[[#This Row],[Área techada (m²)4]]</f>
        <v>#REF!</v>
      </c>
      <c r="AC14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0" s="61" t="s">
        <v>44</v>
      </c>
      <c r="AE140" s="54">
        <f>IF(Tabla2[[#This Row],[Moneda]]="Soles",Tabla2[[#This Row],[Valor de Venta]]/Tabla2[[#This Row],[Área techada (m²)]]/Tabla2[[#This Row],[Tipo de Cambio]],Tabla2[[#This Row],[Valor de Venta]]/Tabla2[[#This Row],[Área techada (m²)]])</f>
        <v>819.45661700262917</v>
      </c>
      <c r="AF140" s="43" t="e">
        <f>_xlfn.XLOOKUP(Tabla2[[#This Row],[VISTA]],[1]!Table1[Clase],[1]!Table1[VUE (USD)],0,0,1)</f>
        <v>#REF!</v>
      </c>
      <c r="AG140" s="55" t="e">
        <f>+Tabla2[[#This Row],[Valor Comercial (S/.)]]/Tabla2[[#This Row],[Valor de Venta]]-1</f>
        <v>#REF!</v>
      </c>
    </row>
    <row r="141" spans="1:33" s="1" customFormat="1" ht="15" customHeight="1" x14ac:dyDescent="0.25">
      <c r="A141" s="60" t="s">
        <v>27</v>
      </c>
      <c r="B141" s="14">
        <v>1702</v>
      </c>
      <c r="C141" s="11">
        <v>17</v>
      </c>
      <c r="D141" s="15"/>
      <c r="E141" s="15"/>
      <c r="F141" s="51">
        <f>ROUND(Tabla2[[#This Row],[Área ocupada (m²)]]/20*1.4,2)</f>
        <v>4.38</v>
      </c>
      <c r="G141" s="46">
        <v>62.5</v>
      </c>
      <c r="H141" s="46">
        <v>62.5</v>
      </c>
      <c r="I141" s="51">
        <f>ROUND(Tabla2[[#This Row],[Área techada (m²)]]*0.15,2)</f>
        <v>9.3800000000000008</v>
      </c>
      <c r="J141" s="47" t="s">
        <v>30</v>
      </c>
      <c r="K141" s="48">
        <v>174300</v>
      </c>
      <c r="L141" s="51">
        <f>ROUND(Tabla2[[#This Row],[Área ocupada (m²)3]]/20*1.4,2)</f>
        <v>4.38</v>
      </c>
      <c r="M141" s="37">
        <f>ROUND(Tabla2[[#This Row],[Área ocupada (m²)]],2)</f>
        <v>62.5</v>
      </c>
      <c r="N141" s="37">
        <f>ROUND(Tabla2[[#This Row],[Área techada (m²)]],2)</f>
        <v>62.5</v>
      </c>
      <c r="O141" s="52">
        <f>ROUND(Tabla2[[#This Row],[Área techada (m²)4]]*0.15,2)</f>
        <v>9.3800000000000008</v>
      </c>
      <c r="P141" s="52">
        <f>ROUND(Tabla2[[#This Row],[Área del terreno (m²)2]]*[1]DATA!$A$2,-2)</f>
        <v>3100</v>
      </c>
      <c r="Q141" s="38" t="e">
        <f>+Tabla2[[#This Row],[Valor Comercial (US$)]]-Tabla2[[#This Row],[Valor del terreno (US$)]]</f>
        <v>#REF!</v>
      </c>
      <c r="R14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1" s="53" t="e">
        <f>ROUND(Tabla2[[#This Row],[Valor Comercial (US$)]]*0.8,-2)</f>
        <v>#REF!</v>
      </c>
      <c r="T141" s="53">
        <f>IF($H$6=$G$5,R141,ROUND(Tabla2[[#This Row],[Área techada (m²)4]]*[1]DATA!$B$2*1.15,-2))</f>
        <v>32300</v>
      </c>
      <c r="U141" s="6">
        <f t="shared" ref="U141:U204" si="2">+$G$8</f>
        <v>3.5</v>
      </c>
      <c r="V141" s="39">
        <f>ROUND(Tabla2[[#This Row],[Valor del terreno (US$)]]*Tabla2[[#This Row],[Tipo de Cambio]],-2)</f>
        <v>10900</v>
      </c>
      <c r="W141" s="39" t="e">
        <f>Tabla2[[#This Row],[Valor Comercial (S/.)]]-Tabla2[[#This Row],[Valor del terreno (S/.)]]</f>
        <v>#REF!</v>
      </c>
      <c r="X141" s="39" t="e">
        <f>ROUND(Tabla2[[#This Row],[Valor Comercial (US$)]]*Tabla2[[#This Row],[Tipo de Cambio]],-2)</f>
        <v>#REF!</v>
      </c>
      <c r="Y141" s="39" t="e">
        <f>ROUND(Tabla2[[#This Row],[Valor Realización (US$)]]*Tabla2[[#This Row],[Tipo de Cambio]],-2)</f>
        <v>#REF!</v>
      </c>
      <c r="Z141" s="39">
        <f>+ROUND(Tabla2[[#This Row],[Importe Asegurable (US$)]]*Tabla2[[#This Row],[Tipo de Cambio]],-2)</f>
        <v>113100</v>
      </c>
      <c r="AA141" s="40"/>
      <c r="AB141" s="2" t="e">
        <f>+Tabla2[[#This Row],[Valor Comercial (US$)]]/Tabla2[[#This Row],[Área techada (m²)4]]</f>
        <v>#REF!</v>
      </c>
      <c r="AC14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1" s="61" t="s">
        <v>44</v>
      </c>
      <c r="AE141" s="54">
        <f>IF(Tabla2[[#This Row],[Moneda]]="Soles",Tabla2[[#This Row],[Valor de Venta]]/Tabla2[[#This Row],[Área techada (m²)]]/Tabla2[[#This Row],[Tipo de Cambio]],Tabla2[[#This Row],[Valor de Venta]]/Tabla2[[#This Row],[Área techada (m²)]])</f>
        <v>796.80000000000007</v>
      </c>
      <c r="AF141" s="43" t="e">
        <f>_xlfn.XLOOKUP(Tabla2[[#This Row],[VISTA]],[1]!Table1[Clase],[1]!Table1[VUE (USD)],0,0,1)</f>
        <v>#REF!</v>
      </c>
      <c r="AG141" s="55" t="e">
        <f>+Tabla2[[#This Row],[Valor Comercial (S/.)]]/Tabla2[[#This Row],[Valor de Venta]]-1</f>
        <v>#REF!</v>
      </c>
    </row>
    <row r="142" spans="1:33" s="1" customFormat="1" ht="15" customHeight="1" x14ac:dyDescent="0.25">
      <c r="A142" s="60" t="s">
        <v>27</v>
      </c>
      <c r="B142" s="14">
        <v>1703</v>
      </c>
      <c r="C142" s="11">
        <v>17</v>
      </c>
      <c r="D142" s="15"/>
      <c r="E142" s="15"/>
      <c r="F142" s="51">
        <f>ROUND(Tabla2[[#This Row],[Área ocupada (m²)]]/20*1.4,2)</f>
        <v>4.38</v>
      </c>
      <c r="G142" s="46">
        <v>62.5</v>
      </c>
      <c r="H142" s="46">
        <v>62.5</v>
      </c>
      <c r="I142" s="51">
        <f>ROUND(Tabla2[[#This Row],[Área techada (m²)]]*0.15,2)</f>
        <v>9.3800000000000008</v>
      </c>
      <c r="J142" s="47" t="s">
        <v>30</v>
      </c>
      <c r="K142" s="48">
        <v>180300</v>
      </c>
      <c r="L142" s="51">
        <f>ROUND(Tabla2[[#This Row],[Área ocupada (m²)3]]/20*1.4,2)</f>
        <v>4.38</v>
      </c>
      <c r="M142" s="37">
        <f>ROUND(Tabla2[[#This Row],[Área ocupada (m²)]],2)</f>
        <v>62.5</v>
      </c>
      <c r="N142" s="37">
        <f>ROUND(Tabla2[[#This Row],[Área techada (m²)]],2)</f>
        <v>62.5</v>
      </c>
      <c r="O142" s="52">
        <f>ROUND(Tabla2[[#This Row],[Área techada (m²)4]]*0.15,2)</f>
        <v>9.3800000000000008</v>
      </c>
      <c r="P142" s="52">
        <f>ROUND(Tabla2[[#This Row],[Área del terreno (m²)2]]*[1]DATA!$A$2,-2)</f>
        <v>3100</v>
      </c>
      <c r="Q142" s="38" t="e">
        <f>+Tabla2[[#This Row],[Valor Comercial (US$)]]-Tabla2[[#This Row],[Valor del terreno (US$)]]</f>
        <v>#REF!</v>
      </c>
      <c r="R14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2" s="53" t="e">
        <f>ROUND(Tabla2[[#This Row],[Valor Comercial (US$)]]*0.8,-2)</f>
        <v>#REF!</v>
      </c>
      <c r="T142" s="53">
        <f>IF($H$6=$G$5,R142,ROUND(Tabla2[[#This Row],[Área techada (m²)4]]*[1]DATA!$B$2*1.15,-2))</f>
        <v>32300</v>
      </c>
      <c r="U142" s="6">
        <f t="shared" si="2"/>
        <v>3.5</v>
      </c>
      <c r="V142" s="39">
        <f>ROUND(Tabla2[[#This Row],[Valor del terreno (US$)]]*Tabla2[[#This Row],[Tipo de Cambio]],-2)</f>
        <v>10900</v>
      </c>
      <c r="W142" s="39" t="e">
        <f>Tabla2[[#This Row],[Valor Comercial (S/.)]]-Tabla2[[#This Row],[Valor del terreno (S/.)]]</f>
        <v>#REF!</v>
      </c>
      <c r="X142" s="39" t="e">
        <f>ROUND(Tabla2[[#This Row],[Valor Comercial (US$)]]*Tabla2[[#This Row],[Tipo de Cambio]],-2)</f>
        <v>#REF!</v>
      </c>
      <c r="Y142" s="39" t="e">
        <f>ROUND(Tabla2[[#This Row],[Valor Realización (US$)]]*Tabla2[[#This Row],[Tipo de Cambio]],-2)</f>
        <v>#REF!</v>
      </c>
      <c r="Z142" s="39">
        <f>+ROUND(Tabla2[[#This Row],[Importe Asegurable (US$)]]*Tabla2[[#This Row],[Tipo de Cambio]],-2)</f>
        <v>113100</v>
      </c>
      <c r="AA142" s="40"/>
      <c r="AB142" s="2" t="e">
        <f>+Tabla2[[#This Row],[Valor Comercial (US$)]]/Tabla2[[#This Row],[Área techada (m²)4]]</f>
        <v>#REF!</v>
      </c>
      <c r="AC14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2" s="61" t="s">
        <v>44</v>
      </c>
      <c r="AE142" s="54">
        <f>IF(Tabla2[[#This Row],[Moneda]]="Soles",Tabla2[[#This Row],[Valor de Venta]]/Tabla2[[#This Row],[Área techada (m²)]]/Tabla2[[#This Row],[Tipo de Cambio]],Tabla2[[#This Row],[Valor de Venta]]/Tabla2[[#This Row],[Área techada (m²)]])</f>
        <v>824.22857142857151</v>
      </c>
      <c r="AF142" s="43" t="e">
        <f>_xlfn.XLOOKUP(Tabla2[[#This Row],[VISTA]],[1]!Table1[Clase],[1]!Table1[VUE (USD)],0,0,1)</f>
        <v>#REF!</v>
      </c>
      <c r="AG142" s="55" t="e">
        <f>+Tabla2[[#This Row],[Valor Comercial (S/.)]]/Tabla2[[#This Row],[Valor de Venta]]-1</f>
        <v>#REF!</v>
      </c>
    </row>
    <row r="143" spans="1:33" s="1" customFormat="1" ht="15" customHeight="1" x14ac:dyDescent="0.25">
      <c r="A143" s="60" t="s">
        <v>27</v>
      </c>
      <c r="B143" s="14">
        <v>1704</v>
      </c>
      <c r="C143" s="11">
        <v>17</v>
      </c>
      <c r="D143" s="15"/>
      <c r="E143" s="15"/>
      <c r="F143" s="51">
        <f>ROUND(Tabla2[[#This Row],[Área ocupada (m²)]]/20*1.4,2)</f>
        <v>4.5599999999999996</v>
      </c>
      <c r="G143" s="46">
        <v>65.2</v>
      </c>
      <c r="H143" s="46">
        <v>65.2</v>
      </c>
      <c r="I143" s="51">
        <f>ROUND(Tabla2[[#This Row],[Área techada (m²)]]*0.15,2)</f>
        <v>9.7799999999999994</v>
      </c>
      <c r="J143" s="47" t="s">
        <v>30</v>
      </c>
      <c r="K143" s="48">
        <v>198000</v>
      </c>
      <c r="L143" s="51">
        <f>ROUND(Tabla2[[#This Row],[Área ocupada (m²)3]]/20*1.4,2)</f>
        <v>4.5599999999999996</v>
      </c>
      <c r="M143" s="37">
        <f>ROUND(Tabla2[[#This Row],[Área ocupada (m²)]],2)</f>
        <v>65.2</v>
      </c>
      <c r="N143" s="37">
        <f>ROUND(Tabla2[[#This Row],[Área techada (m²)]],2)</f>
        <v>65.2</v>
      </c>
      <c r="O143" s="52">
        <f>ROUND(Tabla2[[#This Row],[Área techada (m²)4]]*0.15,2)</f>
        <v>9.7799999999999994</v>
      </c>
      <c r="P143" s="52">
        <f>ROUND(Tabla2[[#This Row],[Área del terreno (m²)2]]*[1]DATA!$A$2,-2)</f>
        <v>3200</v>
      </c>
      <c r="Q143" s="38" t="e">
        <f>+Tabla2[[#This Row],[Valor Comercial (US$)]]-Tabla2[[#This Row],[Valor del terreno (US$)]]</f>
        <v>#REF!</v>
      </c>
      <c r="R14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3" s="53" t="e">
        <f>ROUND(Tabla2[[#This Row],[Valor Comercial (US$)]]*0.8,-2)</f>
        <v>#REF!</v>
      </c>
      <c r="T143" s="53">
        <f>IF($H$6=$G$5,R143,ROUND(Tabla2[[#This Row],[Área techada (m²)4]]*[1]DATA!$B$2*1.15,-2))</f>
        <v>33700</v>
      </c>
      <c r="U143" s="6">
        <f t="shared" si="2"/>
        <v>3.5</v>
      </c>
      <c r="V143" s="39">
        <f>ROUND(Tabla2[[#This Row],[Valor del terreno (US$)]]*Tabla2[[#This Row],[Tipo de Cambio]],-2)</f>
        <v>11200</v>
      </c>
      <c r="W143" s="39" t="e">
        <f>Tabla2[[#This Row],[Valor Comercial (S/.)]]-Tabla2[[#This Row],[Valor del terreno (S/.)]]</f>
        <v>#REF!</v>
      </c>
      <c r="X143" s="39" t="e">
        <f>ROUND(Tabla2[[#This Row],[Valor Comercial (US$)]]*Tabla2[[#This Row],[Tipo de Cambio]],-2)</f>
        <v>#REF!</v>
      </c>
      <c r="Y143" s="39" t="e">
        <f>ROUND(Tabla2[[#This Row],[Valor Realización (US$)]]*Tabla2[[#This Row],[Tipo de Cambio]],-2)</f>
        <v>#REF!</v>
      </c>
      <c r="Z143" s="39">
        <f>+ROUND(Tabla2[[#This Row],[Importe Asegurable (US$)]]*Tabla2[[#This Row],[Tipo de Cambio]],-2)</f>
        <v>118000</v>
      </c>
      <c r="AA143" s="40"/>
      <c r="AB143" s="2" t="e">
        <f>+Tabla2[[#This Row],[Valor Comercial (US$)]]/Tabla2[[#This Row],[Área techada (m²)4]]</f>
        <v>#REF!</v>
      </c>
      <c r="AC14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3" s="61" t="s">
        <v>43</v>
      </c>
      <c r="AE143" s="54">
        <f>IF(Tabla2[[#This Row],[Moneda]]="Soles",Tabla2[[#This Row],[Valor de Venta]]/Tabla2[[#This Row],[Área techada (m²)]]/Tabla2[[#This Row],[Tipo de Cambio]],Tabla2[[#This Row],[Valor de Venta]]/Tabla2[[#This Row],[Área techada (m²)]])</f>
        <v>867.65994741454858</v>
      </c>
      <c r="AF143" s="43" t="e">
        <f>_xlfn.XLOOKUP(Tabla2[[#This Row],[VISTA]],[1]!Table1[Clase],[1]!Table1[VUE (USD)],0,0,1)</f>
        <v>#REF!</v>
      </c>
      <c r="AG143" s="55" t="e">
        <f>+Tabla2[[#This Row],[Valor Comercial (S/.)]]/Tabla2[[#This Row],[Valor de Venta]]-1</f>
        <v>#REF!</v>
      </c>
    </row>
    <row r="144" spans="1:33" s="1" customFormat="1" ht="15" customHeight="1" x14ac:dyDescent="0.25">
      <c r="A144" s="60" t="s">
        <v>27</v>
      </c>
      <c r="B144" s="14">
        <v>1705</v>
      </c>
      <c r="C144" s="11">
        <v>17</v>
      </c>
      <c r="D144" s="15"/>
      <c r="E144" s="15"/>
      <c r="F144" s="51">
        <f>ROUND(Tabla2[[#This Row],[Área ocupada (m²)]]/20*1.4,2)</f>
        <v>4.5599999999999996</v>
      </c>
      <c r="G144" s="46">
        <v>65.2</v>
      </c>
      <c r="H144" s="46">
        <v>65.2</v>
      </c>
      <c r="I144" s="51">
        <f>ROUND(Tabla2[[#This Row],[Área techada (m²)]]*0.15,2)</f>
        <v>9.7799999999999994</v>
      </c>
      <c r="J144" s="47" t="s">
        <v>30</v>
      </c>
      <c r="K144" s="48">
        <v>195000</v>
      </c>
      <c r="L144" s="51">
        <f>ROUND(Tabla2[[#This Row],[Área ocupada (m²)3]]/20*1.4,2)</f>
        <v>4.5599999999999996</v>
      </c>
      <c r="M144" s="37">
        <f>ROUND(Tabla2[[#This Row],[Área ocupada (m²)]],2)</f>
        <v>65.2</v>
      </c>
      <c r="N144" s="37">
        <f>ROUND(Tabla2[[#This Row],[Área techada (m²)]],2)</f>
        <v>65.2</v>
      </c>
      <c r="O144" s="52">
        <f>ROUND(Tabla2[[#This Row],[Área techada (m²)4]]*0.15,2)</f>
        <v>9.7799999999999994</v>
      </c>
      <c r="P144" s="52">
        <f>ROUND(Tabla2[[#This Row],[Área del terreno (m²)2]]*[1]DATA!$A$2,-2)</f>
        <v>3200</v>
      </c>
      <c r="Q144" s="38" t="e">
        <f>+Tabla2[[#This Row],[Valor Comercial (US$)]]-Tabla2[[#This Row],[Valor del terreno (US$)]]</f>
        <v>#REF!</v>
      </c>
      <c r="R14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4" s="53" t="e">
        <f>ROUND(Tabla2[[#This Row],[Valor Comercial (US$)]]*0.8,-2)</f>
        <v>#REF!</v>
      </c>
      <c r="T144" s="53">
        <f>IF($H$6=$G$5,R144,ROUND(Tabla2[[#This Row],[Área techada (m²)4]]*[1]DATA!$B$2*1.15,-2))</f>
        <v>33700</v>
      </c>
      <c r="U144" s="6">
        <f t="shared" si="2"/>
        <v>3.5</v>
      </c>
      <c r="V144" s="39">
        <f>ROUND(Tabla2[[#This Row],[Valor del terreno (US$)]]*Tabla2[[#This Row],[Tipo de Cambio]],-2)</f>
        <v>11200</v>
      </c>
      <c r="W144" s="39" t="e">
        <f>Tabla2[[#This Row],[Valor Comercial (S/.)]]-Tabla2[[#This Row],[Valor del terreno (S/.)]]</f>
        <v>#REF!</v>
      </c>
      <c r="X144" s="39" t="e">
        <f>ROUND(Tabla2[[#This Row],[Valor Comercial (US$)]]*Tabla2[[#This Row],[Tipo de Cambio]],-2)</f>
        <v>#REF!</v>
      </c>
      <c r="Y144" s="39" t="e">
        <f>ROUND(Tabla2[[#This Row],[Valor Realización (US$)]]*Tabla2[[#This Row],[Tipo de Cambio]],-2)</f>
        <v>#REF!</v>
      </c>
      <c r="Z144" s="39">
        <f>+ROUND(Tabla2[[#This Row],[Importe Asegurable (US$)]]*Tabla2[[#This Row],[Tipo de Cambio]],-2)</f>
        <v>118000</v>
      </c>
      <c r="AA144" s="40"/>
      <c r="AB144" s="2" t="e">
        <f>+Tabla2[[#This Row],[Valor Comercial (US$)]]/Tabla2[[#This Row],[Área techada (m²)4]]</f>
        <v>#REF!</v>
      </c>
      <c r="AC14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4" s="61" t="s">
        <v>43</v>
      </c>
      <c r="AE144" s="54">
        <f>IF(Tabla2[[#This Row],[Moneda]]="Soles",Tabla2[[#This Row],[Valor de Venta]]/Tabla2[[#This Row],[Área techada (m²)]]/Tabla2[[#This Row],[Tipo de Cambio]],Tabla2[[#This Row],[Valor de Venta]]/Tabla2[[#This Row],[Área techada (m²)]])</f>
        <v>854.51358457493427</v>
      </c>
      <c r="AF144" s="43" t="e">
        <f>_xlfn.XLOOKUP(Tabla2[[#This Row],[VISTA]],[1]!Table1[Clase],[1]!Table1[VUE (USD)],0,0,1)</f>
        <v>#REF!</v>
      </c>
      <c r="AG144" s="55" t="e">
        <f>+Tabla2[[#This Row],[Valor Comercial (S/.)]]/Tabla2[[#This Row],[Valor de Venta]]-1</f>
        <v>#REF!</v>
      </c>
    </row>
    <row r="145" spans="1:33" s="1" customFormat="1" ht="15" customHeight="1" x14ac:dyDescent="0.25">
      <c r="A145" s="60" t="s">
        <v>27</v>
      </c>
      <c r="B145" s="14">
        <v>1706</v>
      </c>
      <c r="C145" s="11">
        <v>17</v>
      </c>
      <c r="D145" s="15"/>
      <c r="E145" s="15"/>
      <c r="F145" s="51">
        <f>ROUND(Tabla2[[#This Row],[Área ocupada (m²)]]/20*1.4,2)</f>
        <v>4.38</v>
      </c>
      <c r="G145" s="46">
        <v>62.5</v>
      </c>
      <c r="H145" s="46">
        <v>62.5</v>
      </c>
      <c r="I145" s="51">
        <f>ROUND(Tabla2[[#This Row],[Área techada (m²)]]*0.15,2)</f>
        <v>9.3800000000000008</v>
      </c>
      <c r="J145" s="47" t="s">
        <v>30</v>
      </c>
      <c r="K145" s="48">
        <v>185300</v>
      </c>
      <c r="L145" s="51">
        <f>ROUND(Tabla2[[#This Row],[Área ocupada (m²)3]]/20*1.4,2)</f>
        <v>4.38</v>
      </c>
      <c r="M145" s="37">
        <f>ROUND(Tabla2[[#This Row],[Área ocupada (m²)]],2)</f>
        <v>62.5</v>
      </c>
      <c r="N145" s="37">
        <f>ROUND(Tabla2[[#This Row],[Área techada (m²)]],2)</f>
        <v>62.5</v>
      </c>
      <c r="O145" s="52">
        <f>ROUND(Tabla2[[#This Row],[Área techada (m²)4]]*0.15,2)</f>
        <v>9.3800000000000008</v>
      </c>
      <c r="P145" s="52">
        <f>ROUND(Tabla2[[#This Row],[Área del terreno (m²)2]]*[1]DATA!$A$2,-2)</f>
        <v>3100</v>
      </c>
      <c r="Q145" s="38" t="e">
        <f>+Tabla2[[#This Row],[Valor Comercial (US$)]]-Tabla2[[#This Row],[Valor del terreno (US$)]]</f>
        <v>#REF!</v>
      </c>
      <c r="R14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5" s="53" t="e">
        <f>ROUND(Tabla2[[#This Row],[Valor Comercial (US$)]]*0.8,-2)</f>
        <v>#REF!</v>
      </c>
      <c r="T145" s="53">
        <f>IF($H$6=$G$5,R145,ROUND(Tabla2[[#This Row],[Área techada (m²)4]]*[1]DATA!$B$2*1.15,-2))</f>
        <v>32300</v>
      </c>
      <c r="U145" s="6">
        <f t="shared" si="2"/>
        <v>3.5</v>
      </c>
      <c r="V145" s="39">
        <f>ROUND(Tabla2[[#This Row],[Valor del terreno (US$)]]*Tabla2[[#This Row],[Tipo de Cambio]],-2)</f>
        <v>10900</v>
      </c>
      <c r="W145" s="39" t="e">
        <f>Tabla2[[#This Row],[Valor Comercial (S/.)]]-Tabla2[[#This Row],[Valor del terreno (S/.)]]</f>
        <v>#REF!</v>
      </c>
      <c r="X145" s="39" t="e">
        <f>ROUND(Tabla2[[#This Row],[Valor Comercial (US$)]]*Tabla2[[#This Row],[Tipo de Cambio]],-2)</f>
        <v>#REF!</v>
      </c>
      <c r="Y145" s="39" t="e">
        <f>ROUND(Tabla2[[#This Row],[Valor Realización (US$)]]*Tabla2[[#This Row],[Tipo de Cambio]],-2)</f>
        <v>#REF!</v>
      </c>
      <c r="Z145" s="39">
        <f>+ROUND(Tabla2[[#This Row],[Importe Asegurable (US$)]]*Tabla2[[#This Row],[Tipo de Cambio]],-2)</f>
        <v>113100</v>
      </c>
      <c r="AA145" s="40"/>
      <c r="AB145" s="2" t="e">
        <f>+Tabla2[[#This Row],[Valor Comercial (US$)]]/Tabla2[[#This Row],[Área techada (m²)4]]</f>
        <v>#REF!</v>
      </c>
      <c r="AC14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5" s="61" t="s">
        <v>43</v>
      </c>
      <c r="AE145" s="54">
        <f>IF(Tabla2[[#This Row],[Moneda]]="Soles",Tabla2[[#This Row],[Valor de Venta]]/Tabla2[[#This Row],[Área techada (m²)]]/Tabla2[[#This Row],[Tipo de Cambio]],Tabla2[[#This Row],[Valor de Venta]]/Tabla2[[#This Row],[Área techada (m²)]])</f>
        <v>847.08571428571429</v>
      </c>
      <c r="AF145" s="43" t="e">
        <f>_xlfn.XLOOKUP(Tabla2[[#This Row],[VISTA]],[1]!Table1[Clase],[1]!Table1[VUE (USD)],0,0,1)</f>
        <v>#REF!</v>
      </c>
      <c r="AG145" s="55" t="e">
        <f>+Tabla2[[#This Row],[Valor Comercial (S/.)]]/Tabla2[[#This Row],[Valor de Venta]]-1</f>
        <v>#REF!</v>
      </c>
    </row>
    <row r="146" spans="1:33" s="1" customFormat="1" ht="15" customHeight="1" x14ac:dyDescent="0.25">
      <c r="A146" s="60" t="s">
        <v>27</v>
      </c>
      <c r="B146" s="14">
        <v>1707</v>
      </c>
      <c r="C146" s="11">
        <v>17</v>
      </c>
      <c r="D146" s="15"/>
      <c r="E146" s="15"/>
      <c r="F146" s="51">
        <f>ROUND(Tabla2[[#This Row],[Área ocupada (m²)]]/20*1.4,2)</f>
        <v>4.38</v>
      </c>
      <c r="G146" s="46">
        <v>62.5</v>
      </c>
      <c r="H146" s="46">
        <v>62.5</v>
      </c>
      <c r="I146" s="51">
        <f>ROUND(Tabla2[[#This Row],[Área techada (m²)]]*0.15,2)</f>
        <v>9.3800000000000008</v>
      </c>
      <c r="J146" s="47" t="s">
        <v>30</v>
      </c>
      <c r="K146" s="48">
        <v>175300</v>
      </c>
      <c r="L146" s="51">
        <f>ROUND(Tabla2[[#This Row],[Área ocupada (m²)3]]/20*1.4,2)</f>
        <v>4.38</v>
      </c>
      <c r="M146" s="37">
        <f>ROUND(Tabla2[[#This Row],[Área ocupada (m²)]],2)</f>
        <v>62.5</v>
      </c>
      <c r="N146" s="37">
        <f>ROUND(Tabla2[[#This Row],[Área techada (m²)]],2)</f>
        <v>62.5</v>
      </c>
      <c r="O146" s="52">
        <f>ROUND(Tabla2[[#This Row],[Área techada (m²)4]]*0.15,2)</f>
        <v>9.3800000000000008</v>
      </c>
      <c r="P146" s="52">
        <f>ROUND(Tabla2[[#This Row],[Área del terreno (m²)2]]*[1]DATA!$A$2,-2)</f>
        <v>3100</v>
      </c>
      <c r="Q146" s="38" t="e">
        <f>+Tabla2[[#This Row],[Valor Comercial (US$)]]-Tabla2[[#This Row],[Valor del terreno (US$)]]</f>
        <v>#REF!</v>
      </c>
      <c r="R14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6" s="53" t="e">
        <f>ROUND(Tabla2[[#This Row],[Valor Comercial (US$)]]*0.8,-2)</f>
        <v>#REF!</v>
      </c>
      <c r="T146" s="53">
        <f>IF($H$6=$G$5,R146,ROUND(Tabla2[[#This Row],[Área techada (m²)4]]*[1]DATA!$B$2*1.15,-2))</f>
        <v>32300</v>
      </c>
      <c r="U146" s="6">
        <f t="shared" si="2"/>
        <v>3.5</v>
      </c>
      <c r="V146" s="39">
        <f>ROUND(Tabla2[[#This Row],[Valor del terreno (US$)]]*Tabla2[[#This Row],[Tipo de Cambio]],-2)</f>
        <v>10900</v>
      </c>
      <c r="W146" s="39" t="e">
        <f>Tabla2[[#This Row],[Valor Comercial (S/.)]]-Tabla2[[#This Row],[Valor del terreno (S/.)]]</f>
        <v>#REF!</v>
      </c>
      <c r="X146" s="39" t="e">
        <f>ROUND(Tabla2[[#This Row],[Valor Comercial (US$)]]*Tabla2[[#This Row],[Tipo de Cambio]],-2)</f>
        <v>#REF!</v>
      </c>
      <c r="Y146" s="39" t="e">
        <f>ROUND(Tabla2[[#This Row],[Valor Realización (US$)]]*Tabla2[[#This Row],[Tipo de Cambio]],-2)</f>
        <v>#REF!</v>
      </c>
      <c r="Z146" s="39">
        <f>+ROUND(Tabla2[[#This Row],[Importe Asegurable (US$)]]*Tabla2[[#This Row],[Tipo de Cambio]],-2)</f>
        <v>113100</v>
      </c>
      <c r="AA146" s="40"/>
      <c r="AB146" s="2" t="e">
        <f>+Tabla2[[#This Row],[Valor Comercial (US$)]]/Tabla2[[#This Row],[Área techada (m²)4]]</f>
        <v>#REF!</v>
      </c>
      <c r="AC14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6" s="61" t="s">
        <v>44</v>
      </c>
      <c r="AE146" s="54">
        <f>IF(Tabla2[[#This Row],[Moneda]]="Soles",Tabla2[[#This Row],[Valor de Venta]]/Tabla2[[#This Row],[Área techada (m²)]]/Tabla2[[#This Row],[Tipo de Cambio]],Tabla2[[#This Row],[Valor de Venta]]/Tabla2[[#This Row],[Área techada (m²)]])</f>
        <v>801.37142857142862</v>
      </c>
      <c r="AF146" s="43" t="e">
        <f>_xlfn.XLOOKUP(Tabla2[[#This Row],[VISTA]],[1]!Table1[Clase],[1]!Table1[VUE (USD)],0,0,1)</f>
        <v>#REF!</v>
      </c>
      <c r="AG146" s="55" t="e">
        <f>+Tabla2[[#This Row],[Valor Comercial (S/.)]]/Tabla2[[#This Row],[Valor de Venta]]-1</f>
        <v>#REF!</v>
      </c>
    </row>
    <row r="147" spans="1:33" s="1" customFormat="1" ht="15" customHeight="1" x14ac:dyDescent="0.25">
      <c r="A147" s="60" t="s">
        <v>27</v>
      </c>
      <c r="B147" s="14">
        <v>1708</v>
      </c>
      <c r="C147" s="11">
        <v>17</v>
      </c>
      <c r="D147" s="15"/>
      <c r="E147" s="15"/>
      <c r="F147" s="51">
        <f>ROUND(Tabla2[[#This Row],[Área ocupada (m²)]]/20*1.4,2)</f>
        <v>4.5599999999999996</v>
      </c>
      <c r="G147" s="46">
        <v>65.2</v>
      </c>
      <c r="H147" s="46">
        <v>65.2</v>
      </c>
      <c r="I147" s="51">
        <f>ROUND(Tabla2[[#This Row],[Área techada (m²)]]*0.15,2)</f>
        <v>9.7799999999999994</v>
      </c>
      <c r="J147" s="47" t="s">
        <v>30</v>
      </c>
      <c r="K147" s="48">
        <v>191000</v>
      </c>
      <c r="L147" s="51">
        <f>ROUND(Tabla2[[#This Row],[Área ocupada (m²)3]]/20*1.4,2)</f>
        <v>4.5599999999999996</v>
      </c>
      <c r="M147" s="37">
        <f>ROUND(Tabla2[[#This Row],[Área ocupada (m²)]],2)</f>
        <v>65.2</v>
      </c>
      <c r="N147" s="37">
        <f>ROUND(Tabla2[[#This Row],[Área techada (m²)]],2)</f>
        <v>65.2</v>
      </c>
      <c r="O147" s="52">
        <f>ROUND(Tabla2[[#This Row],[Área techada (m²)4]]*0.15,2)</f>
        <v>9.7799999999999994</v>
      </c>
      <c r="P147" s="52">
        <f>ROUND(Tabla2[[#This Row],[Área del terreno (m²)2]]*[1]DATA!$A$2,-2)</f>
        <v>3200</v>
      </c>
      <c r="Q147" s="38" t="e">
        <f>+Tabla2[[#This Row],[Valor Comercial (US$)]]-Tabla2[[#This Row],[Valor del terreno (US$)]]</f>
        <v>#REF!</v>
      </c>
      <c r="R14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7" s="53" t="e">
        <f>ROUND(Tabla2[[#This Row],[Valor Comercial (US$)]]*0.8,-2)</f>
        <v>#REF!</v>
      </c>
      <c r="T147" s="53">
        <f>IF($H$6=$G$5,R147,ROUND(Tabla2[[#This Row],[Área techada (m²)4]]*[1]DATA!$B$2*1.15,-2))</f>
        <v>33700</v>
      </c>
      <c r="U147" s="6">
        <f t="shared" si="2"/>
        <v>3.5</v>
      </c>
      <c r="V147" s="39">
        <f>ROUND(Tabla2[[#This Row],[Valor del terreno (US$)]]*Tabla2[[#This Row],[Tipo de Cambio]],-2)</f>
        <v>11200</v>
      </c>
      <c r="W147" s="39" t="e">
        <f>Tabla2[[#This Row],[Valor Comercial (S/.)]]-Tabla2[[#This Row],[Valor del terreno (S/.)]]</f>
        <v>#REF!</v>
      </c>
      <c r="X147" s="39" t="e">
        <f>ROUND(Tabla2[[#This Row],[Valor Comercial (US$)]]*Tabla2[[#This Row],[Tipo de Cambio]],-2)</f>
        <v>#REF!</v>
      </c>
      <c r="Y147" s="39" t="e">
        <f>ROUND(Tabla2[[#This Row],[Valor Realización (US$)]]*Tabla2[[#This Row],[Tipo de Cambio]],-2)</f>
        <v>#REF!</v>
      </c>
      <c r="Z147" s="39">
        <f>+ROUND(Tabla2[[#This Row],[Importe Asegurable (US$)]]*Tabla2[[#This Row],[Tipo de Cambio]],-2)</f>
        <v>118000</v>
      </c>
      <c r="AA147" s="40"/>
      <c r="AB147" s="2" t="e">
        <f>+Tabla2[[#This Row],[Valor Comercial (US$)]]/Tabla2[[#This Row],[Área techada (m²)4]]</f>
        <v>#REF!</v>
      </c>
      <c r="AC14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7" s="61" t="s">
        <v>44</v>
      </c>
      <c r="AE147" s="54">
        <f>IF(Tabla2[[#This Row],[Moneda]]="Soles",Tabla2[[#This Row],[Valor de Venta]]/Tabla2[[#This Row],[Área techada (m²)]]/Tabla2[[#This Row],[Tipo de Cambio]],Tabla2[[#This Row],[Valor de Venta]]/Tabla2[[#This Row],[Área techada (m²)]])</f>
        <v>836.98510078878178</v>
      </c>
      <c r="AF147" s="43" t="e">
        <f>_xlfn.XLOOKUP(Tabla2[[#This Row],[VISTA]],[1]!Table1[Clase],[1]!Table1[VUE (USD)],0,0,1)</f>
        <v>#REF!</v>
      </c>
      <c r="AG147" s="55" t="e">
        <f>+Tabla2[[#This Row],[Valor Comercial (S/.)]]/Tabla2[[#This Row],[Valor de Venta]]-1</f>
        <v>#REF!</v>
      </c>
    </row>
    <row r="148" spans="1:33" s="1" customFormat="1" ht="15" customHeight="1" x14ac:dyDescent="0.25">
      <c r="A148" s="60" t="s">
        <v>27</v>
      </c>
      <c r="B148" s="14">
        <v>1801</v>
      </c>
      <c r="C148" s="11">
        <v>18</v>
      </c>
      <c r="D148" s="15"/>
      <c r="E148" s="15"/>
      <c r="F148" s="51">
        <f>ROUND(Tabla2[[#This Row],[Área ocupada (m²)]]/20*1.4,2)</f>
        <v>4.5599999999999996</v>
      </c>
      <c r="G148" s="46">
        <v>65.2</v>
      </c>
      <c r="H148" s="46">
        <v>65.2</v>
      </c>
      <c r="I148" s="51">
        <f>ROUND(Tabla2[[#This Row],[Área techada (m²)]]*0.15,2)</f>
        <v>9.7799999999999994</v>
      </c>
      <c r="J148" s="47" t="s">
        <v>30</v>
      </c>
      <c r="K148" s="48">
        <v>182100</v>
      </c>
      <c r="L148" s="51">
        <f>ROUND(Tabla2[[#This Row],[Área ocupada (m²)3]]/20*1.4,2)</f>
        <v>4.5599999999999996</v>
      </c>
      <c r="M148" s="37">
        <f>ROUND(Tabla2[[#This Row],[Área ocupada (m²)]],2)</f>
        <v>65.2</v>
      </c>
      <c r="N148" s="37">
        <f>ROUND(Tabla2[[#This Row],[Área techada (m²)]],2)</f>
        <v>65.2</v>
      </c>
      <c r="O148" s="52">
        <f>ROUND(Tabla2[[#This Row],[Área techada (m²)4]]*0.15,2)</f>
        <v>9.7799999999999994</v>
      </c>
      <c r="P148" s="52">
        <f>ROUND(Tabla2[[#This Row],[Área del terreno (m²)2]]*[1]DATA!$A$2,-2)</f>
        <v>3200</v>
      </c>
      <c r="Q148" s="38" t="e">
        <f>+Tabla2[[#This Row],[Valor Comercial (US$)]]-Tabla2[[#This Row],[Valor del terreno (US$)]]</f>
        <v>#REF!</v>
      </c>
      <c r="R14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8" s="53" t="e">
        <f>ROUND(Tabla2[[#This Row],[Valor Comercial (US$)]]*0.8,-2)</f>
        <v>#REF!</v>
      </c>
      <c r="T148" s="53">
        <f>IF($H$6=$G$5,R148,ROUND(Tabla2[[#This Row],[Área techada (m²)4]]*[1]DATA!$B$2*1.15,-2))</f>
        <v>33700</v>
      </c>
      <c r="U148" s="6">
        <f t="shared" si="2"/>
        <v>3.5</v>
      </c>
      <c r="V148" s="39">
        <f>ROUND(Tabla2[[#This Row],[Valor del terreno (US$)]]*Tabla2[[#This Row],[Tipo de Cambio]],-2)</f>
        <v>11200</v>
      </c>
      <c r="W148" s="39" t="e">
        <f>Tabla2[[#This Row],[Valor Comercial (S/.)]]-Tabla2[[#This Row],[Valor del terreno (S/.)]]</f>
        <v>#REF!</v>
      </c>
      <c r="X148" s="39" t="e">
        <f>ROUND(Tabla2[[#This Row],[Valor Comercial (US$)]]*Tabla2[[#This Row],[Tipo de Cambio]],-2)</f>
        <v>#REF!</v>
      </c>
      <c r="Y148" s="39" t="e">
        <f>ROUND(Tabla2[[#This Row],[Valor Realización (US$)]]*Tabla2[[#This Row],[Tipo de Cambio]],-2)</f>
        <v>#REF!</v>
      </c>
      <c r="Z148" s="39">
        <f>+ROUND(Tabla2[[#This Row],[Importe Asegurable (US$)]]*Tabla2[[#This Row],[Tipo de Cambio]],-2)</f>
        <v>118000</v>
      </c>
      <c r="AA148" s="40"/>
      <c r="AB148" s="2" t="e">
        <f>+Tabla2[[#This Row],[Valor Comercial (US$)]]/Tabla2[[#This Row],[Área techada (m²)4]]</f>
        <v>#REF!</v>
      </c>
      <c r="AC14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8" s="61" t="s">
        <v>44</v>
      </c>
      <c r="AE148" s="54">
        <f>IF(Tabla2[[#This Row],[Moneda]]="Soles",Tabla2[[#This Row],[Valor de Venta]]/Tabla2[[#This Row],[Área techada (m²)]]/Tabla2[[#This Row],[Tipo de Cambio]],Tabla2[[#This Row],[Valor de Venta]]/Tabla2[[#This Row],[Área techada (m²)]])</f>
        <v>797.98422436459248</v>
      </c>
      <c r="AF148" s="43" t="e">
        <f>_xlfn.XLOOKUP(Tabla2[[#This Row],[VISTA]],[1]!Table1[Clase],[1]!Table1[VUE (USD)],0,0,1)</f>
        <v>#REF!</v>
      </c>
      <c r="AG148" s="55" t="e">
        <f>+Tabla2[[#This Row],[Valor Comercial (S/.)]]/Tabla2[[#This Row],[Valor de Venta]]-1</f>
        <v>#REF!</v>
      </c>
    </row>
    <row r="149" spans="1:33" s="1" customFormat="1" ht="15" customHeight="1" x14ac:dyDescent="0.25">
      <c r="A149" s="60" t="s">
        <v>27</v>
      </c>
      <c r="B149" s="14">
        <v>1802</v>
      </c>
      <c r="C149" s="11">
        <v>18</v>
      </c>
      <c r="D149" s="15"/>
      <c r="E149" s="15"/>
      <c r="F149" s="51">
        <f>ROUND(Tabla2[[#This Row],[Área ocupada (m²)]]/20*1.4,2)</f>
        <v>4.38</v>
      </c>
      <c r="G149" s="46">
        <v>62.5</v>
      </c>
      <c r="H149" s="46">
        <v>62.5</v>
      </c>
      <c r="I149" s="51">
        <f>ROUND(Tabla2[[#This Row],[Área techada (m²)]]*0.15,2)</f>
        <v>9.3800000000000008</v>
      </c>
      <c r="J149" s="47" t="s">
        <v>30</v>
      </c>
      <c r="K149" s="48">
        <v>175500</v>
      </c>
      <c r="L149" s="51">
        <f>ROUND(Tabla2[[#This Row],[Área ocupada (m²)3]]/20*1.4,2)</f>
        <v>4.38</v>
      </c>
      <c r="M149" s="37">
        <f>ROUND(Tabla2[[#This Row],[Área ocupada (m²)]],2)</f>
        <v>62.5</v>
      </c>
      <c r="N149" s="37">
        <f>ROUND(Tabla2[[#This Row],[Área techada (m²)]],2)</f>
        <v>62.5</v>
      </c>
      <c r="O149" s="52">
        <f>ROUND(Tabla2[[#This Row],[Área techada (m²)4]]*0.15,2)</f>
        <v>9.3800000000000008</v>
      </c>
      <c r="P149" s="52">
        <f>ROUND(Tabla2[[#This Row],[Área del terreno (m²)2]]*[1]DATA!$A$2,-2)</f>
        <v>3100</v>
      </c>
      <c r="Q149" s="38" t="e">
        <f>+Tabla2[[#This Row],[Valor Comercial (US$)]]-Tabla2[[#This Row],[Valor del terreno (US$)]]</f>
        <v>#REF!</v>
      </c>
      <c r="R14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9" s="53" t="e">
        <f>ROUND(Tabla2[[#This Row],[Valor Comercial (US$)]]*0.8,-2)</f>
        <v>#REF!</v>
      </c>
      <c r="T149" s="53">
        <f>IF($H$6=$G$5,R149,ROUND(Tabla2[[#This Row],[Área techada (m²)4]]*[1]DATA!$B$2*1.15,-2))</f>
        <v>32300</v>
      </c>
      <c r="U149" s="6">
        <f t="shared" si="2"/>
        <v>3.5</v>
      </c>
      <c r="V149" s="39">
        <f>ROUND(Tabla2[[#This Row],[Valor del terreno (US$)]]*Tabla2[[#This Row],[Tipo de Cambio]],-2)</f>
        <v>10900</v>
      </c>
      <c r="W149" s="39" t="e">
        <f>Tabla2[[#This Row],[Valor Comercial (S/.)]]-Tabla2[[#This Row],[Valor del terreno (S/.)]]</f>
        <v>#REF!</v>
      </c>
      <c r="X149" s="39" t="e">
        <f>ROUND(Tabla2[[#This Row],[Valor Comercial (US$)]]*Tabla2[[#This Row],[Tipo de Cambio]],-2)</f>
        <v>#REF!</v>
      </c>
      <c r="Y149" s="39" t="e">
        <f>ROUND(Tabla2[[#This Row],[Valor Realización (US$)]]*Tabla2[[#This Row],[Tipo de Cambio]],-2)</f>
        <v>#REF!</v>
      </c>
      <c r="Z149" s="39">
        <f>+ROUND(Tabla2[[#This Row],[Importe Asegurable (US$)]]*Tabla2[[#This Row],[Tipo de Cambio]],-2)</f>
        <v>113100</v>
      </c>
      <c r="AA149" s="40"/>
      <c r="AB149" s="2" t="e">
        <f>+Tabla2[[#This Row],[Valor Comercial (US$)]]/Tabla2[[#This Row],[Área techada (m²)4]]</f>
        <v>#REF!</v>
      </c>
      <c r="AC14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9" s="61" t="s">
        <v>44</v>
      </c>
      <c r="AE149" s="54">
        <f>IF(Tabla2[[#This Row],[Moneda]]="Soles",Tabla2[[#This Row],[Valor de Venta]]/Tabla2[[#This Row],[Área techada (m²)]]/Tabla2[[#This Row],[Tipo de Cambio]],Tabla2[[#This Row],[Valor de Venta]]/Tabla2[[#This Row],[Área techada (m²)]])</f>
        <v>802.28571428571433</v>
      </c>
      <c r="AF149" s="43" t="e">
        <f>_xlfn.XLOOKUP(Tabla2[[#This Row],[VISTA]],[1]!Table1[Clase],[1]!Table1[VUE (USD)],0,0,1)</f>
        <v>#REF!</v>
      </c>
      <c r="AG149" s="55" t="e">
        <f>+Tabla2[[#This Row],[Valor Comercial (S/.)]]/Tabla2[[#This Row],[Valor de Venta]]-1</f>
        <v>#REF!</v>
      </c>
    </row>
    <row r="150" spans="1:33" s="1" customFormat="1" ht="15" customHeight="1" x14ac:dyDescent="0.25">
      <c r="A150" s="60" t="s">
        <v>27</v>
      </c>
      <c r="B150" s="14">
        <v>1803</v>
      </c>
      <c r="C150" s="11">
        <v>18</v>
      </c>
      <c r="D150" s="15"/>
      <c r="E150" s="15"/>
      <c r="F150" s="51">
        <f>ROUND(Tabla2[[#This Row],[Área ocupada (m²)]]/20*1.4,2)</f>
        <v>4.38</v>
      </c>
      <c r="G150" s="46">
        <v>62.5</v>
      </c>
      <c r="H150" s="46">
        <v>62.5</v>
      </c>
      <c r="I150" s="51">
        <f>ROUND(Tabla2[[#This Row],[Área techada (m²)]]*0.15,2)</f>
        <v>9.3800000000000008</v>
      </c>
      <c r="J150" s="47" t="s">
        <v>30</v>
      </c>
      <c r="K150" s="48">
        <v>175500</v>
      </c>
      <c r="L150" s="51">
        <f>ROUND(Tabla2[[#This Row],[Área ocupada (m²)3]]/20*1.4,2)</f>
        <v>4.38</v>
      </c>
      <c r="M150" s="37">
        <f>ROUND(Tabla2[[#This Row],[Área ocupada (m²)]],2)</f>
        <v>62.5</v>
      </c>
      <c r="N150" s="37">
        <f>ROUND(Tabla2[[#This Row],[Área techada (m²)]],2)</f>
        <v>62.5</v>
      </c>
      <c r="O150" s="52">
        <f>ROUND(Tabla2[[#This Row],[Área techada (m²)4]]*0.15,2)</f>
        <v>9.3800000000000008</v>
      </c>
      <c r="P150" s="52">
        <f>ROUND(Tabla2[[#This Row],[Área del terreno (m²)2]]*[1]DATA!$A$2,-2)</f>
        <v>3100</v>
      </c>
      <c r="Q150" s="38" t="e">
        <f>+Tabla2[[#This Row],[Valor Comercial (US$)]]-Tabla2[[#This Row],[Valor del terreno (US$)]]</f>
        <v>#REF!</v>
      </c>
      <c r="R15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0" s="53" t="e">
        <f>ROUND(Tabla2[[#This Row],[Valor Comercial (US$)]]*0.8,-2)</f>
        <v>#REF!</v>
      </c>
      <c r="T150" s="53">
        <f>IF($H$6=$G$5,R150,ROUND(Tabla2[[#This Row],[Área techada (m²)4]]*[1]DATA!$B$2*1.15,-2))</f>
        <v>32300</v>
      </c>
      <c r="U150" s="6">
        <f t="shared" si="2"/>
        <v>3.5</v>
      </c>
      <c r="V150" s="39">
        <f>ROUND(Tabla2[[#This Row],[Valor del terreno (US$)]]*Tabla2[[#This Row],[Tipo de Cambio]],-2)</f>
        <v>10900</v>
      </c>
      <c r="W150" s="39" t="e">
        <f>Tabla2[[#This Row],[Valor Comercial (S/.)]]-Tabla2[[#This Row],[Valor del terreno (S/.)]]</f>
        <v>#REF!</v>
      </c>
      <c r="X150" s="39" t="e">
        <f>ROUND(Tabla2[[#This Row],[Valor Comercial (US$)]]*Tabla2[[#This Row],[Tipo de Cambio]],-2)</f>
        <v>#REF!</v>
      </c>
      <c r="Y150" s="39" t="e">
        <f>ROUND(Tabla2[[#This Row],[Valor Realización (US$)]]*Tabla2[[#This Row],[Tipo de Cambio]],-2)</f>
        <v>#REF!</v>
      </c>
      <c r="Z150" s="39">
        <f>+ROUND(Tabla2[[#This Row],[Importe Asegurable (US$)]]*Tabla2[[#This Row],[Tipo de Cambio]],-2)</f>
        <v>113100</v>
      </c>
      <c r="AA150" s="40"/>
      <c r="AB150" s="2" t="e">
        <f>+Tabla2[[#This Row],[Valor Comercial (US$)]]/Tabla2[[#This Row],[Área techada (m²)4]]</f>
        <v>#REF!</v>
      </c>
      <c r="AC15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0" s="61" t="s">
        <v>44</v>
      </c>
      <c r="AE150" s="54">
        <f>IF(Tabla2[[#This Row],[Moneda]]="Soles",Tabla2[[#This Row],[Valor de Venta]]/Tabla2[[#This Row],[Área techada (m²)]]/Tabla2[[#This Row],[Tipo de Cambio]],Tabla2[[#This Row],[Valor de Venta]]/Tabla2[[#This Row],[Área techada (m²)]])</f>
        <v>802.28571428571433</v>
      </c>
      <c r="AF150" s="43" t="e">
        <f>_xlfn.XLOOKUP(Tabla2[[#This Row],[VISTA]],[1]!Table1[Clase],[1]!Table1[VUE (USD)],0,0,1)</f>
        <v>#REF!</v>
      </c>
      <c r="AG150" s="55" t="e">
        <f>+Tabla2[[#This Row],[Valor Comercial (S/.)]]/Tabla2[[#This Row],[Valor de Venta]]-1</f>
        <v>#REF!</v>
      </c>
    </row>
    <row r="151" spans="1:33" s="1" customFormat="1" ht="15" customHeight="1" x14ac:dyDescent="0.25">
      <c r="A151" s="60" t="s">
        <v>27</v>
      </c>
      <c r="B151" s="14">
        <v>1804</v>
      </c>
      <c r="C151" s="11">
        <v>18</v>
      </c>
      <c r="D151" s="15"/>
      <c r="E151" s="15"/>
      <c r="F151" s="51">
        <f>ROUND(Tabla2[[#This Row],[Área ocupada (m²)]]/20*1.4,2)</f>
        <v>4.5599999999999996</v>
      </c>
      <c r="G151" s="46">
        <v>65.2</v>
      </c>
      <c r="H151" s="46">
        <v>65.2</v>
      </c>
      <c r="I151" s="51">
        <f>ROUND(Tabla2[[#This Row],[Área techada (m²)]]*0.15,2)</f>
        <v>9.7799999999999994</v>
      </c>
      <c r="J151" s="47" t="s">
        <v>30</v>
      </c>
      <c r="K151" s="48">
        <v>196100</v>
      </c>
      <c r="L151" s="51">
        <f>ROUND(Tabla2[[#This Row],[Área ocupada (m²)3]]/20*1.4,2)</f>
        <v>4.5599999999999996</v>
      </c>
      <c r="M151" s="37">
        <f>ROUND(Tabla2[[#This Row],[Área ocupada (m²)]],2)</f>
        <v>65.2</v>
      </c>
      <c r="N151" s="37">
        <f>ROUND(Tabla2[[#This Row],[Área techada (m²)]],2)</f>
        <v>65.2</v>
      </c>
      <c r="O151" s="52">
        <f>ROUND(Tabla2[[#This Row],[Área techada (m²)4]]*0.15,2)</f>
        <v>9.7799999999999994</v>
      </c>
      <c r="P151" s="52">
        <f>ROUND(Tabla2[[#This Row],[Área del terreno (m²)2]]*[1]DATA!$A$2,-2)</f>
        <v>3200</v>
      </c>
      <c r="Q151" s="38" t="e">
        <f>+Tabla2[[#This Row],[Valor Comercial (US$)]]-Tabla2[[#This Row],[Valor del terreno (US$)]]</f>
        <v>#REF!</v>
      </c>
      <c r="R15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1" s="53" t="e">
        <f>ROUND(Tabla2[[#This Row],[Valor Comercial (US$)]]*0.8,-2)</f>
        <v>#REF!</v>
      </c>
      <c r="T151" s="53">
        <f>IF($H$6=$G$5,R151,ROUND(Tabla2[[#This Row],[Área techada (m²)4]]*[1]DATA!$B$2*1.15,-2))</f>
        <v>33700</v>
      </c>
      <c r="U151" s="6">
        <f t="shared" si="2"/>
        <v>3.5</v>
      </c>
      <c r="V151" s="39">
        <f>ROUND(Tabla2[[#This Row],[Valor del terreno (US$)]]*Tabla2[[#This Row],[Tipo de Cambio]],-2)</f>
        <v>11200</v>
      </c>
      <c r="W151" s="39" t="e">
        <f>Tabla2[[#This Row],[Valor Comercial (S/.)]]-Tabla2[[#This Row],[Valor del terreno (S/.)]]</f>
        <v>#REF!</v>
      </c>
      <c r="X151" s="39" t="e">
        <f>ROUND(Tabla2[[#This Row],[Valor Comercial (US$)]]*Tabla2[[#This Row],[Tipo de Cambio]],-2)</f>
        <v>#REF!</v>
      </c>
      <c r="Y151" s="39" t="e">
        <f>ROUND(Tabla2[[#This Row],[Valor Realización (US$)]]*Tabla2[[#This Row],[Tipo de Cambio]],-2)</f>
        <v>#REF!</v>
      </c>
      <c r="Z151" s="39">
        <f>+ROUND(Tabla2[[#This Row],[Importe Asegurable (US$)]]*Tabla2[[#This Row],[Tipo de Cambio]],-2)</f>
        <v>118000</v>
      </c>
      <c r="AA151" s="40"/>
      <c r="AB151" s="2" t="e">
        <f>+Tabla2[[#This Row],[Valor Comercial (US$)]]/Tabla2[[#This Row],[Área techada (m²)4]]</f>
        <v>#REF!</v>
      </c>
      <c r="AC15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1" s="61" t="s">
        <v>43</v>
      </c>
      <c r="AE151" s="54">
        <f>IF(Tabla2[[#This Row],[Moneda]]="Soles",Tabla2[[#This Row],[Valor de Venta]]/Tabla2[[#This Row],[Área techada (m²)]]/Tabla2[[#This Row],[Tipo de Cambio]],Tabla2[[#This Row],[Valor de Venta]]/Tabla2[[#This Row],[Área techada (m²)]])</f>
        <v>859.3339176161262</v>
      </c>
      <c r="AF151" s="43" t="e">
        <f>_xlfn.XLOOKUP(Tabla2[[#This Row],[VISTA]],[1]!Table1[Clase],[1]!Table1[VUE (USD)],0,0,1)</f>
        <v>#REF!</v>
      </c>
      <c r="AG151" s="55" t="e">
        <f>+Tabla2[[#This Row],[Valor Comercial (S/.)]]/Tabla2[[#This Row],[Valor de Venta]]-1</f>
        <v>#REF!</v>
      </c>
    </row>
    <row r="152" spans="1:33" s="1" customFormat="1" ht="15" customHeight="1" x14ac:dyDescent="0.25">
      <c r="A152" s="60" t="s">
        <v>27</v>
      </c>
      <c r="B152" s="14">
        <v>1805</v>
      </c>
      <c r="C152" s="11">
        <v>18</v>
      </c>
      <c r="D152" s="15"/>
      <c r="E152" s="15"/>
      <c r="F152" s="51">
        <f>ROUND(Tabla2[[#This Row],[Área ocupada (m²)]]/20*1.4,2)</f>
        <v>4.5599999999999996</v>
      </c>
      <c r="G152" s="46">
        <v>65.2</v>
      </c>
      <c r="H152" s="46">
        <v>65.2</v>
      </c>
      <c r="I152" s="51">
        <f>ROUND(Tabla2[[#This Row],[Área techada (m²)]]*0.15,2)</f>
        <v>9.7799999999999994</v>
      </c>
      <c r="J152" s="47" t="s">
        <v>30</v>
      </c>
      <c r="K152" s="48">
        <v>193100</v>
      </c>
      <c r="L152" s="51">
        <f>ROUND(Tabla2[[#This Row],[Área ocupada (m²)3]]/20*1.4,2)</f>
        <v>4.5599999999999996</v>
      </c>
      <c r="M152" s="37">
        <f>ROUND(Tabla2[[#This Row],[Área ocupada (m²)]],2)</f>
        <v>65.2</v>
      </c>
      <c r="N152" s="37">
        <f>ROUND(Tabla2[[#This Row],[Área techada (m²)]],2)</f>
        <v>65.2</v>
      </c>
      <c r="O152" s="52">
        <f>ROUND(Tabla2[[#This Row],[Área techada (m²)4]]*0.15,2)</f>
        <v>9.7799999999999994</v>
      </c>
      <c r="P152" s="52">
        <f>ROUND(Tabla2[[#This Row],[Área del terreno (m²)2]]*[1]DATA!$A$2,-2)</f>
        <v>3200</v>
      </c>
      <c r="Q152" s="38" t="e">
        <f>+Tabla2[[#This Row],[Valor Comercial (US$)]]-Tabla2[[#This Row],[Valor del terreno (US$)]]</f>
        <v>#REF!</v>
      </c>
      <c r="R15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2" s="53" t="e">
        <f>ROUND(Tabla2[[#This Row],[Valor Comercial (US$)]]*0.8,-2)</f>
        <v>#REF!</v>
      </c>
      <c r="T152" s="53">
        <f>IF($H$6=$G$5,R152,ROUND(Tabla2[[#This Row],[Área techada (m²)4]]*[1]DATA!$B$2*1.15,-2))</f>
        <v>33700</v>
      </c>
      <c r="U152" s="6">
        <f t="shared" si="2"/>
        <v>3.5</v>
      </c>
      <c r="V152" s="39">
        <f>ROUND(Tabla2[[#This Row],[Valor del terreno (US$)]]*Tabla2[[#This Row],[Tipo de Cambio]],-2)</f>
        <v>11200</v>
      </c>
      <c r="W152" s="39" t="e">
        <f>Tabla2[[#This Row],[Valor Comercial (S/.)]]-Tabla2[[#This Row],[Valor del terreno (S/.)]]</f>
        <v>#REF!</v>
      </c>
      <c r="X152" s="39" t="e">
        <f>ROUND(Tabla2[[#This Row],[Valor Comercial (US$)]]*Tabla2[[#This Row],[Tipo de Cambio]],-2)</f>
        <v>#REF!</v>
      </c>
      <c r="Y152" s="39" t="e">
        <f>ROUND(Tabla2[[#This Row],[Valor Realización (US$)]]*Tabla2[[#This Row],[Tipo de Cambio]],-2)</f>
        <v>#REF!</v>
      </c>
      <c r="Z152" s="39">
        <f>+ROUND(Tabla2[[#This Row],[Importe Asegurable (US$)]]*Tabla2[[#This Row],[Tipo de Cambio]],-2)</f>
        <v>118000</v>
      </c>
      <c r="AA152" s="40"/>
      <c r="AB152" s="2" t="e">
        <f>+Tabla2[[#This Row],[Valor Comercial (US$)]]/Tabla2[[#This Row],[Área techada (m²)4]]</f>
        <v>#REF!</v>
      </c>
      <c r="AC15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2" s="61" t="s">
        <v>43</v>
      </c>
      <c r="AE152" s="54">
        <f>IF(Tabla2[[#This Row],[Moneda]]="Soles",Tabla2[[#This Row],[Valor de Venta]]/Tabla2[[#This Row],[Área techada (m²)]]/Tabla2[[#This Row],[Tipo de Cambio]],Tabla2[[#This Row],[Valor de Venta]]/Tabla2[[#This Row],[Área techada (m²)]])</f>
        <v>846.18755477651189</v>
      </c>
      <c r="AF152" s="43" t="e">
        <f>_xlfn.XLOOKUP(Tabla2[[#This Row],[VISTA]],[1]!Table1[Clase],[1]!Table1[VUE (USD)],0,0,1)</f>
        <v>#REF!</v>
      </c>
      <c r="AG152" s="55" t="e">
        <f>+Tabla2[[#This Row],[Valor Comercial (S/.)]]/Tabla2[[#This Row],[Valor de Venta]]-1</f>
        <v>#REF!</v>
      </c>
    </row>
    <row r="153" spans="1:33" s="1" customFormat="1" ht="15" customHeight="1" x14ac:dyDescent="0.25">
      <c r="A153" s="60" t="s">
        <v>27</v>
      </c>
      <c r="B153" s="14">
        <v>1806</v>
      </c>
      <c r="C153" s="11">
        <v>18</v>
      </c>
      <c r="D153" s="15"/>
      <c r="E153" s="15"/>
      <c r="F153" s="51">
        <f>ROUND(Tabla2[[#This Row],[Área ocupada (m²)]]/20*1.4,2)</f>
        <v>4.38</v>
      </c>
      <c r="G153" s="46">
        <v>62.5</v>
      </c>
      <c r="H153" s="46">
        <v>62.5</v>
      </c>
      <c r="I153" s="51">
        <f>ROUND(Tabla2[[#This Row],[Área techada (m²)]]*0.15,2)</f>
        <v>9.3800000000000008</v>
      </c>
      <c r="J153" s="47" t="s">
        <v>30</v>
      </c>
      <c r="K153" s="48">
        <v>183500</v>
      </c>
      <c r="L153" s="51">
        <f>ROUND(Tabla2[[#This Row],[Área ocupada (m²)3]]/20*1.4,2)</f>
        <v>4.38</v>
      </c>
      <c r="M153" s="37">
        <f>ROUND(Tabla2[[#This Row],[Área ocupada (m²)]],2)</f>
        <v>62.5</v>
      </c>
      <c r="N153" s="37">
        <f>ROUND(Tabla2[[#This Row],[Área techada (m²)]],2)</f>
        <v>62.5</v>
      </c>
      <c r="O153" s="52">
        <f>ROUND(Tabla2[[#This Row],[Área techada (m²)4]]*0.15,2)</f>
        <v>9.3800000000000008</v>
      </c>
      <c r="P153" s="52">
        <f>ROUND(Tabla2[[#This Row],[Área del terreno (m²)2]]*[1]DATA!$A$2,-2)</f>
        <v>3100</v>
      </c>
      <c r="Q153" s="38" t="e">
        <f>+Tabla2[[#This Row],[Valor Comercial (US$)]]-Tabla2[[#This Row],[Valor del terreno (US$)]]</f>
        <v>#REF!</v>
      </c>
      <c r="R15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3" s="53" t="e">
        <f>ROUND(Tabla2[[#This Row],[Valor Comercial (US$)]]*0.8,-2)</f>
        <v>#REF!</v>
      </c>
      <c r="T153" s="53">
        <f>IF($H$6=$G$5,R153,ROUND(Tabla2[[#This Row],[Área techada (m²)4]]*[1]DATA!$B$2*1.15,-2))</f>
        <v>32300</v>
      </c>
      <c r="U153" s="6">
        <f t="shared" si="2"/>
        <v>3.5</v>
      </c>
      <c r="V153" s="39">
        <f>ROUND(Tabla2[[#This Row],[Valor del terreno (US$)]]*Tabla2[[#This Row],[Tipo de Cambio]],-2)</f>
        <v>10900</v>
      </c>
      <c r="W153" s="39" t="e">
        <f>Tabla2[[#This Row],[Valor Comercial (S/.)]]-Tabla2[[#This Row],[Valor del terreno (S/.)]]</f>
        <v>#REF!</v>
      </c>
      <c r="X153" s="39" t="e">
        <f>ROUND(Tabla2[[#This Row],[Valor Comercial (US$)]]*Tabla2[[#This Row],[Tipo de Cambio]],-2)</f>
        <v>#REF!</v>
      </c>
      <c r="Y153" s="39" t="e">
        <f>ROUND(Tabla2[[#This Row],[Valor Realización (US$)]]*Tabla2[[#This Row],[Tipo de Cambio]],-2)</f>
        <v>#REF!</v>
      </c>
      <c r="Z153" s="39">
        <f>+ROUND(Tabla2[[#This Row],[Importe Asegurable (US$)]]*Tabla2[[#This Row],[Tipo de Cambio]],-2)</f>
        <v>113100</v>
      </c>
      <c r="AA153" s="40"/>
      <c r="AB153" s="2" t="e">
        <f>+Tabla2[[#This Row],[Valor Comercial (US$)]]/Tabla2[[#This Row],[Área techada (m²)4]]</f>
        <v>#REF!</v>
      </c>
      <c r="AC15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3" s="61" t="s">
        <v>44</v>
      </c>
      <c r="AE153" s="54">
        <f>IF(Tabla2[[#This Row],[Moneda]]="Soles",Tabla2[[#This Row],[Valor de Venta]]/Tabla2[[#This Row],[Área techada (m²)]]/Tabla2[[#This Row],[Tipo de Cambio]],Tabla2[[#This Row],[Valor de Venta]]/Tabla2[[#This Row],[Área techada (m²)]])</f>
        <v>838.85714285714289</v>
      </c>
      <c r="AF153" s="43" t="e">
        <f>_xlfn.XLOOKUP(Tabla2[[#This Row],[VISTA]],[1]!Table1[Clase],[1]!Table1[VUE (USD)],0,0,1)</f>
        <v>#REF!</v>
      </c>
      <c r="AG153" s="55" t="e">
        <f>+Tabla2[[#This Row],[Valor Comercial (S/.)]]/Tabla2[[#This Row],[Valor de Venta]]-1</f>
        <v>#REF!</v>
      </c>
    </row>
    <row r="154" spans="1:33" s="1" customFormat="1" ht="15" customHeight="1" x14ac:dyDescent="0.25">
      <c r="A154" s="60" t="s">
        <v>27</v>
      </c>
      <c r="B154" s="14">
        <v>1807</v>
      </c>
      <c r="C154" s="11">
        <v>18</v>
      </c>
      <c r="D154" s="15"/>
      <c r="E154" s="15"/>
      <c r="F154" s="51">
        <f>ROUND(Tabla2[[#This Row],[Área ocupada (m²)]]/20*1.4,2)</f>
        <v>4.38</v>
      </c>
      <c r="G154" s="46">
        <v>62.5</v>
      </c>
      <c r="H154" s="46">
        <v>62.5</v>
      </c>
      <c r="I154" s="51">
        <f>ROUND(Tabla2[[#This Row],[Área techada (m²)]]*0.15,2)</f>
        <v>9.3800000000000008</v>
      </c>
      <c r="J154" s="47" t="s">
        <v>30</v>
      </c>
      <c r="K154" s="48">
        <v>176500</v>
      </c>
      <c r="L154" s="51">
        <f>ROUND(Tabla2[[#This Row],[Área ocupada (m²)3]]/20*1.4,2)</f>
        <v>4.38</v>
      </c>
      <c r="M154" s="37">
        <f>ROUND(Tabla2[[#This Row],[Área ocupada (m²)]],2)</f>
        <v>62.5</v>
      </c>
      <c r="N154" s="37">
        <f>ROUND(Tabla2[[#This Row],[Área techada (m²)]],2)</f>
        <v>62.5</v>
      </c>
      <c r="O154" s="52">
        <f>ROUND(Tabla2[[#This Row],[Área techada (m²)4]]*0.15,2)</f>
        <v>9.3800000000000008</v>
      </c>
      <c r="P154" s="52">
        <f>ROUND(Tabla2[[#This Row],[Área del terreno (m²)2]]*[1]DATA!$A$2,-2)</f>
        <v>3100</v>
      </c>
      <c r="Q154" s="38" t="e">
        <f>+Tabla2[[#This Row],[Valor Comercial (US$)]]-Tabla2[[#This Row],[Valor del terreno (US$)]]</f>
        <v>#REF!</v>
      </c>
      <c r="R15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4" s="53" t="e">
        <f>ROUND(Tabla2[[#This Row],[Valor Comercial (US$)]]*0.8,-2)</f>
        <v>#REF!</v>
      </c>
      <c r="T154" s="53">
        <f>IF($H$6=$G$5,R154,ROUND(Tabla2[[#This Row],[Área techada (m²)4]]*[1]DATA!$B$2*1.15,-2))</f>
        <v>32300</v>
      </c>
      <c r="U154" s="6">
        <f t="shared" si="2"/>
        <v>3.5</v>
      </c>
      <c r="V154" s="39">
        <f>ROUND(Tabla2[[#This Row],[Valor del terreno (US$)]]*Tabla2[[#This Row],[Tipo de Cambio]],-2)</f>
        <v>10900</v>
      </c>
      <c r="W154" s="39" t="e">
        <f>Tabla2[[#This Row],[Valor Comercial (S/.)]]-Tabla2[[#This Row],[Valor del terreno (S/.)]]</f>
        <v>#REF!</v>
      </c>
      <c r="X154" s="39" t="e">
        <f>ROUND(Tabla2[[#This Row],[Valor Comercial (US$)]]*Tabla2[[#This Row],[Tipo de Cambio]],-2)</f>
        <v>#REF!</v>
      </c>
      <c r="Y154" s="39" t="e">
        <f>ROUND(Tabla2[[#This Row],[Valor Realización (US$)]]*Tabla2[[#This Row],[Tipo de Cambio]],-2)</f>
        <v>#REF!</v>
      </c>
      <c r="Z154" s="39">
        <f>+ROUND(Tabla2[[#This Row],[Importe Asegurable (US$)]]*Tabla2[[#This Row],[Tipo de Cambio]],-2)</f>
        <v>113100</v>
      </c>
      <c r="AA154" s="40"/>
      <c r="AB154" s="2" t="e">
        <f>+Tabla2[[#This Row],[Valor Comercial (US$)]]/Tabla2[[#This Row],[Área techada (m²)4]]</f>
        <v>#REF!</v>
      </c>
      <c r="AC15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4" s="61" t="s">
        <v>44</v>
      </c>
      <c r="AE154" s="54">
        <f>IF(Tabla2[[#This Row],[Moneda]]="Soles",Tabla2[[#This Row],[Valor de Venta]]/Tabla2[[#This Row],[Área techada (m²)]]/Tabla2[[#This Row],[Tipo de Cambio]],Tabla2[[#This Row],[Valor de Venta]]/Tabla2[[#This Row],[Área techada (m²)]])</f>
        <v>806.85714285714289</v>
      </c>
      <c r="AF154" s="43" t="e">
        <f>_xlfn.XLOOKUP(Tabla2[[#This Row],[VISTA]],[1]!Table1[Clase],[1]!Table1[VUE (USD)],0,0,1)</f>
        <v>#REF!</v>
      </c>
      <c r="AG154" s="55" t="e">
        <f>+Tabla2[[#This Row],[Valor Comercial (S/.)]]/Tabla2[[#This Row],[Valor de Venta]]-1</f>
        <v>#REF!</v>
      </c>
    </row>
    <row r="155" spans="1:33" s="1" customFormat="1" ht="15" customHeight="1" x14ac:dyDescent="0.25">
      <c r="A155" s="60" t="s">
        <v>27</v>
      </c>
      <c r="B155" s="14">
        <v>1808</v>
      </c>
      <c r="C155" s="11">
        <v>18</v>
      </c>
      <c r="D155" s="15"/>
      <c r="E155" s="15"/>
      <c r="F155" s="51">
        <f>ROUND(Tabla2[[#This Row],[Área ocupada (m²)]]/20*1.4,2)</f>
        <v>4.5599999999999996</v>
      </c>
      <c r="G155" s="46">
        <v>65.2</v>
      </c>
      <c r="H155" s="46">
        <v>65.2</v>
      </c>
      <c r="I155" s="51">
        <f>ROUND(Tabla2[[#This Row],[Área techada (m²)]]*0.15,2)</f>
        <v>9.7799999999999994</v>
      </c>
      <c r="J155" s="47" t="s">
        <v>30</v>
      </c>
      <c r="K155" s="48">
        <v>189100</v>
      </c>
      <c r="L155" s="51">
        <f>ROUND(Tabla2[[#This Row],[Área ocupada (m²)3]]/20*1.4,2)</f>
        <v>4.5599999999999996</v>
      </c>
      <c r="M155" s="37">
        <f>ROUND(Tabla2[[#This Row],[Área ocupada (m²)]],2)</f>
        <v>65.2</v>
      </c>
      <c r="N155" s="37">
        <f>ROUND(Tabla2[[#This Row],[Área techada (m²)]],2)</f>
        <v>65.2</v>
      </c>
      <c r="O155" s="52">
        <f>ROUND(Tabla2[[#This Row],[Área techada (m²)4]]*0.15,2)</f>
        <v>9.7799999999999994</v>
      </c>
      <c r="P155" s="52">
        <f>ROUND(Tabla2[[#This Row],[Área del terreno (m²)2]]*[1]DATA!$A$2,-2)</f>
        <v>3200</v>
      </c>
      <c r="Q155" s="38" t="e">
        <f>+Tabla2[[#This Row],[Valor Comercial (US$)]]-Tabla2[[#This Row],[Valor del terreno (US$)]]</f>
        <v>#REF!</v>
      </c>
      <c r="R15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5" s="53" t="e">
        <f>ROUND(Tabla2[[#This Row],[Valor Comercial (US$)]]*0.8,-2)</f>
        <v>#REF!</v>
      </c>
      <c r="T155" s="53">
        <f>IF($H$6=$G$5,R155,ROUND(Tabla2[[#This Row],[Área techada (m²)4]]*[1]DATA!$B$2*1.15,-2))</f>
        <v>33700</v>
      </c>
      <c r="U155" s="6">
        <f t="shared" si="2"/>
        <v>3.5</v>
      </c>
      <c r="V155" s="39">
        <f>ROUND(Tabla2[[#This Row],[Valor del terreno (US$)]]*Tabla2[[#This Row],[Tipo de Cambio]],-2)</f>
        <v>11200</v>
      </c>
      <c r="W155" s="39" t="e">
        <f>Tabla2[[#This Row],[Valor Comercial (S/.)]]-Tabla2[[#This Row],[Valor del terreno (S/.)]]</f>
        <v>#REF!</v>
      </c>
      <c r="X155" s="39" t="e">
        <f>ROUND(Tabla2[[#This Row],[Valor Comercial (US$)]]*Tabla2[[#This Row],[Tipo de Cambio]],-2)</f>
        <v>#REF!</v>
      </c>
      <c r="Y155" s="39" t="e">
        <f>ROUND(Tabla2[[#This Row],[Valor Realización (US$)]]*Tabla2[[#This Row],[Tipo de Cambio]],-2)</f>
        <v>#REF!</v>
      </c>
      <c r="Z155" s="39">
        <f>+ROUND(Tabla2[[#This Row],[Importe Asegurable (US$)]]*Tabla2[[#This Row],[Tipo de Cambio]],-2)</f>
        <v>118000</v>
      </c>
      <c r="AA155" s="40"/>
      <c r="AB155" s="2" t="e">
        <f>+Tabla2[[#This Row],[Valor Comercial (US$)]]/Tabla2[[#This Row],[Área techada (m²)4]]</f>
        <v>#REF!</v>
      </c>
      <c r="AC15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5" s="61" t="s">
        <v>44</v>
      </c>
      <c r="AE155" s="54">
        <f>IF(Tabla2[[#This Row],[Moneda]]="Soles",Tabla2[[#This Row],[Valor de Venta]]/Tabla2[[#This Row],[Área techada (m²)]]/Tabla2[[#This Row],[Tipo de Cambio]],Tabla2[[#This Row],[Valor de Venta]]/Tabla2[[#This Row],[Área techada (m²)]])</f>
        <v>828.65907099035928</v>
      </c>
      <c r="AF155" s="43" t="e">
        <f>_xlfn.XLOOKUP(Tabla2[[#This Row],[VISTA]],[1]!Table1[Clase],[1]!Table1[VUE (USD)],0,0,1)</f>
        <v>#REF!</v>
      </c>
      <c r="AG155" s="55" t="e">
        <f>+Tabla2[[#This Row],[Valor Comercial (S/.)]]/Tabla2[[#This Row],[Valor de Venta]]-1</f>
        <v>#REF!</v>
      </c>
    </row>
    <row r="156" spans="1:33" s="1" customFormat="1" ht="15" customHeight="1" x14ac:dyDescent="0.25">
      <c r="A156" s="60" t="s">
        <v>27</v>
      </c>
      <c r="B156" s="14">
        <v>1901</v>
      </c>
      <c r="C156" s="11">
        <v>19</v>
      </c>
      <c r="D156" s="15"/>
      <c r="E156" s="15"/>
      <c r="F156" s="51">
        <f>ROUND(Tabla2[[#This Row],[Área ocupada (m²)]]/20*1.4,2)</f>
        <v>4.5599999999999996</v>
      </c>
      <c r="G156" s="46">
        <v>65.2</v>
      </c>
      <c r="H156" s="46">
        <v>65.2</v>
      </c>
      <c r="I156" s="51">
        <f>ROUND(Tabla2[[#This Row],[Área techada (m²)]]*0.15,2)</f>
        <v>9.7799999999999994</v>
      </c>
      <c r="J156" s="47" t="s">
        <v>30</v>
      </c>
      <c r="K156" s="48">
        <v>180300</v>
      </c>
      <c r="L156" s="51">
        <f>ROUND(Tabla2[[#This Row],[Área ocupada (m²)3]]/20*1.4,2)</f>
        <v>4.5599999999999996</v>
      </c>
      <c r="M156" s="37">
        <f>ROUND(Tabla2[[#This Row],[Área ocupada (m²)]],2)</f>
        <v>65.2</v>
      </c>
      <c r="N156" s="37">
        <f>ROUND(Tabla2[[#This Row],[Área techada (m²)]],2)</f>
        <v>65.2</v>
      </c>
      <c r="O156" s="52">
        <f>ROUND(Tabla2[[#This Row],[Área techada (m²)4]]*0.15,2)</f>
        <v>9.7799999999999994</v>
      </c>
      <c r="P156" s="52">
        <f>ROUND(Tabla2[[#This Row],[Área del terreno (m²)2]]*[1]DATA!$A$2,-2)</f>
        <v>3200</v>
      </c>
      <c r="Q156" s="38" t="e">
        <f>+Tabla2[[#This Row],[Valor Comercial (US$)]]-Tabla2[[#This Row],[Valor del terreno (US$)]]</f>
        <v>#REF!</v>
      </c>
      <c r="R15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6" s="53" t="e">
        <f>ROUND(Tabla2[[#This Row],[Valor Comercial (US$)]]*0.8,-2)</f>
        <v>#REF!</v>
      </c>
      <c r="T156" s="53">
        <f>IF($H$6=$G$5,R156,ROUND(Tabla2[[#This Row],[Área techada (m²)4]]*[1]DATA!$B$2*1.15,-2))</f>
        <v>33700</v>
      </c>
      <c r="U156" s="6">
        <f t="shared" si="2"/>
        <v>3.5</v>
      </c>
      <c r="V156" s="39">
        <f>ROUND(Tabla2[[#This Row],[Valor del terreno (US$)]]*Tabla2[[#This Row],[Tipo de Cambio]],-2)</f>
        <v>11200</v>
      </c>
      <c r="W156" s="39" t="e">
        <f>Tabla2[[#This Row],[Valor Comercial (S/.)]]-Tabla2[[#This Row],[Valor del terreno (S/.)]]</f>
        <v>#REF!</v>
      </c>
      <c r="X156" s="39" t="e">
        <f>ROUND(Tabla2[[#This Row],[Valor Comercial (US$)]]*Tabla2[[#This Row],[Tipo de Cambio]],-2)</f>
        <v>#REF!</v>
      </c>
      <c r="Y156" s="39" t="e">
        <f>ROUND(Tabla2[[#This Row],[Valor Realización (US$)]]*Tabla2[[#This Row],[Tipo de Cambio]],-2)</f>
        <v>#REF!</v>
      </c>
      <c r="Z156" s="39">
        <f>+ROUND(Tabla2[[#This Row],[Importe Asegurable (US$)]]*Tabla2[[#This Row],[Tipo de Cambio]],-2)</f>
        <v>118000</v>
      </c>
      <c r="AA156" s="40"/>
      <c r="AB156" s="2" t="e">
        <f>+Tabla2[[#This Row],[Valor Comercial (US$)]]/Tabla2[[#This Row],[Área techada (m²)4]]</f>
        <v>#REF!</v>
      </c>
      <c r="AC15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6" s="61" t="s">
        <v>45</v>
      </c>
      <c r="AE156" s="54">
        <f>IF(Tabla2[[#This Row],[Moneda]]="Soles",Tabla2[[#This Row],[Valor de Venta]]/Tabla2[[#This Row],[Área techada (m²)]]/Tabla2[[#This Row],[Tipo de Cambio]],Tabla2[[#This Row],[Valor de Venta]]/Tabla2[[#This Row],[Área techada (m²)]])</f>
        <v>790.09640666082385</v>
      </c>
      <c r="AF156" s="43" t="e">
        <f>_xlfn.XLOOKUP(Tabla2[[#This Row],[VISTA]],[1]!Table1[Clase],[1]!Table1[VUE (USD)],0,0,1)</f>
        <v>#REF!</v>
      </c>
      <c r="AG156" s="55" t="e">
        <f>+Tabla2[[#This Row],[Valor Comercial (S/.)]]/Tabla2[[#This Row],[Valor de Venta]]-1</f>
        <v>#REF!</v>
      </c>
    </row>
    <row r="157" spans="1:33" s="1" customFormat="1" ht="15" customHeight="1" x14ac:dyDescent="0.25">
      <c r="A157" s="60" t="s">
        <v>27</v>
      </c>
      <c r="B157" s="14">
        <v>1902</v>
      </c>
      <c r="C157" s="11">
        <v>19</v>
      </c>
      <c r="D157" s="15"/>
      <c r="E157" s="15"/>
      <c r="F157" s="51">
        <f>ROUND(Tabla2[[#This Row],[Área ocupada (m²)]]/20*1.4,2)</f>
        <v>4.38</v>
      </c>
      <c r="G157" s="46">
        <v>62.5</v>
      </c>
      <c r="H157" s="46">
        <v>62.5</v>
      </c>
      <c r="I157" s="51">
        <f>ROUND(Tabla2[[#This Row],[Área techada (m²)]]*0.15,2)</f>
        <v>9.3800000000000008</v>
      </c>
      <c r="J157" s="47" t="s">
        <v>30</v>
      </c>
      <c r="K157" s="48">
        <v>165100</v>
      </c>
      <c r="L157" s="51">
        <f>ROUND(Tabla2[[#This Row],[Área ocupada (m²)3]]/20*1.4,2)</f>
        <v>4.38</v>
      </c>
      <c r="M157" s="37">
        <f>ROUND(Tabla2[[#This Row],[Área ocupada (m²)]],2)</f>
        <v>62.5</v>
      </c>
      <c r="N157" s="37">
        <f>ROUND(Tabla2[[#This Row],[Área techada (m²)]],2)</f>
        <v>62.5</v>
      </c>
      <c r="O157" s="52">
        <f>ROUND(Tabla2[[#This Row],[Área techada (m²)4]]*0.15,2)</f>
        <v>9.3800000000000008</v>
      </c>
      <c r="P157" s="52">
        <f>ROUND(Tabla2[[#This Row],[Área del terreno (m²)2]]*[1]DATA!$A$2,-2)</f>
        <v>3100</v>
      </c>
      <c r="Q157" s="38" t="e">
        <f>+Tabla2[[#This Row],[Valor Comercial (US$)]]-Tabla2[[#This Row],[Valor del terreno (US$)]]</f>
        <v>#REF!</v>
      </c>
      <c r="R15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7" s="53" t="e">
        <f>ROUND(Tabla2[[#This Row],[Valor Comercial (US$)]]*0.8,-2)</f>
        <v>#REF!</v>
      </c>
      <c r="T157" s="53">
        <f>IF($H$6=$G$5,R157,ROUND(Tabla2[[#This Row],[Área techada (m²)4]]*[1]DATA!$B$2*1.15,-2))</f>
        <v>32300</v>
      </c>
      <c r="U157" s="6">
        <f t="shared" si="2"/>
        <v>3.5</v>
      </c>
      <c r="V157" s="39">
        <f>ROUND(Tabla2[[#This Row],[Valor del terreno (US$)]]*Tabla2[[#This Row],[Tipo de Cambio]],-2)</f>
        <v>10900</v>
      </c>
      <c r="W157" s="39" t="e">
        <f>Tabla2[[#This Row],[Valor Comercial (S/.)]]-Tabla2[[#This Row],[Valor del terreno (S/.)]]</f>
        <v>#REF!</v>
      </c>
      <c r="X157" s="39" t="e">
        <f>ROUND(Tabla2[[#This Row],[Valor Comercial (US$)]]*Tabla2[[#This Row],[Tipo de Cambio]],-2)</f>
        <v>#REF!</v>
      </c>
      <c r="Y157" s="39" t="e">
        <f>ROUND(Tabla2[[#This Row],[Valor Realización (US$)]]*Tabla2[[#This Row],[Tipo de Cambio]],-2)</f>
        <v>#REF!</v>
      </c>
      <c r="Z157" s="39">
        <f>+ROUND(Tabla2[[#This Row],[Importe Asegurable (US$)]]*Tabla2[[#This Row],[Tipo de Cambio]],-2)</f>
        <v>113100</v>
      </c>
      <c r="AA157" s="40"/>
      <c r="AB157" s="2" t="e">
        <f>+Tabla2[[#This Row],[Valor Comercial (US$)]]/Tabla2[[#This Row],[Área techada (m²)4]]</f>
        <v>#REF!</v>
      </c>
      <c r="AC15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7" s="61" t="s">
        <v>45</v>
      </c>
      <c r="AE157" s="54">
        <f>IF(Tabla2[[#This Row],[Moneda]]="Soles",Tabla2[[#This Row],[Valor de Venta]]/Tabla2[[#This Row],[Área techada (m²)]]/Tabla2[[#This Row],[Tipo de Cambio]],Tabla2[[#This Row],[Valor de Venta]]/Tabla2[[#This Row],[Área techada (m²)]])</f>
        <v>754.74285714285713</v>
      </c>
      <c r="AF157" s="43" t="e">
        <f>_xlfn.XLOOKUP(Tabla2[[#This Row],[VISTA]],[1]!Table1[Clase],[1]!Table1[VUE (USD)],0,0,1)</f>
        <v>#REF!</v>
      </c>
      <c r="AG157" s="55" t="e">
        <f>+Tabla2[[#This Row],[Valor Comercial (S/.)]]/Tabla2[[#This Row],[Valor de Venta]]-1</f>
        <v>#REF!</v>
      </c>
    </row>
    <row r="158" spans="1:33" s="1" customFormat="1" ht="15" customHeight="1" x14ac:dyDescent="0.25">
      <c r="A158" s="60" t="s">
        <v>27</v>
      </c>
      <c r="B158" s="14">
        <v>1903</v>
      </c>
      <c r="C158" s="11">
        <v>19</v>
      </c>
      <c r="D158" s="15"/>
      <c r="E158" s="15"/>
      <c r="F158" s="51">
        <f>ROUND(Tabla2[[#This Row],[Área ocupada (m²)]]/20*1.4,2)</f>
        <v>4.38</v>
      </c>
      <c r="G158" s="46">
        <v>62.5</v>
      </c>
      <c r="H158" s="46">
        <v>62.5</v>
      </c>
      <c r="I158" s="51">
        <f>ROUND(Tabla2[[#This Row],[Área techada (m²)]]*0.15,2)</f>
        <v>9.3800000000000008</v>
      </c>
      <c r="J158" s="47" t="s">
        <v>30</v>
      </c>
      <c r="K158" s="48">
        <v>173800</v>
      </c>
      <c r="L158" s="51">
        <f>ROUND(Tabla2[[#This Row],[Área ocupada (m²)3]]/20*1.4,2)</f>
        <v>4.38</v>
      </c>
      <c r="M158" s="37">
        <f>ROUND(Tabla2[[#This Row],[Área ocupada (m²)]],2)</f>
        <v>62.5</v>
      </c>
      <c r="N158" s="37">
        <f>ROUND(Tabla2[[#This Row],[Área techada (m²)]],2)</f>
        <v>62.5</v>
      </c>
      <c r="O158" s="52">
        <f>ROUND(Tabla2[[#This Row],[Área techada (m²)4]]*0.15,2)</f>
        <v>9.3800000000000008</v>
      </c>
      <c r="P158" s="52">
        <f>ROUND(Tabla2[[#This Row],[Área del terreno (m²)2]]*[1]DATA!$A$2,-2)</f>
        <v>3100</v>
      </c>
      <c r="Q158" s="38" t="e">
        <f>+Tabla2[[#This Row],[Valor Comercial (US$)]]-Tabla2[[#This Row],[Valor del terreno (US$)]]</f>
        <v>#REF!</v>
      </c>
      <c r="R15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8" s="53" t="e">
        <f>ROUND(Tabla2[[#This Row],[Valor Comercial (US$)]]*0.8,-2)</f>
        <v>#REF!</v>
      </c>
      <c r="T158" s="53">
        <f>IF($H$6=$G$5,R158,ROUND(Tabla2[[#This Row],[Área techada (m²)4]]*[1]DATA!$B$2*1.15,-2))</f>
        <v>32300</v>
      </c>
      <c r="U158" s="6">
        <f t="shared" si="2"/>
        <v>3.5</v>
      </c>
      <c r="V158" s="39">
        <f>ROUND(Tabla2[[#This Row],[Valor del terreno (US$)]]*Tabla2[[#This Row],[Tipo de Cambio]],-2)</f>
        <v>10900</v>
      </c>
      <c r="W158" s="39" t="e">
        <f>Tabla2[[#This Row],[Valor Comercial (S/.)]]-Tabla2[[#This Row],[Valor del terreno (S/.)]]</f>
        <v>#REF!</v>
      </c>
      <c r="X158" s="39" t="e">
        <f>ROUND(Tabla2[[#This Row],[Valor Comercial (US$)]]*Tabla2[[#This Row],[Tipo de Cambio]],-2)</f>
        <v>#REF!</v>
      </c>
      <c r="Y158" s="39" t="e">
        <f>ROUND(Tabla2[[#This Row],[Valor Realización (US$)]]*Tabla2[[#This Row],[Tipo de Cambio]],-2)</f>
        <v>#REF!</v>
      </c>
      <c r="Z158" s="39">
        <f>+ROUND(Tabla2[[#This Row],[Importe Asegurable (US$)]]*Tabla2[[#This Row],[Tipo de Cambio]],-2)</f>
        <v>113100</v>
      </c>
      <c r="AA158" s="40"/>
      <c r="AB158" s="2" t="e">
        <f>+Tabla2[[#This Row],[Valor Comercial (US$)]]/Tabla2[[#This Row],[Área techada (m²)4]]</f>
        <v>#REF!</v>
      </c>
      <c r="AC15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8" s="61" t="s">
        <v>44</v>
      </c>
      <c r="AE158" s="54">
        <f>IF(Tabla2[[#This Row],[Moneda]]="Soles",Tabla2[[#This Row],[Valor de Venta]]/Tabla2[[#This Row],[Área techada (m²)]]/Tabla2[[#This Row],[Tipo de Cambio]],Tabla2[[#This Row],[Valor de Venta]]/Tabla2[[#This Row],[Área techada (m²)]])</f>
        <v>794.51428571428573</v>
      </c>
      <c r="AF158" s="43" t="e">
        <f>_xlfn.XLOOKUP(Tabla2[[#This Row],[VISTA]],[1]!Table1[Clase],[1]!Table1[VUE (USD)],0,0,1)</f>
        <v>#REF!</v>
      </c>
      <c r="AG158" s="55" t="e">
        <f>+Tabla2[[#This Row],[Valor Comercial (S/.)]]/Tabla2[[#This Row],[Valor de Venta]]-1</f>
        <v>#REF!</v>
      </c>
    </row>
    <row r="159" spans="1:33" s="1" customFormat="1" ht="15" customHeight="1" x14ac:dyDescent="0.25">
      <c r="A159" s="60" t="s">
        <v>27</v>
      </c>
      <c r="B159" s="14">
        <v>1904</v>
      </c>
      <c r="C159" s="11">
        <v>19</v>
      </c>
      <c r="D159" s="15"/>
      <c r="E159" s="15"/>
      <c r="F159" s="51">
        <f>ROUND(Tabla2[[#This Row],[Área ocupada (m²)]]/20*1.4,2)</f>
        <v>4.5599999999999996</v>
      </c>
      <c r="G159" s="46">
        <v>65.2</v>
      </c>
      <c r="H159" s="46">
        <v>65.2</v>
      </c>
      <c r="I159" s="51">
        <f>ROUND(Tabla2[[#This Row],[Área techada (m²)]]*0.15,2)</f>
        <v>9.7799999999999994</v>
      </c>
      <c r="J159" s="47" t="s">
        <v>30</v>
      </c>
      <c r="K159" s="48">
        <v>194300</v>
      </c>
      <c r="L159" s="51">
        <f>ROUND(Tabla2[[#This Row],[Área ocupada (m²)3]]/20*1.4,2)</f>
        <v>4.5599999999999996</v>
      </c>
      <c r="M159" s="37">
        <f>ROUND(Tabla2[[#This Row],[Área ocupada (m²)]],2)</f>
        <v>65.2</v>
      </c>
      <c r="N159" s="37">
        <f>ROUND(Tabla2[[#This Row],[Área techada (m²)]],2)</f>
        <v>65.2</v>
      </c>
      <c r="O159" s="52">
        <f>ROUND(Tabla2[[#This Row],[Área techada (m²)4]]*0.15,2)</f>
        <v>9.7799999999999994</v>
      </c>
      <c r="P159" s="52">
        <f>ROUND(Tabla2[[#This Row],[Área del terreno (m²)2]]*[1]DATA!$A$2,-2)</f>
        <v>3200</v>
      </c>
      <c r="Q159" s="38" t="e">
        <f>+Tabla2[[#This Row],[Valor Comercial (US$)]]-Tabla2[[#This Row],[Valor del terreno (US$)]]</f>
        <v>#REF!</v>
      </c>
      <c r="R15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9" s="53" t="e">
        <f>ROUND(Tabla2[[#This Row],[Valor Comercial (US$)]]*0.8,-2)</f>
        <v>#REF!</v>
      </c>
      <c r="T159" s="53">
        <f>IF($H$6=$G$5,R159,ROUND(Tabla2[[#This Row],[Área techada (m²)4]]*[1]DATA!$B$2*1.15,-2))</f>
        <v>33700</v>
      </c>
      <c r="U159" s="6">
        <f t="shared" si="2"/>
        <v>3.5</v>
      </c>
      <c r="V159" s="39">
        <f>ROUND(Tabla2[[#This Row],[Valor del terreno (US$)]]*Tabla2[[#This Row],[Tipo de Cambio]],-2)</f>
        <v>11200</v>
      </c>
      <c r="W159" s="39" t="e">
        <f>Tabla2[[#This Row],[Valor Comercial (S/.)]]-Tabla2[[#This Row],[Valor del terreno (S/.)]]</f>
        <v>#REF!</v>
      </c>
      <c r="X159" s="39" t="e">
        <f>ROUND(Tabla2[[#This Row],[Valor Comercial (US$)]]*Tabla2[[#This Row],[Tipo de Cambio]],-2)</f>
        <v>#REF!</v>
      </c>
      <c r="Y159" s="39" t="e">
        <f>ROUND(Tabla2[[#This Row],[Valor Realización (US$)]]*Tabla2[[#This Row],[Tipo de Cambio]],-2)</f>
        <v>#REF!</v>
      </c>
      <c r="Z159" s="39">
        <f>+ROUND(Tabla2[[#This Row],[Importe Asegurable (US$)]]*Tabla2[[#This Row],[Tipo de Cambio]],-2)</f>
        <v>118000</v>
      </c>
      <c r="AA159" s="40"/>
      <c r="AB159" s="2" t="e">
        <f>+Tabla2[[#This Row],[Valor Comercial (US$)]]/Tabla2[[#This Row],[Área techada (m²)4]]</f>
        <v>#REF!</v>
      </c>
      <c r="AC15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9" s="61" t="s">
        <v>43</v>
      </c>
      <c r="AE159" s="54">
        <f>IF(Tabla2[[#This Row],[Moneda]]="Soles",Tabla2[[#This Row],[Valor de Venta]]/Tabla2[[#This Row],[Área techada (m²)]]/Tabla2[[#This Row],[Tipo de Cambio]],Tabla2[[#This Row],[Valor de Venta]]/Tabla2[[#This Row],[Área techada (m²)]])</f>
        <v>851.44609991235757</v>
      </c>
      <c r="AF159" s="43" t="e">
        <f>_xlfn.XLOOKUP(Tabla2[[#This Row],[VISTA]],[1]!Table1[Clase],[1]!Table1[VUE (USD)],0,0,1)</f>
        <v>#REF!</v>
      </c>
      <c r="AG159" s="55" t="e">
        <f>+Tabla2[[#This Row],[Valor Comercial (S/.)]]/Tabla2[[#This Row],[Valor de Venta]]-1</f>
        <v>#REF!</v>
      </c>
    </row>
    <row r="160" spans="1:33" s="1" customFormat="1" ht="15" customHeight="1" x14ac:dyDescent="0.25">
      <c r="A160" s="60" t="s">
        <v>27</v>
      </c>
      <c r="B160" s="14">
        <v>1905</v>
      </c>
      <c r="C160" s="11">
        <v>19</v>
      </c>
      <c r="D160" s="15"/>
      <c r="E160" s="15"/>
      <c r="F160" s="51">
        <f>ROUND(Tabla2[[#This Row],[Área ocupada (m²)]]/20*1.4,2)</f>
        <v>4.5599999999999996</v>
      </c>
      <c r="G160" s="46">
        <v>65.2</v>
      </c>
      <c r="H160" s="46">
        <v>65.2</v>
      </c>
      <c r="I160" s="51">
        <f>ROUND(Tabla2[[#This Row],[Área techada (m²)]]*0.15,2)</f>
        <v>9.7799999999999994</v>
      </c>
      <c r="J160" s="47" t="s">
        <v>30</v>
      </c>
      <c r="K160" s="48">
        <v>191300</v>
      </c>
      <c r="L160" s="51">
        <f>ROUND(Tabla2[[#This Row],[Área ocupada (m²)3]]/20*1.4,2)</f>
        <v>4.5599999999999996</v>
      </c>
      <c r="M160" s="37">
        <f>ROUND(Tabla2[[#This Row],[Área ocupada (m²)]],2)</f>
        <v>65.2</v>
      </c>
      <c r="N160" s="37">
        <f>ROUND(Tabla2[[#This Row],[Área techada (m²)]],2)</f>
        <v>65.2</v>
      </c>
      <c r="O160" s="52">
        <f>ROUND(Tabla2[[#This Row],[Área techada (m²)4]]*0.15,2)</f>
        <v>9.7799999999999994</v>
      </c>
      <c r="P160" s="52">
        <f>ROUND(Tabla2[[#This Row],[Área del terreno (m²)2]]*[1]DATA!$A$2,-2)</f>
        <v>3200</v>
      </c>
      <c r="Q160" s="38" t="e">
        <f>+Tabla2[[#This Row],[Valor Comercial (US$)]]-Tabla2[[#This Row],[Valor del terreno (US$)]]</f>
        <v>#REF!</v>
      </c>
      <c r="R16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0" s="53" t="e">
        <f>ROUND(Tabla2[[#This Row],[Valor Comercial (US$)]]*0.8,-2)</f>
        <v>#REF!</v>
      </c>
      <c r="T160" s="53">
        <f>IF($H$6=$G$5,R160,ROUND(Tabla2[[#This Row],[Área techada (m²)4]]*[1]DATA!$B$2*1.15,-2))</f>
        <v>33700</v>
      </c>
      <c r="U160" s="6">
        <f t="shared" si="2"/>
        <v>3.5</v>
      </c>
      <c r="V160" s="39">
        <f>ROUND(Tabla2[[#This Row],[Valor del terreno (US$)]]*Tabla2[[#This Row],[Tipo de Cambio]],-2)</f>
        <v>11200</v>
      </c>
      <c r="W160" s="39" t="e">
        <f>Tabla2[[#This Row],[Valor Comercial (S/.)]]-Tabla2[[#This Row],[Valor del terreno (S/.)]]</f>
        <v>#REF!</v>
      </c>
      <c r="X160" s="39" t="e">
        <f>ROUND(Tabla2[[#This Row],[Valor Comercial (US$)]]*Tabla2[[#This Row],[Tipo de Cambio]],-2)</f>
        <v>#REF!</v>
      </c>
      <c r="Y160" s="39" t="e">
        <f>ROUND(Tabla2[[#This Row],[Valor Realización (US$)]]*Tabla2[[#This Row],[Tipo de Cambio]],-2)</f>
        <v>#REF!</v>
      </c>
      <c r="Z160" s="39">
        <f>+ROUND(Tabla2[[#This Row],[Importe Asegurable (US$)]]*Tabla2[[#This Row],[Tipo de Cambio]],-2)</f>
        <v>118000</v>
      </c>
      <c r="AA160" s="40"/>
      <c r="AB160" s="2" t="e">
        <f>+Tabla2[[#This Row],[Valor Comercial (US$)]]/Tabla2[[#This Row],[Área techada (m²)4]]</f>
        <v>#REF!</v>
      </c>
      <c r="AC16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0" s="61" t="s">
        <v>44</v>
      </c>
      <c r="AE160" s="54">
        <f>IF(Tabla2[[#This Row],[Moneda]]="Soles",Tabla2[[#This Row],[Valor de Venta]]/Tabla2[[#This Row],[Área techada (m²)]]/Tabla2[[#This Row],[Tipo de Cambio]],Tabla2[[#This Row],[Valor de Venta]]/Tabla2[[#This Row],[Área techada (m²)]])</f>
        <v>838.29973707274326</v>
      </c>
      <c r="AF160" s="43" t="e">
        <f>_xlfn.XLOOKUP(Tabla2[[#This Row],[VISTA]],[1]!Table1[Clase],[1]!Table1[VUE (USD)],0,0,1)</f>
        <v>#REF!</v>
      </c>
      <c r="AG160" s="55" t="e">
        <f>+Tabla2[[#This Row],[Valor Comercial (S/.)]]/Tabla2[[#This Row],[Valor de Venta]]-1</f>
        <v>#REF!</v>
      </c>
    </row>
    <row r="161" spans="1:33" s="1" customFormat="1" ht="15" customHeight="1" x14ac:dyDescent="0.25">
      <c r="A161" s="60" t="s">
        <v>27</v>
      </c>
      <c r="B161" s="14">
        <v>1906</v>
      </c>
      <c r="C161" s="11">
        <v>19</v>
      </c>
      <c r="D161" s="15"/>
      <c r="E161" s="15"/>
      <c r="F161" s="51">
        <f>ROUND(Tabla2[[#This Row],[Área ocupada (m²)]]/20*1.4,2)</f>
        <v>4.38</v>
      </c>
      <c r="G161" s="46">
        <v>62.5</v>
      </c>
      <c r="H161" s="46">
        <v>62.5</v>
      </c>
      <c r="I161" s="51">
        <f>ROUND(Tabla2[[#This Row],[Área techada (m²)]]*0.15,2)</f>
        <v>9.3800000000000008</v>
      </c>
      <c r="J161" s="47" t="s">
        <v>30</v>
      </c>
      <c r="K161" s="48">
        <v>178800</v>
      </c>
      <c r="L161" s="51">
        <f>ROUND(Tabla2[[#This Row],[Área ocupada (m²)3]]/20*1.4,2)</f>
        <v>4.38</v>
      </c>
      <c r="M161" s="37">
        <f>ROUND(Tabla2[[#This Row],[Área ocupada (m²)]],2)</f>
        <v>62.5</v>
      </c>
      <c r="N161" s="37">
        <f>ROUND(Tabla2[[#This Row],[Área techada (m²)]],2)</f>
        <v>62.5</v>
      </c>
      <c r="O161" s="52">
        <f>ROUND(Tabla2[[#This Row],[Área techada (m²)4]]*0.15,2)</f>
        <v>9.3800000000000008</v>
      </c>
      <c r="P161" s="52">
        <f>ROUND(Tabla2[[#This Row],[Área del terreno (m²)2]]*[1]DATA!$A$2,-2)</f>
        <v>3100</v>
      </c>
      <c r="Q161" s="38" t="e">
        <f>+Tabla2[[#This Row],[Valor Comercial (US$)]]-Tabla2[[#This Row],[Valor del terreno (US$)]]</f>
        <v>#REF!</v>
      </c>
      <c r="R16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1" s="53" t="e">
        <f>ROUND(Tabla2[[#This Row],[Valor Comercial (US$)]]*0.8,-2)</f>
        <v>#REF!</v>
      </c>
      <c r="T161" s="53">
        <f>IF($H$6=$G$5,R161,ROUND(Tabla2[[#This Row],[Área techada (m²)4]]*[1]DATA!$B$2*1.15,-2))</f>
        <v>32300</v>
      </c>
      <c r="U161" s="6">
        <f t="shared" si="2"/>
        <v>3.5</v>
      </c>
      <c r="V161" s="39">
        <f>ROUND(Tabla2[[#This Row],[Valor del terreno (US$)]]*Tabla2[[#This Row],[Tipo de Cambio]],-2)</f>
        <v>10900</v>
      </c>
      <c r="W161" s="39" t="e">
        <f>Tabla2[[#This Row],[Valor Comercial (S/.)]]-Tabla2[[#This Row],[Valor del terreno (S/.)]]</f>
        <v>#REF!</v>
      </c>
      <c r="X161" s="39" t="e">
        <f>ROUND(Tabla2[[#This Row],[Valor Comercial (US$)]]*Tabla2[[#This Row],[Tipo de Cambio]],-2)</f>
        <v>#REF!</v>
      </c>
      <c r="Y161" s="39" t="e">
        <f>ROUND(Tabla2[[#This Row],[Valor Realización (US$)]]*Tabla2[[#This Row],[Tipo de Cambio]],-2)</f>
        <v>#REF!</v>
      </c>
      <c r="Z161" s="39">
        <f>+ROUND(Tabla2[[#This Row],[Importe Asegurable (US$)]]*Tabla2[[#This Row],[Tipo de Cambio]],-2)</f>
        <v>113100</v>
      </c>
      <c r="AA161" s="40"/>
      <c r="AB161" s="2" t="e">
        <f>+Tabla2[[#This Row],[Valor Comercial (US$)]]/Tabla2[[#This Row],[Área techada (m²)4]]</f>
        <v>#REF!</v>
      </c>
      <c r="AC16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1" s="61" t="s">
        <v>44</v>
      </c>
      <c r="AE161" s="54">
        <f>IF(Tabla2[[#This Row],[Moneda]]="Soles",Tabla2[[#This Row],[Valor de Venta]]/Tabla2[[#This Row],[Área techada (m²)]]/Tabla2[[#This Row],[Tipo de Cambio]],Tabla2[[#This Row],[Valor de Venta]]/Tabla2[[#This Row],[Área techada (m²)]])</f>
        <v>817.37142857142862</v>
      </c>
      <c r="AF161" s="43" t="e">
        <f>_xlfn.XLOOKUP(Tabla2[[#This Row],[VISTA]],[1]!Table1[Clase],[1]!Table1[VUE (USD)],0,0,1)</f>
        <v>#REF!</v>
      </c>
      <c r="AG161" s="55" t="e">
        <f>+Tabla2[[#This Row],[Valor Comercial (S/.)]]/Tabla2[[#This Row],[Valor de Venta]]-1</f>
        <v>#REF!</v>
      </c>
    </row>
    <row r="162" spans="1:33" s="1" customFormat="1" ht="15" customHeight="1" x14ac:dyDescent="0.25">
      <c r="A162" s="60" t="s">
        <v>27</v>
      </c>
      <c r="B162" s="14">
        <v>1907</v>
      </c>
      <c r="C162" s="11">
        <v>19</v>
      </c>
      <c r="D162" s="15"/>
      <c r="E162" s="15"/>
      <c r="F162" s="51">
        <f>ROUND(Tabla2[[#This Row],[Área ocupada (m²)]]/20*1.4,2)</f>
        <v>4.38</v>
      </c>
      <c r="G162" s="46">
        <v>62.5</v>
      </c>
      <c r="H162" s="46">
        <v>62.5</v>
      </c>
      <c r="I162" s="51">
        <f>ROUND(Tabla2[[#This Row],[Área techada (m²)]]*0.15,2)</f>
        <v>9.3800000000000008</v>
      </c>
      <c r="J162" s="47" t="s">
        <v>30</v>
      </c>
      <c r="K162" s="48">
        <v>162700</v>
      </c>
      <c r="L162" s="51">
        <f>ROUND(Tabla2[[#This Row],[Área ocupada (m²)3]]/20*1.4,2)</f>
        <v>4.38</v>
      </c>
      <c r="M162" s="37">
        <f>ROUND(Tabla2[[#This Row],[Área ocupada (m²)]],2)</f>
        <v>62.5</v>
      </c>
      <c r="N162" s="37">
        <f>ROUND(Tabla2[[#This Row],[Área techada (m²)]],2)</f>
        <v>62.5</v>
      </c>
      <c r="O162" s="52">
        <f>ROUND(Tabla2[[#This Row],[Área techada (m²)4]]*0.15,2)</f>
        <v>9.3800000000000008</v>
      </c>
      <c r="P162" s="52">
        <f>ROUND(Tabla2[[#This Row],[Área del terreno (m²)2]]*[1]DATA!$A$2,-2)</f>
        <v>3100</v>
      </c>
      <c r="Q162" s="38" t="e">
        <f>+Tabla2[[#This Row],[Valor Comercial (US$)]]-Tabla2[[#This Row],[Valor del terreno (US$)]]</f>
        <v>#REF!</v>
      </c>
      <c r="R16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2" s="53" t="e">
        <f>ROUND(Tabla2[[#This Row],[Valor Comercial (US$)]]*0.8,-2)</f>
        <v>#REF!</v>
      </c>
      <c r="T162" s="53">
        <f>IF($H$6=$G$5,R162,ROUND(Tabla2[[#This Row],[Área techada (m²)4]]*[1]DATA!$B$2*1.15,-2))</f>
        <v>32300</v>
      </c>
      <c r="U162" s="6">
        <f t="shared" si="2"/>
        <v>3.5</v>
      </c>
      <c r="V162" s="39">
        <f>ROUND(Tabla2[[#This Row],[Valor del terreno (US$)]]*Tabla2[[#This Row],[Tipo de Cambio]],-2)</f>
        <v>10900</v>
      </c>
      <c r="W162" s="39" t="e">
        <f>Tabla2[[#This Row],[Valor Comercial (S/.)]]-Tabla2[[#This Row],[Valor del terreno (S/.)]]</f>
        <v>#REF!</v>
      </c>
      <c r="X162" s="39" t="e">
        <f>ROUND(Tabla2[[#This Row],[Valor Comercial (US$)]]*Tabla2[[#This Row],[Tipo de Cambio]],-2)</f>
        <v>#REF!</v>
      </c>
      <c r="Y162" s="39" t="e">
        <f>ROUND(Tabla2[[#This Row],[Valor Realización (US$)]]*Tabla2[[#This Row],[Tipo de Cambio]],-2)</f>
        <v>#REF!</v>
      </c>
      <c r="Z162" s="39">
        <f>+ROUND(Tabla2[[#This Row],[Importe Asegurable (US$)]]*Tabla2[[#This Row],[Tipo de Cambio]],-2)</f>
        <v>113100</v>
      </c>
      <c r="AA162" s="40"/>
      <c r="AB162" s="2" t="e">
        <f>+Tabla2[[#This Row],[Valor Comercial (US$)]]/Tabla2[[#This Row],[Área techada (m²)4]]</f>
        <v>#REF!</v>
      </c>
      <c r="AC16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2" s="61" t="s">
        <v>45</v>
      </c>
      <c r="AE162" s="54">
        <f>IF(Tabla2[[#This Row],[Moneda]]="Soles",Tabla2[[#This Row],[Valor de Venta]]/Tabla2[[#This Row],[Área techada (m²)]]/Tabla2[[#This Row],[Tipo de Cambio]],Tabla2[[#This Row],[Valor de Venta]]/Tabla2[[#This Row],[Área techada (m²)]])</f>
        <v>743.77142857142849</v>
      </c>
      <c r="AF162" s="43" t="e">
        <f>_xlfn.XLOOKUP(Tabla2[[#This Row],[VISTA]],[1]!Table1[Clase],[1]!Table1[VUE (USD)],0,0,1)</f>
        <v>#REF!</v>
      </c>
      <c r="AG162" s="55" t="e">
        <f>+Tabla2[[#This Row],[Valor Comercial (S/.)]]/Tabla2[[#This Row],[Valor de Venta]]-1</f>
        <v>#REF!</v>
      </c>
    </row>
    <row r="163" spans="1:33" s="1" customFormat="1" ht="15" customHeight="1" x14ac:dyDescent="0.25">
      <c r="A163" s="60" t="s">
        <v>27</v>
      </c>
      <c r="B163" s="14">
        <v>1908</v>
      </c>
      <c r="C163" s="11">
        <v>19</v>
      </c>
      <c r="D163" s="15"/>
      <c r="E163" s="15"/>
      <c r="F163" s="51">
        <f>ROUND(Tabla2[[#This Row],[Área ocupada (m²)]]/20*1.4,2)</f>
        <v>4.5599999999999996</v>
      </c>
      <c r="G163" s="46">
        <v>65.2</v>
      </c>
      <c r="H163" s="46">
        <v>65.2</v>
      </c>
      <c r="I163" s="51">
        <f>ROUND(Tabla2[[#This Row],[Área techada (m²)]]*0.15,2)</f>
        <v>9.7799999999999994</v>
      </c>
      <c r="J163" s="47" t="s">
        <v>30</v>
      </c>
      <c r="K163" s="48">
        <v>187300</v>
      </c>
      <c r="L163" s="51">
        <f>ROUND(Tabla2[[#This Row],[Área ocupada (m²)3]]/20*1.4,2)</f>
        <v>4.5599999999999996</v>
      </c>
      <c r="M163" s="37">
        <f>ROUND(Tabla2[[#This Row],[Área ocupada (m²)]],2)</f>
        <v>65.2</v>
      </c>
      <c r="N163" s="37">
        <f>ROUND(Tabla2[[#This Row],[Área techada (m²)]],2)</f>
        <v>65.2</v>
      </c>
      <c r="O163" s="52">
        <f>ROUND(Tabla2[[#This Row],[Área techada (m²)4]]*0.15,2)</f>
        <v>9.7799999999999994</v>
      </c>
      <c r="P163" s="52">
        <f>ROUND(Tabla2[[#This Row],[Área del terreno (m²)2]]*[1]DATA!$A$2,-2)</f>
        <v>3200</v>
      </c>
      <c r="Q163" s="38" t="e">
        <f>+Tabla2[[#This Row],[Valor Comercial (US$)]]-Tabla2[[#This Row],[Valor del terreno (US$)]]</f>
        <v>#REF!</v>
      </c>
      <c r="R16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3" s="53" t="e">
        <f>ROUND(Tabla2[[#This Row],[Valor Comercial (US$)]]*0.8,-2)</f>
        <v>#REF!</v>
      </c>
      <c r="T163" s="53">
        <f>IF($H$6=$G$5,R163,ROUND(Tabla2[[#This Row],[Área techada (m²)4]]*[1]DATA!$B$2*1.15,-2))</f>
        <v>33700</v>
      </c>
      <c r="U163" s="6">
        <f t="shared" si="2"/>
        <v>3.5</v>
      </c>
      <c r="V163" s="39">
        <f>ROUND(Tabla2[[#This Row],[Valor del terreno (US$)]]*Tabla2[[#This Row],[Tipo de Cambio]],-2)</f>
        <v>11200</v>
      </c>
      <c r="W163" s="39" t="e">
        <f>Tabla2[[#This Row],[Valor Comercial (S/.)]]-Tabla2[[#This Row],[Valor del terreno (S/.)]]</f>
        <v>#REF!</v>
      </c>
      <c r="X163" s="39" t="e">
        <f>ROUND(Tabla2[[#This Row],[Valor Comercial (US$)]]*Tabla2[[#This Row],[Tipo de Cambio]],-2)</f>
        <v>#REF!</v>
      </c>
      <c r="Y163" s="39" t="e">
        <f>ROUND(Tabla2[[#This Row],[Valor Realización (US$)]]*Tabla2[[#This Row],[Tipo de Cambio]],-2)</f>
        <v>#REF!</v>
      </c>
      <c r="Z163" s="39">
        <f>+ROUND(Tabla2[[#This Row],[Importe Asegurable (US$)]]*Tabla2[[#This Row],[Tipo de Cambio]],-2)</f>
        <v>118000</v>
      </c>
      <c r="AA163" s="40"/>
      <c r="AB163" s="2" t="e">
        <f>+Tabla2[[#This Row],[Valor Comercial (US$)]]/Tabla2[[#This Row],[Área techada (m²)4]]</f>
        <v>#REF!</v>
      </c>
      <c r="AC16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3" s="61" t="s">
        <v>44</v>
      </c>
      <c r="AE163" s="54">
        <f>IF(Tabla2[[#This Row],[Moneda]]="Soles",Tabla2[[#This Row],[Valor de Venta]]/Tabla2[[#This Row],[Área techada (m²)]]/Tabla2[[#This Row],[Tipo de Cambio]],Tabla2[[#This Row],[Valor de Venta]]/Tabla2[[#This Row],[Área techada (m²)]])</f>
        <v>820.77125328659065</v>
      </c>
      <c r="AF163" s="43" t="e">
        <f>_xlfn.XLOOKUP(Tabla2[[#This Row],[VISTA]],[1]!Table1[Clase],[1]!Table1[VUE (USD)],0,0,1)</f>
        <v>#REF!</v>
      </c>
      <c r="AG163" s="55" t="e">
        <f>+Tabla2[[#This Row],[Valor Comercial (S/.)]]/Tabla2[[#This Row],[Valor de Venta]]-1</f>
        <v>#REF!</v>
      </c>
    </row>
    <row r="164" spans="1:33" s="1" customFormat="1" ht="15" customHeight="1" x14ac:dyDescent="0.25">
      <c r="A164" s="60" t="s">
        <v>27</v>
      </c>
      <c r="B164" s="14">
        <v>2001</v>
      </c>
      <c r="C164" s="11">
        <v>20</v>
      </c>
      <c r="D164" s="15"/>
      <c r="E164" s="15"/>
      <c r="F164" s="51">
        <f>ROUND(Tabla2[[#This Row],[Área ocupada (m²)]]/20*1.4,2)</f>
        <v>6.44</v>
      </c>
      <c r="G164" s="46">
        <v>92</v>
      </c>
      <c r="H164" s="46">
        <v>92</v>
      </c>
      <c r="I164" s="51">
        <f>ROUND(Tabla2[[#This Row],[Área techada (m²)]]*0.15,2)</f>
        <v>13.8</v>
      </c>
      <c r="J164" s="47" t="s">
        <v>30</v>
      </c>
      <c r="K164" s="48">
        <v>299400</v>
      </c>
      <c r="L164" s="51">
        <f>ROUND(Tabla2[[#This Row],[Área ocupada (m²)3]]/20*1.4,2)</f>
        <v>6.44</v>
      </c>
      <c r="M164" s="37">
        <f>ROUND(Tabla2[[#This Row],[Área ocupada (m²)]],2)</f>
        <v>92</v>
      </c>
      <c r="N164" s="37">
        <f>ROUND(Tabla2[[#This Row],[Área techada (m²)]],2)</f>
        <v>92</v>
      </c>
      <c r="O164" s="52">
        <f>ROUND(Tabla2[[#This Row],[Área techada (m²)4]]*0.15,2)</f>
        <v>13.8</v>
      </c>
      <c r="P164" s="52">
        <f>ROUND(Tabla2[[#This Row],[Área del terreno (m²)2]]*[1]DATA!$A$2,-2)</f>
        <v>4500</v>
      </c>
      <c r="Q164" s="38" t="e">
        <f>+Tabla2[[#This Row],[Valor Comercial (US$)]]-Tabla2[[#This Row],[Valor del terreno (US$)]]</f>
        <v>#REF!</v>
      </c>
      <c r="R16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4" s="53" t="e">
        <f>ROUND(Tabla2[[#This Row],[Valor Comercial (US$)]]*0.8,-2)</f>
        <v>#REF!</v>
      </c>
      <c r="T164" s="53">
        <f>IF($H$6=$G$5,R164,ROUND(Tabla2[[#This Row],[Área techada (m²)4]]*[1]DATA!$B$2*1.15,-2))</f>
        <v>47600</v>
      </c>
      <c r="U164" s="6">
        <f t="shared" si="2"/>
        <v>3.5</v>
      </c>
      <c r="V164" s="39">
        <f>ROUND(Tabla2[[#This Row],[Valor del terreno (US$)]]*Tabla2[[#This Row],[Tipo de Cambio]],-2)</f>
        <v>15800</v>
      </c>
      <c r="W164" s="39" t="e">
        <f>Tabla2[[#This Row],[Valor Comercial (S/.)]]-Tabla2[[#This Row],[Valor del terreno (S/.)]]</f>
        <v>#REF!</v>
      </c>
      <c r="X164" s="39" t="e">
        <f>ROUND(Tabla2[[#This Row],[Valor Comercial (US$)]]*Tabla2[[#This Row],[Tipo de Cambio]],-2)</f>
        <v>#REF!</v>
      </c>
      <c r="Y164" s="39" t="e">
        <f>ROUND(Tabla2[[#This Row],[Valor Realización (US$)]]*Tabla2[[#This Row],[Tipo de Cambio]],-2)</f>
        <v>#REF!</v>
      </c>
      <c r="Z164" s="39">
        <f>+ROUND(Tabla2[[#This Row],[Importe Asegurable (US$)]]*Tabla2[[#This Row],[Tipo de Cambio]],-2)</f>
        <v>166600</v>
      </c>
      <c r="AA164" s="40"/>
      <c r="AB164" s="2" t="e">
        <f>+Tabla2[[#This Row],[Valor Comercial (US$)]]/Tabla2[[#This Row],[Área techada (m²)4]]</f>
        <v>#REF!</v>
      </c>
      <c r="AC16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4" s="61" t="s">
        <v>42</v>
      </c>
      <c r="AE164" s="54">
        <f>IF(Tabla2[[#This Row],[Moneda]]="Soles",Tabla2[[#This Row],[Valor de Venta]]/Tabla2[[#This Row],[Área techada (m²)]]/Tabla2[[#This Row],[Tipo de Cambio]],Tabla2[[#This Row],[Valor de Venta]]/Tabla2[[#This Row],[Área techada (m²)]])</f>
        <v>929.81366459627327</v>
      </c>
      <c r="AF164" s="43" t="e">
        <f>_xlfn.XLOOKUP(Tabla2[[#This Row],[VISTA]],[1]!Table1[Clase],[1]!Table1[VUE (USD)],0,0,1)</f>
        <v>#REF!</v>
      </c>
      <c r="AG164" s="55" t="e">
        <f>+Tabla2[[#This Row],[Valor Comercial (S/.)]]/Tabla2[[#This Row],[Valor de Venta]]-1</f>
        <v>#REF!</v>
      </c>
    </row>
    <row r="165" spans="1:33" s="1" customFormat="1" ht="15" customHeight="1" x14ac:dyDescent="0.25">
      <c r="A165" s="60" t="s">
        <v>27</v>
      </c>
      <c r="B165" s="14">
        <v>2002</v>
      </c>
      <c r="C165" s="11">
        <v>20</v>
      </c>
      <c r="D165" s="15"/>
      <c r="E165" s="15"/>
      <c r="F165" s="51">
        <f>ROUND(Tabla2[[#This Row],[Área ocupada (m²)]]/20*1.4,2)</f>
        <v>5.85</v>
      </c>
      <c r="G165" s="46">
        <v>83.5</v>
      </c>
      <c r="H165" s="46">
        <v>83.5</v>
      </c>
      <c r="I165" s="51">
        <f>ROUND(Tabla2[[#This Row],[Área techada (m²)]]*0.15,2)</f>
        <v>12.53</v>
      </c>
      <c r="J165" s="47" t="s">
        <v>30</v>
      </c>
      <c r="K165" s="48">
        <v>281100</v>
      </c>
      <c r="L165" s="51">
        <f>ROUND(Tabla2[[#This Row],[Área ocupada (m²)3]]/20*1.4,2)</f>
        <v>5.85</v>
      </c>
      <c r="M165" s="37">
        <f>ROUND(Tabla2[[#This Row],[Área ocupada (m²)]],2)</f>
        <v>83.5</v>
      </c>
      <c r="N165" s="37">
        <f>ROUND(Tabla2[[#This Row],[Área techada (m²)]],2)</f>
        <v>83.5</v>
      </c>
      <c r="O165" s="52">
        <f>ROUND(Tabla2[[#This Row],[Área techada (m²)4]]*0.15,2)</f>
        <v>12.53</v>
      </c>
      <c r="P165" s="52">
        <f>ROUND(Tabla2[[#This Row],[Área del terreno (m²)2]]*[1]DATA!$A$2,-2)</f>
        <v>4100</v>
      </c>
      <c r="Q165" s="38" t="e">
        <f>+Tabla2[[#This Row],[Valor Comercial (US$)]]-Tabla2[[#This Row],[Valor del terreno (US$)]]</f>
        <v>#REF!</v>
      </c>
      <c r="R16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5" s="53" t="e">
        <f>ROUND(Tabla2[[#This Row],[Valor Comercial (US$)]]*0.8,-2)</f>
        <v>#REF!</v>
      </c>
      <c r="T165" s="53">
        <f>IF($H$6=$G$5,R165,ROUND(Tabla2[[#This Row],[Área techada (m²)4]]*[1]DATA!$B$2*1.15,-2))</f>
        <v>43200</v>
      </c>
      <c r="U165" s="6">
        <f t="shared" si="2"/>
        <v>3.5</v>
      </c>
      <c r="V165" s="39">
        <f>ROUND(Tabla2[[#This Row],[Valor del terreno (US$)]]*Tabla2[[#This Row],[Tipo de Cambio]],-2)</f>
        <v>14400</v>
      </c>
      <c r="W165" s="39" t="e">
        <f>Tabla2[[#This Row],[Valor Comercial (S/.)]]-Tabla2[[#This Row],[Valor del terreno (S/.)]]</f>
        <v>#REF!</v>
      </c>
      <c r="X165" s="39" t="e">
        <f>ROUND(Tabla2[[#This Row],[Valor Comercial (US$)]]*Tabla2[[#This Row],[Tipo de Cambio]],-2)</f>
        <v>#REF!</v>
      </c>
      <c r="Y165" s="39" t="e">
        <f>ROUND(Tabla2[[#This Row],[Valor Realización (US$)]]*Tabla2[[#This Row],[Tipo de Cambio]],-2)</f>
        <v>#REF!</v>
      </c>
      <c r="Z165" s="39">
        <f>+ROUND(Tabla2[[#This Row],[Importe Asegurable (US$)]]*Tabla2[[#This Row],[Tipo de Cambio]],-2)</f>
        <v>151200</v>
      </c>
      <c r="AA165" s="40"/>
      <c r="AB165" s="2" t="e">
        <f>+Tabla2[[#This Row],[Valor Comercial (US$)]]/Tabla2[[#This Row],[Área techada (m²)4]]</f>
        <v>#REF!</v>
      </c>
      <c r="AC16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5" s="61" t="s">
        <v>41</v>
      </c>
      <c r="AE165" s="54">
        <f>IF(Tabla2[[#This Row],[Moneda]]="Soles",Tabla2[[#This Row],[Valor de Venta]]/Tabla2[[#This Row],[Área techada (m²)]]/Tabla2[[#This Row],[Tipo de Cambio]],Tabla2[[#This Row],[Valor de Venta]]/Tabla2[[#This Row],[Área techada (m²)]])</f>
        <v>961.84773310521814</v>
      </c>
      <c r="AF165" s="43" t="e">
        <f>_xlfn.XLOOKUP(Tabla2[[#This Row],[VISTA]],[1]!Table1[Clase],[1]!Table1[VUE (USD)],0,0,1)</f>
        <v>#REF!</v>
      </c>
      <c r="AG165" s="55" t="e">
        <f>+Tabla2[[#This Row],[Valor Comercial (S/.)]]/Tabla2[[#This Row],[Valor de Venta]]-1</f>
        <v>#REF!</v>
      </c>
    </row>
    <row r="166" spans="1:33" s="1" customFormat="1" ht="15" customHeight="1" x14ac:dyDescent="0.25">
      <c r="A166" s="60" t="s">
        <v>27</v>
      </c>
      <c r="B166" s="14">
        <v>2003</v>
      </c>
      <c r="C166" s="11">
        <v>20</v>
      </c>
      <c r="D166" s="15"/>
      <c r="E166" s="15"/>
      <c r="F166" s="51">
        <f>ROUND(Tabla2[[#This Row],[Área ocupada (m²)]]/20*1.4,2)</f>
        <v>5.85</v>
      </c>
      <c r="G166" s="46">
        <v>83.5</v>
      </c>
      <c r="H166" s="46">
        <v>83.5</v>
      </c>
      <c r="I166" s="51">
        <f>ROUND(Tabla2[[#This Row],[Área techada (m²)]]*0.15,2)</f>
        <v>12.53</v>
      </c>
      <c r="J166" s="47" t="s">
        <v>30</v>
      </c>
      <c r="K166" s="48">
        <v>278100</v>
      </c>
      <c r="L166" s="51">
        <f>ROUND(Tabla2[[#This Row],[Área ocupada (m²)3]]/20*1.4,2)</f>
        <v>5.85</v>
      </c>
      <c r="M166" s="37">
        <f>ROUND(Tabla2[[#This Row],[Área ocupada (m²)]],2)</f>
        <v>83.5</v>
      </c>
      <c r="N166" s="37">
        <f>ROUND(Tabla2[[#This Row],[Área techada (m²)]],2)</f>
        <v>83.5</v>
      </c>
      <c r="O166" s="52">
        <f>ROUND(Tabla2[[#This Row],[Área techada (m²)4]]*0.15,2)</f>
        <v>12.53</v>
      </c>
      <c r="P166" s="52">
        <f>ROUND(Tabla2[[#This Row],[Área del terreno (m²)2]]*[1]DATA!$A$2,-2)</f>
        <v>4100</v>
      </c>
      <c r="Q166" s="38" t="e">
        <f>+Tabla2[[#This Row],[Valor Comercial (US$)]]-Tabla2[[#This Row],[Valor del terreno (US$)]]</f>
        <v>#REF!</v>
      </c>
      <c r="R16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6" s="53" t="e">
        <f>ROUND(Tabla2[[#This Row],[Valor Comercial (US$)]]*0.8,-2)</f>
        <v>#REF!</v>
      </c>
      <c r="T166" s="53">
        <f>IF($H$6=$G$5,R166,ROUND(Tabla2[[#This Row],[Área techada (m²)4]]*[1]DATA!$B$2*1.15,-2))</f>
        <v>43200</v>
      </c>
      <c r="U166" s="6">
        <f t="shared" si="2"/>
        <v>3.5</v>
      </c>
      <c r="V166" s="39">
        <f>ROUND(Tabla2[[#This Row],[Valor del terreno (US$)]]*Tabla2[[#This Row],[Tipo de Cambio]],-2)</f>
        <v>14400</v>
      </c>
      <c r="W166" s="39" t="e">
        <f>Tabla2[[#This Row],[Valor Comercial (S/.)]]-Tabla2[[#This Row],[Valor del terreno (S/.)]]</f>
        <v>#REF!</v>
      </c>
      <c r="X166" s="39" t="e">
        <f>ROUND(Tabla2[[#This Row],[Valor Comercial (US$)]]*Tabla2[[#This Row],[Tipo de Cambio]],-2)</f>
        <v>#REF!</v>
      </c>
      <c r="Y166" s="39" t="e">
        <f>ROUND(Tabla2[[#This Row],[Valor Realización (US$)]]*Tabla2[[#This Row],[Tipo de Cambio]],-2)</f>
        <v>#REF!</v>
      </c>
      <c r="Z166" s="39">
        <f>+ROUND(Tabla2[[#This Row],[Importe Asegurable (US$)]]*Tabla2[[#This Row],[Tipo de Cambio]],-2)</f>
        <v>151200</v>
      </c>
      <c r="AA166" s="40"/>
      <c r="AB166" s="2" t="e">
        <f>+Tabla2[[#This Row],[Valor Comercial (US$)]]/Tabla2[[#This Row],[Área techada (m²)4]]</f>
        <v>#REF!</v>
      </c>
      <c r="AC16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6" s="61" t="s">
        <v>41</v>
      </c>
      <c r="AE166" s="54">
        <f>IF(Tabla2[[#This Row],[Moneda]]="Soles",Tabla2[[#This Row],[Valor de Venta]]/Tabla2[[#This Row],[Área techada (m²)]]/Tabla2[[#This Row],[Tipo de Cambio]],Tabla2[[#This Row],[Valor de Venta]]/Tabla2[[#This Row],[Área techada (m²)]])</f>
        <v>951.58254918733951</v>
      </c>
      <c r="AF166" s="43" t="e">
        <f>_xlfn.XLOOKUP(Tabla2[[#This Row],[VISTA]],[1]!Table1[Clase],[1]!Table1[VUE (USD)],0,0,1)</f>
        <v>#REF!</v>
      </c>
      <c r="AG166" s="55" t="e">
        <f>+Tabla2[[#This Row],[Valor Comercial (S/.)]]/Tabla2[[#This Row],[Valor de Venta]]-1</f>
        <v>#REF!</v>
      </c>
    </row>
    <row r="167" spans="1:33" s="1" customFormat="1" ht="15" customHeight="1" x14ac:dyDescent="0.25">
      <c r="A167" s="60" t="s">
        <v>27</v>
      </c>
      <c r="B167" s="14">
        <v>2004</v>
      </c>
      <c r="C167" s="11">
        <v>20</v>
      </c>
      <c r="D167" s="15"/>
      <c r="E167" s="15"/>
      <c r="F167" s="51">
        <f>ROUND(Tabla2[[#This Row],[Área ocupada (m²)]]/20*1.4,2)</f>
        <v>6.44</v>
      </c>
      <c r="G167" s="46">
        <v>92</v>
      </c>
      <c r="H167" s="46">
        <v>92</v>
      </c>
      <c r="I167" s="51">
        <f>ROUND(Tabla2[[#This Row],[Área techada (m²)]]*0.15,2)</f>
        <v>13.8</v>
      </c>
      <c r="J167" s="47" t="s">
        <v>30</v>
      </c>
      <c r="K167" s="48">
        <v>306400</v>
      </c>
      <c r="L167" s="51">
        <f>ROUND(Tabla2[[#This Row],[Área ocupada (m²)3]]/20*1.4,2)</f>
        <v>6.44</v>
      </c>
      <c r="M167" s="37">
        <f>ROUND(Tabla2[[#This Row],[Área ocupada (m²)]],2)</f>
        <v>92</v>
      </c>
      <c r="N167" s="37">
        <f>ROUND(Tabla2[[#This Row],[Área techada (m²)]],2)</f>
        <v>92</v>
      </c>
      <c r="O167" s="52">
        <f>ROUND(Tabla2[[#This Row],[Área techada (m²)4]]*0.15,2)</f>
        <v>13.8</v>
      </c>
      <c r="P167" s="52">
        <f>ROUND(Tabla2[[#This Row],[Área del terreno (m²)2]]*[1]DATA!$A$2,-2)</f>
        <v>4500</v>
      </c>
      <c r="Q167" s="38" t="e">
        <f>+Tabla2[[#This Row],[Valor Comercial (US$)]]-Tabla2[[#This Row],[Valor del terreno (US$)]]</f>
        <v>#REF!</v>
      </c>
      <c r="R16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7" s="53" t="e">
        <f>ROUND(Tabla2[[#This Row],[Valor Comercial (US$)]]*0.8,-2)</f>
        <v>#REF!</v>
      </c>
      <c r="T167" s="53">
        <f>IF($H$6=$G$5,R167,ROUND(Tabla2[[#This Row],[Área techada (m²)4]]*[1]DATA!$B$2*1.15,-2))</f>
        <v>47600</v>
      </c>
      <c r="U167" s="6">
        <f t="shared" si="2"/>
        <v>3.5</v>
      </c>
      <c r="V167" s="39">
        <f>ROUND(Tabla2[[#This Row],[Valor del terreno (US$)]]*Tabla2[[#This Row],[Tipo de Cambio]],-2)</f>
        <v>15800</v>
      </c>
      <c r="W167" s="39" t="e">
        <f>Tabla2[[#This Row],[Valor Comercial (S/.)]]-Tabla2[[#This Row],[Valor del terreno (S/.)]]</f>
        <v>#REF!</v>
      </c>
      <c r="X167" s="39" t="e">
        <f>ROUND(Tabla2[[#This Row],[Valor Comercial (US$)]]*Tabla2[[#This Row],[Tipo de Cambio]],-2)</f>
        <v>#REF!</v>
      </c>
      <c r="Y167" s="39" t="e">
        <f>ROUND(Tabla2[[#This Row],[Valor Realización (US$)]]*Tabla2[[#This Row],[Tipo de Cambio]],-2)</f>
        <v>#REF!</v>
      </c>
      <c r="Z167" s="39">
        <f>+ROUND(Tabla2[[#This Row],[Importe Asegurable (US$)]]*Tabla2[[#This Row],[Tipo de Cambio]],-2)</f>
        <v>166600</v>
      </c>
      <c r="AA167" s="40"/>
      <c r="AB167" s="2" t="e">
        <f>+Tabla2[[#This Row],[Valor Comercial (US$)]]/Tabla2[[#This Row],[Área techada (m²)4]]</f>
        <v>#REF!</v>
      </c>
      <c r="AC16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7" s="61" t="s">
        <v>41</v>
      </c>
      <c r="AE167" s="54">
        <f>IF(Tabla2[[#This Row],[Moneda]]="Soles",Tabla2[[#This Row],[Valor de Venta]]/Tabla2[[#This Row],[Área techada (m²)]]/Tabla2[[#This Row],[Tipo de Cambio]],Tabla2[[#This Row],[Valor de Venta]]/Tabla2[[#This Row],[Área techada (m²)]])</f>
        <v>951.55279503105589</v>
      </c>
      <c r="AF167" s="43" t="e">
        <f>_xlfn.XLOOKUP(Tabla2[[#This Row],[VISTA]],[1]!Table1[Clase],[1]!Table1[VUE (USD)],0,0,1)</f>
        <v>#REF!</v>
      </c>
      <c r="AG167" s="55" t="e">
        <f>+Tabla2[[#This Row],[Valor Comercial (S/.)]]/Tabla2[[#This Row],[Valor de Venta]]-1</f>
        <v>#REF!</v>
      </c>
    </row>
    <row r="168" spans="1:33" s="1" customFormat="1" ht="15" customHeight="1" x14ac:dyDescent="0.25">
      <c r="A168" s="60" t="s">
        <v>27</v>
      </c>
      <c r="B168" s="14">
        <v>2005</v>
      </c>
      <c r="C168" s="11">
        <v>20</v>
      </c>
      <c r="D168" s="15"/>
      <c r="E168" s="15"/>
      <c r="F168" s="51">
        <f>ROUND(Tabla2[[#This Row],[Área ocupada (m²)]]/20*1.4,2)</f>
        <v>6.44</v>
      </c>
      <c r="G168" s="46">
        <v>92</v>
      </c>
      <c r="H168" s="46">
        <v>92</v>
      </c>
      <c r="I168" s="51">
        <f>ROUND(Tabla2[[#This Row],[Área techada (m²)]]*0.15,2)</f>
        <v>13.8</v>
      </c>
      <c r="J168" s="47" t="s">
        <v>30</v>
      </c>
      <c r="K168" s="48">
        <v>306400</v>
      </c>
      <c r="L168" s="51">
        <f>ROUND(Tabla2[[#This Row],[Área ocupada (m²)3]]/20*1.4,2)</f>
        <v>6.44</v>
      </c>
      <c r="M168" s="37">
        <f>ROUND(Tabla2[[#This Row],[Área ocupada (m²)]],2)</f>
        <v>92</v>
      </c>
      <c r="N168" s="37">
        <f>ROUND(Tabla2[[#This Row],[Área techada (m²)]],2)</f>
        <v>92</v>
      </c>
      <c r="O168" s="52">
        <f>ROUND(Tabla2[[#This Row],[Área techada (m²)4]]*0.15,2)</f>
        <v>13.8</v>
      </c>
      <c r="P168" s="52">
        <f>ROUND(Tabla2[[#This Row],[Área del terreno (m²)2]]*[1]DATA!$A$2,-2)</f>
        <v>4500</v>
      </c>
      <c r="Q168" s="38" t="e">
        <f>+Tabla2[[#This Row],[Valor Comercial (US$)]]-Tabla2[[#This Row],[Valor del terreno (US$)]]</f>
        <v>#REF!</v>
      </c>
      <c r="R16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8" s="53" t="e">
        <f>ROUND(Tabla2[[#This Row],[Valor Comercial (US$)]]*0.8,-2)</f>
        <v>#REF!</v>
      </c>
      <c r="T168" s="53">
        <f>IF($H$6=$G$5,R168,ROUND(Tabla2[[#This Row],[Área techada (m²)4]]*[1]DATA!$B$2*1.15,-2))</f>
        <v>47600</v>
      </c>
      <c r="U168" s="6">
        <f t="shared" si="2"/>
        <v>3.5</v>
      </c>
      <c r="V168" s="39">
        <f>ROUND(Tabla2[[#This Row],[Valor del terreno (US$)]]*Tabla2[[#This Row],[Tipo de Cambio]],-2)</f>
        <v>15800</v>
      </c>
      <c r="W168" s="39" t="e">
        <f>Tabla2[[#This Row],[Valor Comercial (S/.)]]-Tabla2[[#This Row],[Valor del terreno (S/.)]]</f>
        <v>#REF!</v>
      </c>
      <c r="X168" s="39" t="e">
        <f>ROUND(Tabla2[[#This Row],[Valor Comercial (US$)]]*Tabla2[[#This Row],[Tipo de Cambio]],-2)</f>
        <v>#REF!</v>
      </c>
      <c r="Y168" s="39" t="e">
        <f>ROUND(Tabla2[[#This Row],[Valor Realización (US$)]]*Tabla2[[#This Row],[Tipo de Cambio]],-2)</f>
        <v>#REF!</v>
      </c>
      <c r="Z168" s="39">
        <f>+ROUND(Tabla2[[#This Row],[Importe Asegurable (US$)]]*Tabla2[[#This Row],[Tipo de Cambio]],-2)</f>
        <v>166600</v>
      </c>
      <c r="AA168" s="40"/>
      <c r="AB168" s="2" t="e">
        <f>+Tabla2[[#This Row],[Valor Comercial (US$)]]/Tabla2[[#This Row],[Área techada (m²)4]]</f>
        <v>#REF!</v>
      </c>
      <c r="AC16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8" s="61" t="s">
        <v>41</v>
      </c>
      <c r="AE168" s="54">
        <f>IF(Tabla2[[#This Row],[Moneda]]="Soles",Tabla2[[#This Row],[Valor de Venta]]/Tabla2[[#This Row],[Área techada (m²)]]/Tabla2[[#This Row],[Tipo de Cambio]],Tabla2[[#This Row],[Valor de Venta]]/Tabla2[[#This Row],[Área techada (m²)]])</f>
        <v>951.55279503105589</v>
      </c>
      <c r="AF168" s="43" t="e">
        <f>_xlfn.XLOOKUP(Tabla2[[#This Row],[VISTA]],[1]!Table1[Clase],[1]!Table1[VUE (USD)],0,0,1)</f>
        <v>#REF!</v>
      </c>
      <c r="AG168" s="55" t="e">
        <f>+Tabla2[[#This Row],[Valor Comercial (S/.)]]/Tabla2[[#This Row],[Valor de Venta]]-1</f>
        <v>#REF!</v>
      </c>
    </row>
    <row r="169" spans="1:33" s="1" customFormat="1" ht="15" customHeight="1" x14ac:dyDescent="0.25">
      <c r="A169" s="60" t="s">
        <v>27</v>
      </c>
      <c r="B169" s="14">
        <v>2006</v>
      </c>
      <c r="C169" s="11">
        <v>20</v>
      </c>
      <c r="D169" s="15"/>
      <c r="E169" s="15"/>
      <c r="F169" s="51">
        <f>ROUND(Tabla2[[#This Row],[Área ocupada (m²)]]/20*1.4,2)</f>
        <v>5.85</v>
      </c>
      <c r="G169" s="46">
        <v>83.5</v>
      </c>
      <c r="H169" s="46">
        <v>83.5</v>
      </c>
      <c r="I169" s="51">
        <f>ROUND(Tabla2[[#This Row],[Área techada (m²)]]*0.15,2)</f>
        <v>12.53</v>
      </c>
      <c r="J169" s="47" t="s">
        <v>30</v>
      </c>
      <c r="K169" s="48">
        <v>281100</v>
      </c>
      <c r="L169" s="51">
        <f>ROUND(Tabla2[[#This Row],[Área ocupada (m²)3]]/20*1.4,2)</f>
        <v>5.85</v>
      </c>
      <c r="M169" s="37">
        <f>ROUND(Tabla2[[#This Row],[Área ocupada (m²)]],2)</f>
        <v>83.5</v>
      </c>
      <c r="N169" s="37">
        <f>ROUND(Tabla2[[#This Row],[Área techada (m²)]],2)</f>
        <v>83.5</v>
      </c>
      <c r="O169" s="52">
        <f>ROUND(Tabla2[[#This Row],[Área techada (m²)4]]*0.15,2)</f>
        <v>12.53</v>
      </c>
      <c r="P169" s="52">
        <f>ROUND(Tabla2[[#This Row],[Área del terreno (m²)2]]*[1]DATA!$A$2,-2)</f>
        <v>4100</v>
      </c>
      <c r="Q169" s="38" t="e">
        <f>+Tabla2[[#This Row],[Valor Comercial (US$)]]-Tabla2[[#This Row],[Valor del terreno (US$)]]</f>
        <v>#REF!</v>
      </c>
      <c r="R16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9" s="53" t="e">
        <f>ROUND(Tabla2[[#This Row],[Valor Comercial (US$)]]*0.8,-2)</f>
        <v>#REF!</v>
      </c>
      <c r="T169" s="53">
        <f>IF($H$6=$G$5,R169,ROUND(Tabla2[[#This Row],[Área techada (m²)4]]*[1]DATA!$B$2*1.15,-2))</f>
        <v>43200</v>
      </c>
      <c r="U169" s="6">
        <f t="shared" si="2"/>
        <v>3.5</v>
      </c>
      <c r="V169" s="39">
        <f>ROUND(Tabla2[[#This Row],[Valor del terreno (US$)]]*Tabla2[[#This Row],[Tipo de Cambio]],-2)</f>
        <v>14400</v>
      </c>
      <c r="W169" s="39" t="e">
        <f>Tabla2[[#This Row],[Valor Comercial (S/.)]]-Tabla2[[#This Row],[Valor del terreno (S/.)]]</f>
        <v>#REF!</v>
      </c>
      <c r="X169" s="39" t="e">
        <f>ROUND(Tabla2[[#This Row],[Valor Comercial (US$)]]*Tabla2[[#This Row],[Tipo de Cambio]],-2)</f>
        <v>#REF!</v>
      </c>
      <c r="Y169" s="39" t="e">
        <f>ROUND(Tabla2[[#This Row],[Valor Realización (US$)]]*Tabla2[[#This Row],[Tipo de Cambio]],-2)</f>
        <v>#REF!</v>
      </c>
      <c r="Z169" s="39">
        <f>+ROUND(Tabla2[[#This Row],[Importe Asegurable (US$)]]*Tabla2[[#This Row],[Tipo de Cambio]],-2)</f>
        <v>151200</v>
      </c>
      <c r="AA169" s="40"/>
      <c r="AB169" s="2" t="e">
        <f>+Tabla2[[#This Row],[Valor Comercial (US$)]]/Tabla2[[#This Row],[Área techada (m²)4]]</f>
        <v>#REF!</v>
      </c>
      <c r="AC16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9" s="61" t="s">
        <v>41</v>
      </c>
      <c r="AE169" s="54">
        <f>IF(Tabla2[[#This Row],[Moneda]]="Soles",Tabla2[[#This Row],[Valor de Venta]]/Tabla2[[#This Row],[Área techada (m²)]]/Tabla2[[#This Row],[Tipo de Cambio]],Tabla2[[#This Row],[Valor de Venta]]/Tabla2[[#This Row],[Área techada (m²)]])</f>
        <v>961.84773310521814</v>
      </c>
      <c r="AF169" s="43" t="e">
        <f>_xlfn.XLOOKUP(Tabla2[[#This Row],[VISTA]],[1]!Table1[Clase],[1]!Table1[VUE (USD)],0,0,1)</f>
        <v>#REF!</v>
      </c>
      <c r="AG169" s="55" t="e">
        <f>+Tabla2[[#This Row],[Valor Comercial (S/.)]]/Tabla2[[#This Row],[Valor de Venta]]-1</f>
        <v>#REF!</v>
      </c>
    </row>
    <row r="170" spans="1:33" s="1" customFormat="1" ht="15" customHeight="1" x14ac:dyDescent="0.25">
      <c r="A170" s="60" t="s">
        <v>27</v>
      </c>
      <c r="B170" s="14">
        <v>2007</v>
      </c>
      <c r="C170" s="11">
        <v>20</v>
      </c>
      <c r="D170" s="15"/>
      <c r="E170" s="15"/>
      <c r="F170" s="51">
        <f>ROUND(Tabla2[[#This Row],[Área ocupada (m²)]]/20*1.4,2)</f>
        <v>5.85</v>
      </c>
      <c r="G170" s="46">
        <v>83.5</v>
      </c>
      <c r="H170" s="46">
        <v>83.5</v>
      </c>
      <c r="I170" s="51">
        <f>ROUND(Tabla2[[#This Row],[Área techada (m²)]]*0.15,2)</f>
        <v>12.53</v>
      </c>
      <c r="J170" s="47" t="s">
        <v>30</v>
      </c>
      <c r="K170" s="48">
        <v>278100</v>
      </c>
      <c r="L170" s="51">
        <f>ROUND(Tabla2[[#This Row],[Área ocupada (m²)3]]/20*1.4,2)</f>
        <v>5.85</v>
      </c>
      <c r="M170" s="37">
        <f>ROUND(Tabla2[[#This Row],[Área ocupada (m²)]],2)</f>
        <v>83.5</v>
      </c>
      <c r="N170" s="37">
        <f>ROUND(Tabla2[[#This Row],[Área techada (m²)]],2)</f>
        <v>83.5</v>
      </c>
      <c r="O170" s="52">
        <f>ROUND(Tabla2[[#This Row],[Área techada (m²)4]]*0.15,2)</f>
        <v>12.53</v>
      </c>
      <c r="P170" s="52">
        <f>ROUND(Tabla2[[#This Row],[Área del terreno (m²)2]]*[1]DATA!$A$2,-2)</f>
        <v>4100</v>
      </c>
      <c r="Q170" s="38" t="e">
        <f>+Tabla2[[#This Row],[Valor Comercial (US$)]]-Tabla2[[#This Row],[Valor del terreno (US$)]]</f>
        <v>#REF!</v>
      </c>
      <c r="R17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0" s="53" t="e">
        <f>ROUND(Tabla2[[#This Row],[Valor Comercial (US$)]]*0.8,-2)</f>
        <v>#REF!</v>
      </c>
      <c r="T170" s="53">
        <f>IF($H$6=$G$5,R170,ROUND(Tabla2[[#This Row],[Área techada (m²)4]]*[1]DATA!$B$2*1.15,-2))</f>
        <v>43200</v>
      </c>
      <c r="U170" s="6">
        <f t="shared" si="2"/>
        <v>3.5</v>
      </c>
      <c r="V170" s="39">
        <f>ROUND(Tabla2[[#This Row],[Valor del terreno (US$)]]*Tabla2[[#This Row],[Tipo de Cambio]],-2)</f>
        <v>14400</v>
      </c>
      <c r="W170" s="39" t="e">
        <f>Tabla2[[#This Row],[Valor Comercial (S/.)]]-Tabla2[[#This Row],[Valor del terreno (S/.)]]</f>
        <v>#REF!</v>
      </c>
      <c r="X170" s="39" t="e">
        <f>ROUND(Tabla2[[#This Row],[Valor Comercial (US$)]]*Tabla2[[#This Row],[Tipo de Cambio]],-2)</f>
        <v>#REF!</v>
      </c>
      <c r="Y170" s="39" t="e">
        <f>ROUND(Tabla2[[#This Row],[Valor Realización (US$)]]*Tabla2[[#This Row],[Tipo de Cambio]],-2)</f>
        <v>#REF!</v>
      </c>
      <c r="Z170" s="39">
        <f>+ROUND(Tabla2[[#This Row],[Importe Asegurable (US$)]]*Tabla2[[#This Row],[Tipo de Cambio]],-2)</f>
        <v>151200</v>
      </c>
      <c r="AA170" s="40"/>
      <c r="AB170" s="2" t="e">
        <f>+Tabla2[[#This Row],[Valor Comercial (US$)]]/Tabla2[[#This Row],[Área techada (m²)4]]</f>
        <v>#REF!</v>
      </c>
      <c r="AC17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0" s="61" t="s">
        <v>41</v>
      </c>
      <c r="AE170" s="54">
        <f>IF(Tabla2[[#This Row],[Moneda]]="Soles",Tabla2[[#This Row],[Valor de Venta]]/Tabla2[[#This Row],[Área techada (m²)]]/Tabla2[[#This Row],[Tipo de Cambio]],Tabla2[[#This Row],[Valor de Venta]]/Tabla2[[#This Row],[Área techada (m²)]])</f>
        <v>951.58254918733951</v>
      </c>
      <c r="AF170" s="43" t="e">
        <f>_xlfn.XLOOKUP(Tabla2[[#This Row],[VISTA]],[1]!Table1[Clase],[1]!Table1[VUE (USD)],0,0,1)</f>
        <v>#REF!</v>
      </c>
      <c r="AG170" s="55" t="e">
        <f>+Tabla2[[#This Row],[Valor Comercial (S/.)]]/Tabla2[[#This Row],[Valor de Venta]]-1</f>
        <v>#REF!</v>
      </c>
    </row>
    <row r="171" spans="1:33" s="1" customFormat="1" ht="15" customHeight="1" x14ac:dyDescent="0.25">
      <c r="A171" s="60" t="s">
        <v>27</v>
      </c>
      <c r="B171" s="14">
        <v>2008</v>
      </c>
      <c r="C171" s="11">
        <v>20</v>
      </c>
      <c r="D171" s="15"/>
      <c r="E171" s="15"/>
      <c r="F171" s="51">
        <f>ROUND(Tabla2[[#This Row],[Área ocupada (m²)]]/20*1.4,2)</f>
        <v>6.44</v>
      </c>
      <c r="G171" s="46">
        <v>92</v>
      </c>
      <c r="H171" s="46">
        <v>92</v>
      </c>
      <c r="I171" s="51">
        <f>ROUND(Tabla2[[#This Row],[Área techada (m²)]]*0.15,2)</f>
        <v>13.8</v>
      </c>
      <c r="J171" s="47" t="s">
        <v>30</v>
      </c>
      <c r="K171" s="48">
        <v>309400</v>
      </c>
      <c r="L171" s="51">
        <f>ROUND(Tabla2[[#This Row],[Área ocupada (m²)3]]/20*1.4,2)</f>
        <v>6.44</v>
      </c>
      <c r="M171" s="37">
        <f>ROUND(Tabla2[[#This Row],[Área ocupada (m²)]],2)</f>
        <v>92</v>
      </c>
      <c r="N171" s="37">
        <f>ROUND(Tabla2[[#This Row],[Área techada (m²)]],2)</f>
        <v>92</v>
      </c>
      <c r="O171" s="52">
        <f>ROUND(Tabla2[[#This Row],[Área techada (m²)4]]*0.15,2)</f>
        <v>13.8</v>
      </c>
      <c r="P171" s="52">
        <f>ROUND(Tabla2[[#This Row],[Área del terreno (m²)2]]*[1]DATA!$A$2,-2)</f>
        <v>4500</v>
      </c>
      <c r="Q171" s="38" t="e">
        <f>+Tabla2[[#This Row],[Valor Comercial (US$)]]-Tabla2[[#This Row],[Valor del terreno (US$)]]</f>
        <v>#REF!</v>
      </c>
      <c r="R17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1" s="53" t="e">
        <f>ROUND(Tabla2[[#This Row],[Valor Comercial (US$)]]*0.8,-2)</f>
        <v>#REF!</v>
      </c>
      <c r="T171" s="53">
        <f>IF($H$6=$G$5,R171,ROUND(Tabla2[[#This Row],[Área techada (m²)4]]*[1]DATA!$B$2*1.15,-2))</f>
        <v>47600</v>
      </c>
      <c r="U171" s="6">
        <f t="shared" si="2"/>
        <v>3.5</v>
      </c>
      <c r="V171" s="39">
        <f>ROUND(Tabla2[[#This Row],[Valor del terreno (US$)]]*Tabla2[[#This Row],[Tipo de Cambio]],-2)</f>
        <v>15800</v>
      </c>
      <c r="W171" s="39" t="e">
        <f>Tabla2[[#This Row],[Valor Comercial (S/.)]]-Tabla2[[#This Row],[Valor del terreno (S/.)]]</f>
        <v>#REF!</v>
      </c>
      <c r="X171" s="39" t="e">
        <f>ROUND(Tabla2[[#This Row],[Valor Comercial (US$)]]*Tabla2[[#This Row],[Tipo de Cambio]],-2)</f>
        <v>#REF!</v>
      </c>
      <c r="Y171" s="39" t="e">
        <f>ROUND(Tabla2[[#This Row],[Valor Realización (US$)]]*Tabla2[[#This Row],[Tipo de Cambio]],-2)</f>
        <v>#REF!</v>
      </c>
      <c r="Z171" s="39">
        <f>+ROUND(Tabla2[[#This Row],[Importe Asegurable (US$)]]*Tabla2[[#This Row],[Tipo de Cambio]],-2)</f>
        <v>166600</v>
      </c>
      <c r="AA171" s="40"/>
      <c r="AB171" s="2" t="e">
        <f>+Tabla2[[#This Row],[Valor Comercial (US$)]]/Tabla2[[#This Row],[Área techada (m²)4]]</f>
        <v>#REF!</v>
      </c>
      <c r="AC17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1" s="61" t="s">
        <v>41</v>
      </c>
      <c r="AE171" s="54">
        <f>IF(Tabla2[[#This Row],[Moneda]]="Soles",Tabla2[[#This Row],[Valor de Venta]]/Tabla2[[#This Row],[Área techada (m²)]]/Tabla2[[#This Row],[Tipo de Cambio]],Tabla2[[#This Row],[Valor de Venta]]/Tabla2[[#This Row],[Área techada (m²)]])</f>
        <v>960.86956521739125</v>
      </c>
      <c r="AF171" s="43" t="e">
        <f>_xlfn.XLOOKUP(Tabla2[[#This Row],[VISTA]],[1]!Table1[Clase],[1]!Table1[VUE (USD)],0,0,1)</f>
        <v>#REF!</v>
      </c>
      <c r="AG171" s="55" t="e">
        <f>+Tabla2[[#This Row],[Valor Comercial (S/.)]]/Tabla2[[#This Row],[Valor de Venta]]-1</f>
        <v>#REF!</v>
      </c>
    </row>
    <row r="172" spans="1:33" s="1" customFormat="1" ht="15" customHeight="1" x14ac:dyDescent="0.25">
      <c r="A172" s="60" t="s">
        <v>33</v>
      </c>
      <c r="B172" s="14">
        <v>118</v>
      </c>
      <c r="C172" s="11"/>
      <c r="D172" s="15"/>
      <c r="E172" s="15"/>
      <c r="F172" s="51">
        <f>ROUND(Tabla2[[#This Row],[Área ocupada (m²)]]/20*1.4,2)</f>
        <v>0.84</v>
      </c>
      <c r="G172" s="46">
        <v>12</v>
      </c>
      <c r="H172" s="46">
        <v>12</v>
      </c>
      <c r="I172" s="51">
        <f>ROUND(Tabla2[[#This Row],[Área techada (m²)]]*0.15,2)</f>
        <v>1.8</v>
      </c>
      <c r="J172" s="47" t="s">
        <v>30</v>
      </c>
      <c r="K172" s="48">
        <v>28000</v>
      </c>
      <c r="L172" s="51">
        <f>ROUND(Tabla2[[#This Row],[Área ocupada (m²)3]]/20*1.4,2)</f>
        <v>0.84</v>
      </c>
      <c r="M172" s="37">
        <f>ROUND(Tabla2[[#This Row],[Área ocupada (m²)]],2)</f>
        <v>12</v>
      </c>
      <c r="N172" s="37">
        <f>ROUND(Tabla2[[#This Row],[Área techada (m²)]],2)</f>
        <v>12</v>
      </c>
      <c r="O172" s="52">
        <f>ROUND(Tabla2[[#This Row],[Área techada (m²)4]]*0.15,2)</f>
        <v>1.8</v>
      </c>
      <c r="P172" s="52">
        <f>ROUND(Tabla2[[#This Row],[Área del terreno (m²)2]]*[1]DATA!$A$2,-2)</f>
        <v>600</v>
      </c>
      <c r="Q172" s="38" t="e">
        <f>+Tabla2[[#This Row],[Valor Comercial (US$)]]-Tabla2[[#This Row],[Valor del terreno (US$)]]</f>
        <v>#REF!</v>
      </c>
      <c r="R17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2" s="53" t="e">
        <f>ROUND(Tabla2[[#This Row],[Valor Comercial (US$)]]*0.8,-2)</f>
        <v>#REF!</v>
      </c>
      <c r="T172" s="53">
        <f>IF($H$6=$G$5,R172,ROUND(Tabla2[[#This Row],[Área techada (m²)4]]*[1]DATA!$B$2*1.15,-2))</f>
        <v>6200</v>
      </c>
      <c r="U172" s="6">
        <f t="shared" si="2"/>
        <v>3.5</v>
      </c>
      <c r="V172" s="39">
        <f>ROUND(Tabla2[[#This Row],[Valor del terreno (US$)]]*Tabla2[[#This Row],[Tipo de Cambio]],-2)</f>
        <v>2100</v>
      </c>
      <c r="W172" s="39" t="e">
        <f>Tabla2[[#This Row],[Valor Comercial (S/.)]]-Tabla2[[#This Row],[Valor del terreno (S/.)]]</f>
        <v>#REF!</v>
      </c>
      <c r="X172" s="39" t="e">
        <f>ROUND(Tabla2[[#This Row],[Valor Comercial (US$)]]*Tabla2[[#This Row],[Tipo de Cambio]],-2)</f>
        <v>#REF!</v>
      </c>
      <c r="Y172" s="39" t="e">
        <f>ROUND(Tabla2[[#This Row],[Valor Realización (US$)]]*Tabla2[[#This Row],[Tipo de Cambio]],-2)</f>
        <v>#REF!</v>
      </c>
      <c r="Z172" s="39">
        <f>+ROUND(Tabla2[[#This Row],[Importe Asegurable (US$)]]*Tabla2[[#This Row],[Tipo de Cambio]],-2)</f>
        <v>21700</v>
      </c>
      <c r="AA172" s="40"/>
      <c r="AB172" s="2" t="e">
        <f>+Tabla2[[#This Row],[Valor Comercial (US$)]]/Tabla2[[#This Row],[Área techada (m²)4]]</f>
        <v>#REF!</v>
      </c>
      <c r="AC17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2" s="61" t="s">
        <v>35</v>
      </c>
      <c r="AE17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2" s="43" t="e">
        <f>_xlfn.XLOOKUP(Tabla2[[#This Row],[VISTA]],[1]!Table1[Clase],[1]!Table1[VUE (USD)],0,0,1)</f>
        <v>#REF!</v>
      </c>
      <c r="AG172" s="55" t="e">
        <f>+Tabla2[[#This Row],[Valor Comercial (S/.)]]/Tabla2[[#This Row],[Valor de Venta]]-1</f>
        <v>#REF!</v>
      </c>
    </row>
    <row r="173" spans="1:33" s="1" customFormat="1" ht="15" customHeight="1" x14ac:dyDescent="0.25">
      <c r="A173" s="60" t="s">
        <v>33</v>
      </c>
      <c r="B173" s="14">
        <v>120</v>
      </c>
      <c r="C173" s="11"/>
      <c r="D173" s="15"/>
      <c r="E173" s="15"/>
      <c r="F173" s="51">
        <f>ROUND(Tabla2[[#This Row],[Área ocupada (m²)]]/20*1.4,2)</f>
        <v>0.84</v>
      </c>
      <c r="G173" s="46">
        <v>12</v>
      </c>
      <c r="H173" s="46">
        <v>12</v>
      </c>
      <c r="I173" s="51">
        <f>ROUND(Tabla2[[#This Row],[Área techada (m²)]]*0.15,2)</f>
        <v>1.8</v>
      </c>
      <c r="J173" s="47" t="s">
        <v>30</v>
      </c>
      <c r="K173" s="48">
        <v>28000</v>
      </c>
      <c r="L173" s="51">
        <f>ROUND(Tabla2[[#This Row],[Área ocupada (m²)3]]/20*1.4,2)</f>
        <v>0.84</v>
      </c>
      <c r="M173" s="37">
        <f>ROUND(Tabla2[[#This Row],[Área ocupada (m²)]],2)</f>
        <v>12</v>
      </c>
      <c r="N173" s="37">
        <f>ROUND(Tabla2[[#This Row],[Área techada (m²)]],2)</f>
        <v>12</v>
      </c>
      <c r="O173" s="52">
        <f>ROUND(Tabla2[[#This Row],[Área techada (m²)4]]*0.15,2)</f>
        <v>1.8</v>
      </c>
      <c r="P173" s="52">
        <f>ROUND(Tabla2[[#This Row],[Área del terreno (m²)2]]*[1]DATA!$A$2,-2)</f>
        <v>600</v>
      </c>
      <c r="Q173" s="38" t="e">
        <f>+Tabla2[[#This Row],[Valor Comercial (US$)]]-Tabla2[[#This Row],[Valor del terreno (US$)]]</f>
        <v>#REF!</v>
      </c>
      <c r="R17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3" s="53" t="e">
        <f>ROUND(Tabla2[[#This Row],[Valor Comercial (US$)]]*0.8,-2)</f>
        <v>#REF!</v>
      </c>
      <c r="T173" s="53">
        <f>IF($H$6=$G$5,R173,ROUND(Tabla2[[#This Row],[Área techada (m²)4]]*[1]DATA!$B$2*1.15,-2))</f>
        <v>6200</v>
      </c>
      <c r="U173" s="6">
        <f t="shared" si="2"/>
        <v>3.5</v>
      </c>
      <c r="V173" s="39">
        <f>ROUND(Tabla2[[#This Row],[Valor del terreno (US$)]]*Tabla2[[#This Row],[Tipo de Cambio]],-2)</f>
        <v>2100</v>
      </c>
      <c r="W173" s="39" t="e">
        <f>Tabla2[[#This Row],[Valor Comercial (S/.)]]-Tabla2[[#This Row],[Valor del terreno (S/.)]]</f>
        <v>#REF!</v>
      </c>
      <c r="X173" s="39" t="e">
        <f>ROUND(Tabla2[[#This Row],[Valor Comercial (US$)]]*Tabla2[[#This Row],[Tipo de Cambio]],-2)</f>
        <v>#REF!</v>
      </c>
      <c r="Y173" s="39" t="e">
        <f>ROUND(Tabla2[[#This Row],[Valor Realización (US$)]]*Tabla2[[#This Row],[Tipo de Cambio]],-2)</f>
        <v>#REF!</v>
      </c>
      <c r="Z173" s="39">
        <f>+ROUND(Tabla2[[#This Row],[Importe Asegurable (US$)]]*Tabla2[[#This Row],[Tipo de Cambio]],-2)</f>
        <v>21700</v>
      </c>
      <c r="AA173" s="40"/>
      <c r="AB173" s="2" t="e">
        <f>+Tabla2[[#This Row],[Valor Comercial (US$)]]/Tabla2[[#This Row],[Área techada (m²)4]]</f>
        <v>#REF!</v>
      </c>
      <c r="AC17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3" s="61" t="s">
        <v>35</v>
      </c>
      <c r="AE17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3" s="43" t="e">
        <f>_xlfn.XLOOKUP(Tabla2[[#This Row],[VISTA]],[1]!Table1[Clase],[1]!Table1[VUE (USD)],0,0,1)</f>
        <v>#REF!</v>
      </c>
      <c r="AG173" s="55" t="e">
        <f>+Tabla2[[#This Row],[Valor Comercial (S/.)]]/Tabla2[[#This Row],[Valor de Venta]]-1</f>
        <v>#REF!</v>
      </c>
    </row>
    <row r="174" spans="1:33" s="1" customFormat="1" ht="15" customHeight="1" x14ac:dyDescent="0.25">
      <c r="A174" s="60" t="s">
        <v>33</v>
      </c>
      <c r="B174" s="14">
        <v>125</v>
      </c>
      <c r="C174" s="11"/>
      <c r="D174" s="15"/>
      <c r="E174" s="15"/>
      <c r="F174" s="51">
        <f>ROUND(Tabla2[[#This Row],[Área ocupada (m²)]]/20*1.4,2)</f>
        <v>0.84</v>
      </c>
      <c r="G174" s="46">
        <v>12</v>
      </c>
      <c r="H174" s="46">
        <v>12</v>
      </c>
      <c r="I174" s="51">
        <f>ROUND(Tabla2[[#This Row],[Área techada (m²)]]*0.15,2)</f>
        <v>1.8</v>
      </c>
      <c r="J174" s="47" t="s">
        <v>30</v>
      </c>
      <c r="K174" s="48">
        <v>28000</v>
      </c>
      <c r="L174" s="51">
        <f>ROUND(Tabla2[[#This Row],[Área ocupada (m²)3]]/20*1.4,2)</f>
        <v>0.84</v>
      </c>
      <c r="M174" s="37">
        <f>ROUND(Tabla2[[#This Row],[Área ocupada (m²)]],2)</f>
        <v>12</v>
      </c>
      <c r="N174" s="37">
        <f>ROUND(Tabla2[[#This Row],[Área techada (m²)]],2)</f>
        <v>12</v>
      </c>
      <c r="O174" s="52">
        <f>ROUND(Tabla2[[#This Row],[Área techada (m²)4]]*0.15,2)</f>
        <v>1.8</v>
      </c>
      <c r="P174" s="52">
        <f>ROUND(Tabla2[[#This Row],[Área del terreno (m²)2]]*[1]DATA!$A$2,-2)</f>
        <v>600</v>
      </c>
      <c r="Q174" s="38" t="e">
        <f>+Tabla2[[#This Row],[Valor Comercial (US$)]]-Tabla2[[#This Row],[Valor del terreno (US$)]]</f>
        <v>#REF!</v>
      </c>
      <c r="R17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4" s="53" t="e">
        <f>ROUND(Tabla2[[#This Row],[Valor Comercial (US$)]]*0.8,-2)</f>
        <v>#REF!</v>
      </c>
      <c r="T174" s="53">
        <f>IF($H$6=$G$5,R174,ROUND(Tabla2[[#This Row],[Área techada (m²)4]]*[1]DATA!$B$2*1.15,-2))</f>
        <v>6200</v>
      </c>
      <c r="U174" s="6">
        <f t="shared" si="2"/>
        <v>3.5</v>
      </c>
      <c r="V174" s="39">
        <f>ROUND(Tabla2[[#This Row],[Valor del terreno (US$)]]*Tabla2[[#This Row],[Tipo de Cambio]],-2)</f>
        <v>2100</v>
      </c>
      <c r="W174" s="39" t="e">
        <f>Tabla2[[#This Row],[Valor Comercial (S/.)]]-Tabla2[[#This Row],[Valor del terreno (S/.)]]</f>
        <v>#REF!</v>
      </c>
      <c r="X174" s="39" t="e">
        <f>ROUND(Tabla2[[#This Row],[Valor Comercial (US$)]]*Tabla2[[#This Row],[Tipo de Cambio]],-2)</f>
        <v>#REF!</v>
      </c>
      <c r="Y174" s="39" t="e">
        <f>ROUND(Tabla2[[#This Row],[Valor Realización (US$)]]*Tabla2[[#This Row],[Tipo de Cambio]],-2)</f>
        <v>#REF!</v>
      </c>
      <c r="Z174" s="39">
        <f>+ROUND(Tabla2[[#This Row],[Importe Asegurable (US$)]]*Tabla2[[#This Row],[Tipo de Cambio]],-2)</f>
        <v>21700</v>
      </c>
      <c r="AA174" s="40"/>
      <c r="AB174" s="2" t="e">
        <f>+Tabla2[[#This Row],[Valor Comercial (US$)]]/Tabla2[[#This Row],[Área techada (m²)4]]</f>
        <v>#REF!</v>
      </c>
      <c r="AC17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4" s="61" t="s">
        <v>35</v>
      </c>
      <c r="AE17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4" s="43" t="e">
        <f>_xlfn.XLOOKUP(Tabla2[[#This Row],[VISTA]],[1]!Table1[Clase],[1]!Table1[VUE (USD)],0,0,1)</f>
        <v>#REF!</v>
      </c>
      <c r="AG174" s="55" t="e">
        <f>+Tabla2[[#This Row],[Valor Comercial (S/.)]]/Tabla2[[#This Row],[Valor de Venta]]-1</f>
        <v>#REF!</v>
      </c>
    </row>
    <row r="175" spans="1:33" s="1" customFormat="1" ht="15" customHeight="1" x14ac:dyDescent="0.25">
      <c r="A175" s="60" t="s">
        <v>33</v>
      </c>
      <c r="B175" s="14">
        <v>126</v>
      </c>
      <c r="C175" s="11"/>
      <c r="D175" s="15"/>
      <c r="E175" s="15"/>
      <c r="F175" s="51">
        <f>ROUND(Tabla2[[#This Row],[Área ocupada (m²)]]/20*1.4,2)</f>
        <v>0.84</v>
      </c>
      <c r="G175" s="46">
        <v>12</v>
      </c>
      <c r="H175" s="46">
        <v>12</v>
      </c>
      <c r="I175" s="51">
        <f>ROUND(Tabla2[[#This Row],[Área techada (m²)]]*0.15,2)</f>
        <v>1.8</v>
      </c>
      <c r="J175" s="47" t="s">
        <v>30</v>
      </c>
      <c r="K175" s="48">
        <v>28000</v>
      </c>
      <c r="L175" s="51">
        <f>ROUND(Tabla2[[#This Row],[Área ocupada (m²)3]]/20*1.4,2)</f>
        <v>0.84</v>
      </c>
      <c r="M175" s="37">
        <f>ROUND(Tabla2[[#This Row],[Área ocupada (m²)]],2)</f>
        <v>12</v>
      </c>
      <c r="N175" s="37">
        <f>ROUND(Tabla2[[#This Row],[Área techada (m²)]],2)</f>
        <v>12</v>
      </c>
      <c r="O175" s="52">
        <f>ROUND(Tabla2[[#This Row],[Área techada (m²)4]]*0.15,2)</f>
        <v>1.8</v>
      </c>
      <c r="P175" s="52">
        <f>ROUND(Tabla2[[#This Row],[Área del terreno (m²)2]]*[1]DATA!$A$2,-2)</f>
        <v>600</v>
      </c>
      <c r="Q175" s="38" t="e">
        <f>+Tabla2[[#This Row],[Valor Comercial (US$)]]-Tabla2[[#This Row],[Valor del terreno (US$)]]</f>
        <v>#REF!</v>
      </c>
      <c r="R17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5" s="53" t="e">
        <f>ROUND(Tabla2[[#This Row],[Valor Comercial (US$)]]*0.8,-2)</f>
        <v>#REF!</v>
      </c>
      <c r="T175" s="53">
        <f>IF($H$6=$G$5,R175,ROUND(Tabla2[[#This Row],[Área techada (m²)4]]*[1]DATA!$B$2*1.15,-2))</f>
        <v>6200</v>
      </c>
      <c r="U175" s="6">
        <f t="shared" si="2"/>
        <v>3.5</v>
      </c>
      <c r="V175" s="39">
        <f>ROUND(Tabla2[[#This Row],[Valor del terreno (US$)]]*Tabla2[[#This Row],[Tipo de Cambio]],-2)</f>
        <v>2100</v>
      </c>
      <c r="W175" s="39" t="e">
        <f>Tabla2[[#This Row],[Valor Comercial (S/.)]]-Tabla2[[#This Row],[Valor del terreno (S/.)]]</f>
        <v>#REF!</v>
      </c>
      <c r="X175" s="39" t="e">
        <f>ROUND(Tabla2[[#This Row],[Valor Comercial (US$)]]*Tabla2[[#This Row],[Tipo de Cambio]],-2)</f>
        <v>#REF!</v>
      </c>
      <c r="Y175" s="39" t="e">
        <f>ROUND(Tabla2[[#This Row],[Valor Realización (US$)]]*Tabla2[[#This Row],[Tipo de Cambio]],-2)</f>
        <v>#REF!</v>
      </c>
      <c r="Z175" s="39">
        <f>+ROUND(Tabla2[[#This Row],[Importe Asegurable (US$)]]*Tabla2[[#This Row],[Tipo de Cambio]],-2)</f>
        <v>21700</v>
      </c>
      <c r="AA175" s="40"/>
      <c r="AB175" s="2" t="e">
        <f>+Tabla2[[#This Row],[Valor Comercial (US$)]]/Tabla2[[#This Row],[Área techada (m²)4]]</f>
        <v>#REF!</v>
      </c>
      <c r="AC17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5" s="61" t="s">
        <v>35</v>
      </c>
      <c r="AE17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5" s="43" t="e">
        <f>_xlfn.XLOOKUP(Tabla2[[#This Row],[VISTA]],[1]!Table1[Clase],[1]!Table1[VUE (USD)],0,0,1)</f>
        <v>#REF!</v>
      </c>
      <c r="AG175" s="55" t="e">
        <f>+Tabla2[[#This Row],[Valor Comercial (S/.)]]/Tabla2[[#This Row],[Valor de Venta]]-1</f>
        <v>#REF!</v>
      </c>
    </row>
    <row r="176" spans="1:33" s="1" customFormat="1" ht="15" customHeight="1" x14ac:dyDescent="0.25">
      <c r="A176" s="60" t="s">
        <v>33</v>
      </c>
      <c r="B176" s="14">
        <v>181</v>
      </c>
      <c r="C176" s="11">
        <v>1</v>
      </c>
      <c r="D176" s="15"/>
      <c r="E176" s="15"/>
      <c r="F176" s="51">
        <f>ROUND(Tabla2[[#This Row],[Área ocupada (m²)]]/20*1.4,2)</f>
        <v>0.84</v>
      </c>
      <c r="G176" s="46">
        <v>12</v>
      </c>
      <c r="H176" s="46">
        <v>12</v>
      </c>
      <c r="I176" s="51">
        <f>ROUND(Tabla2[[#This Row],[Área techada (m²)]]*0.15,2)</f>
        <v>1.8</v>
      </c>
      <c r="J176" s="47" t="s">
        <v>30</v>
      </c>
      <c r="K176" s="48">
        <v>28000</v>
      </c>
      <c r="L176" s="51">
        <f>ROUND(Tabla2[[#This Row],[Área ocupada (m²)3]]/20*1.4,2)</f>
        <v>0.84</v>
      </c>
      <c r="M176" s="37">
        <f>ROUND(Tabla2[[#This Row],[Área ocupada (m²)]],2)</f>
        <v>12</v>
      </c>
      <c r="N176" s="37">
        <f>ROUND(Tabla2[[#This Row],[Área techada (m²)]],2)</f>
        <v>12</v>
      </c>
      <c r="O176" s="52">
        <f>ROUND(Tabla2[[#This Row],[Área techada (m²)4]]*0.15,2)</f>
        <v>1.8</v>
      </c>
      <c r="P176" s="52">
        <f>ROUND(Tabla2[[#This Row],[Área del terreno (m²)2]]*[1]DATA!$A$2,-2)</f>
        <v>600</v>
      </c>
      <c r="Q176" s="38" t="e">
        <f>+Tabla2[[#This Row],[Valor Comercial (US$)]]-Tabla2[[#This Row],[Valor del terreno (US$)]]</f>
        <v>#REF!</v>
      </c>
      <c r="R17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6" s="53" t="e">
        <f>ROUND(Tabla2[[#This Row],[Valor Comercial (US$)]]*0.8,-2)</f>
        <v>#REF!</v>
      </c>
      <c r="T176" s="53">
        <f>IF($H$6=$G$5,R176,ROUND(Tabla2[[#This Row],[Área techada (m²)4]]*[1]DATA!$B$2*1.15,-2))</f>
        <v>6200</v>
      </c>
      <c r="U176" s="6">
        <f t="shared" si="2"/>
        <v>3.5</v>
      </c>
      <c r="V176" s="39">
        <f>ROUND(Tabla2[[#This Row],[Valor del terreno (US$)]]*Tabla2[[#This Row],[Tipo de Cambio]],-2)</f>
        <v>2100</v>
      </c>
      <c r="W176" s="39" t="e">
        <f>Tabla2[[#This Row],[Valor Comercial (S/.)]]-Tabla2[[#This Row],[Valor del terreno (S/.)]]</f>
        <v>#REF!</v>
      </c>
      <c r="X176" s="39" t="e">
        <f>ROUND(Tabla2[[#This Row],[Valor Comercial (US$)]]*Tabla2[[#This Row],[Tipo de Cambio]],-2)</f>
        <v>#REF!</v>
      </c>
      <c r="Y176" s="39" t="e">
        <f>ROUND(Tabla2[[#This Row],[Valor Realización (US$)]]*Tabla2[[#This Row],[Tipo de Cambio]],-2)</f>
        <v>#REF!</v>
      </c>
      <c r="Z176" s="39">
        <f>+ROUND(Tabla2[[#This Row],[Importe Asegurable (US$)]]*Tabla2[[#This Row],[Tipo de Cambio]],-2)</f>
        <v>21700</v>
      </c>
      <c r="AA176" s="40"/>
      <c r="AB176" s="2" t="e">
        <f>+Tabla2[[#This Row],[Valor Comercial (US$)]]/Tabla2[[#This Row],[Área techada (m²)4]]</f>
        <v>#REF!</v>
      </c>
      <c r="AC17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6" s="61" t="s">
        <v>35</v>
      </c>
      <c r="AE17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6" s="43" t="e">
        <f>_xlfn.XLOOKUP(Tabla2[[#This Row],[VISTA]],[1]!Table1[Clase],[1]!Table1[VUE (USD)],0,0,1)</f>
        <v>#REF!</v>
      </c>
      <c r="AG176" s="55" t="e">
        <f>+Tabla2[[#This Row],[Valor Comercial (S/.)]]/Tabla2[[#This Row],[Valor de Venta]]-1</f>
        <v>#REF!</v>
      </c>
    </row>
    <row r="177" spans="1:33" s="1" customFormat="1" ht="15" customHeight="1" x14ac:dyDescent="0.25">
      <c r="A177" s="60" t="s">
        <v>33</v>
      </c>
      <c r="B177" s="14">
        <v>185</v>
      </c>
      <c r="C177" s="11"/>
      <c r="D177" s="15"/>
      <c r="E177" s="15"/>
      <c r="F177" s="51">
        <f>ROUND(Tabla2[[#This Row],[Área ocupada (m²)]]/20*1.4,2)</f>
        <v>0.84</v>
      </c>
      <c r="G177" s="46">
        <v>12</v>
      </c>
      <c r="H177" s="46">
        <v>12</v>
      </c>
      <c r="I177" s="51">
        <f>ROUND(Tabla2[[#This Row],[Área techada (m²)]]*0.15,2)</f>
        <v>1.8</v>
      </c>
      <c r="J177" s="47" t="s">
        <v>30</v>
      </c>
      <c r="K177" s="48">
        <v>28000</v>
      </c>
      <c r="L177" s="51">
        <f>ROUND(Tabla2[[#This Row],[Área ocupada (m²)3]]/20*1.4,2)</f>
        <v>0.84</v>
      </c>
      <c r="M177" s="37">
        <f>ROUND(Tabla2[[#This Row],[Área ocupada (m²)]],2)</f>
        <v>12</v>
      </c>
      <c r="N177" s="37">
        <f>ROUND(Tabla2[[#This Row],[Área techada (m²)]],2)</f>
        <v>12</v>
      </c>
      <c r="O177" s="52">
        <f>ROUND(Tabla2[[#This Row],[Área techada (m²)4]]*0.15,2)</f>
        <v>1.8</v>
      </c>
      <c r="P177" s="52">
        <f>ROUND(Tabla2[[#This Row],[Área del terreno (m²)2]]*[1]DATA!$A$2,-2)</f>
        <v>600</v>
      </c>
      <c r="Q177" s="38" t="e">
        <f>+Tabla2[[#This Row],[Valor Comercial (US$)]]-Tabla2[[#This Row],[Valor del terreno (US$)]]</f>
        <v>#REF!</v>
      </c>
      <c r="R17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7" s="53" t="e">
        <f>ROUND(Tabla2[[#This Row],[Valor Comercial (US$)]]*0.8,-2)</f>
        <v>#REF!</v>
      </c>
      <c r="T177" s="53">
        <f>IF($H$6=$G$5,R177,ROUND(Tabla2[[#This Row],[Área techada (m²)4]]*[1]DATA!$B$2*1.15,-2))</f>
        <v>6200</v>
      </c>
      <c r="U177" s="6">
        <f t="shared" si="2"/>
        <v>3.5</v>
      </c>
      <c r="V177" s="39">
        <f>ROUND(Tabla2[[#This Row],[Valor del terreno (US$)]]*Tabla2[[#This Row],[Tipo de Cambio]],-2)</f>
        <v>2100</v>
      </c>
      <c r="W177" s="39" t="e">
        <f>Tabla2[[#This Row],[Valor Comercial (S/.)]]-Tabla2[[#This Row],[Valor del terreno (S/.)]]</f>
        <v>#REF!</v>
      </c>
      <c r="X177" s="39" t="e">
        <f>ROUND(Tabla2[[#This Row],[Valor Comercial (US$)]]*Tabla2[[#This Row],[Tipo de Cambio]],-2)</f>
        <v>#REF!</v>
      </c>
      <c r="Y177" s="39" t="e">
        <f>ROUND(Tabla2[[#This Row],[Valor Realización (US$)]]*Tabla2[[#This Row],[Tipo de Cambio]],-2)</f>
        <v>#REF!</v>
      </c>
      <c r="Z177" s="39">
        <f>+ROUND(Tabla2[[#This Row],[Importe Asegurable (US$)]]*Tabla2[[#This Row],[Tipo de Cambio]],-2)</f>
        <v>21700</v>
      </c>
      <c r="AA177" s="40"/>
      <c r="AB177" s="2" t="e">
        <f>+Tabla2[[#This Row],[Valor Comercial (US$)]]/Tabla2[[#This Row],[Área techada (m²)4]]</f>
        <v>#REF!</v>
      </c>
      <c r="AC17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7" s="61" t="s">
        <v>35</v>
      </c>
      <c r="AE17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7" s="43" t="e">
        <f>_xlfn.XLOOKUP(Tabla2[[#This Row],[VISTA]],[1]!Table1[Clase],[1]!Table1[VUE (USD)],0,0,1)</f>
        <v>#REF!</v>
      </c>
      <c r="AG177" s="55" t="e">
        <f>+Tabla2[[#This Row],[Valor Comercial (S/.)]]/Tabla2[[#This Row],[Valor de Venta]]-1</f>
        <v>#REF!</v>
      </c>
    </row>
    <row r="178" spans="1:33" s="1" customFormat="1" ht="15" customHeight="1" x14ac:dyDescent="0.25">
      <c r="A178" s="60" t="s">
        <v>33</v>
      </c>
      <c r="B178" s="14">
        <v>245</v>
      </c>
      <c r="C178" s="11"/>
      <c r="D178" s="15"/>
      <c r="E178" s="15"/>
      <c r="F178" s="51">
        <f>ROUND(Tabla2[[#This Row],[Área ocupada (m²)]]/20*1.4,2)</f>
        <v>0.84</v>
      </c>
      <c r="G178" s="46">
        <v>12</v>
      </c>
      <c r="H178" s="46">
        <v>12</v>
      </c>
      <c r="I178" s="51">
        <f>ROUND(Tabla2[[#This Row],[Área techada (m²)]]*0.15,2)</f>
        <v>1.8</v>
      </c>
      <c r="J178" s="47" t="s">
        <v>30</v>
      </c>
      <c r="K178" s="48">
        <v>32000</v>
      </c>
      <c r="L178" s="51">
        <f>ROUND(Tabla2[[#This Row],[Área ocupada (m²)3]]/20*1.4,2)</f>
        <v>0.84</v>
      </c>
      <c r="M178" s="37">
        <f>ROUND(Tabla2[[#This Row],[Área ocupada (m²)]],2)</f>
        <v>12</v>
      </c>
      <c r="N178" s="37">
        <f>ROUND(Tabla2[[#This Row],[Área techada (m²)]],2)</f>
        <v>12</v>
      </c>
      <c r="O178" s="52">
        <f>ROUND(Tabla2[[#This Row],[Área techada (m²)4]]*0.15,2)</f>
        <v>1.8</v>
      </c>
      <c r="P178" s="52">
        <f>ROUND(Tabla2[[#This Row],[Área del terreno (m²)2]]*[1]DATA!$A$2,-2)</f>
        <v>600</v>
      </c>
      <c r="Q178" s="38" t="e">
        <f>+Tabla2[[#This Row],[Valor Comercial (US$)]]-Tabla2[[#This Row],[Valor del terreno (US$)]]</f>
        <v>#REF!</v>
      </c>
      <c r="R17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8" s="53" t="e">
        <f>ROUND(Tabla2[[#This Row],[Valor Comercial (US$)]]*0.8,-2)</f>
        <v>#REF!</v>
      </c>
      <c r="T178" s="53">
        <f>IF($H$6=$G$5,R178,ROUND(Tabla2[[#This Row],[Área techada (m²)4]]*[1]DATA!$B$2*1.15,-2))</f>
        <v>6200</v>
      </c>
      <c r="U178" s="6">
        <f t="shared" si="2"/>
        <v>3.5</v>
      </c>
      <c r="V178" s="39">
        <f>ROUND(Tabla2[[#This Row],[Valor del terreno (US$)]]*Tabla2[[#This Row],[Tipo de Cambio]],-2)</f>
        <v>2100</v>
      </c>
      <c r="W178" s="39" t="e">
        <f>Tabla2[[#This Row],[Valor Comercial (S/.)]]-Tabla2[[#This Row],[Valor del terreno (S/.)]]</f>
        <v>#REF!</v>
      </c>
      <c r="X178" s="39" t="e">
        <f>ROUND(Tabla2[[#This Row],[Valor Comercial (US$)]]*Tabla2[[#This Row],[Tipo de Cambio]],-2)</f>
        <v>#REF!</v>
      </c>
      <c r="Y178" s="39" t="e">
        <f>ROUND(Tabla2[[#This Row],[Valor Realización (US$)]]*Tabla2[[#This Row],[Tipo de Cambio]],-2)</f>
        <v>#REF!</v>
      </c>
      <c r="Z178" s="39">
        <f>+ROUND(Tabla2[[#This Row],[Importe Asegurable (US$)]]*Tabla2[[#This Row],[Tipo de Cambio]],-2)</f>
        <v>21700</v>
      </c>
      <c r="AA178" s="40"/>
      <c r="AB178" s="2" t="e">
        <f>+Tabla2[[#This Row],[Valor Comercial (US$)]]/Tabla2[[#This Row],[Área techada (m²)4]]</f>
        <v>#REF!</v>
      </c>
      <c r="AC17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8" s="61" t="s">
        <v>37</v>
      </c>
      <c r="AE178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78" s="43" t="e">
        <f>_xlfn.XLOOKUP(Tabla2[[#This Row],[VISTA]],[1]!Table1[Clase],[1]!Table1[VUE (USD)],0,0,1)</f>
        <v>#REF!</v>
      </c>
      <c r="AG178" s="55" t="e">
        <f>+Tabla2[[#This Row],[Valor Comercial (S/.)]]/Tabla2[[#This Row],[Valor de Venta]]-1</f>
        <v>#REF!</v>
      </c>
    </row>
    <row r="179" spans="1:33" s="1" customFormat="1" ht="15" customHeight="1" x14ac:dyDescent="0.25">
      <c r="A179" s="60" t="s">
        <v>33</v>
      </c>
      <c r="B179" s="14">
        <v>246</v>
      </c>
      <c r="C179" s="11"/>
      <c r="D179" s="15"/>
      <c r="E179" s="15"/>
      <c r="F179" s="51">
        <f>ROUND(Tabla2[[#This Row],[Área ocupada (m²)]]/20*1.4,2)</f>
        <v>0.84</v>
      </c>
      <c r="G179" s="46">
        <v>12</v>
      </c>
      <c r="H179" s="46">
        <v>12</v>
      </c>
      <c r="I179" s="51">
        <f>ROUND(Tabla2[[#This Row],[Área techada (m²)]]*0.15,2)</f>
        <v>1.8</v>
      </c>
      <c r="J179" s="47" t="s">
        <v>30</v>
      </c>
      <c r="K179" s="48">
        <v>32000</v>
      </c>
      <c r="L179" s="51">
        <f>ROUND(Tabla2[[#This Row],[Área ocupada (m²)3]]/20*1.4,2)</f>
        <v>0.84</v>
      </c>
      <c r="M179" s="37">
        <f>ROUND(Tabla2[[#This Row],[Área ocupada (m²)]],2)</f>
        <v>12</v>
      </c>
      <c r="N179" s="37">
        <f>ROUND(Tabla2[[#This Row],[Área techada (m²)]],2)</f>
        <v>12</v>
      </c>
      <c r="O179" s="52">
        <f>ROUND(Tabla2[[#This Row],[Área techada (m²)4]]*0.15,2)</f>
        <v>1.8</v>
      </c>
      <c r="P179" s="52">
        <f>ROUND(Tabla2[[#This Row],[Área del terreno (m²)2]]*[1]DATA!$A$2,-2)</f>
        <v>600</v>
      </c>
      <c r="Q179" s="38" t="e">
        <f>+Tabla2[[#This Row],[Valor Comercial (US$)]]-Tabla2[[#This Row],[Valor del terreno (US$)]]</f>
        <v>#REF!</v>
      </c>
      <c r="R17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9" s="53" t="e">
        <f>ROUND(Tabla2[[#This Row],[Valor Comercial (US$)]]*0.8,-2)</f>
        <v>#REF!</v>
      </c>
      <c r="T179" s="53">
        <f>IF($H$6=$G$5,R179,ROUND(Tabla2[[#This Row],[Área techada (m²)4]]*[1]DATA!$B$2*1.15,-2))</f>
        <v>6200</v>
      </c>
      <c r="U179" s="6">
        <f t="shared" si="2"/>
        <v>3.5</v>
      </c>
      <c r="V179" s="39">
        <f>ROUND(Tabla2[[#This Row],[Valor del terreno (US$)]]*Tabla2[[#This Row],[Tipo de Cambio]],-2)</f>
        <v>2100</v>
      </c>
      <c r="W179" s="39" t="e">
        <f>Tabla2[[#This Row],[Valor Comercial (S/.)]]-Tabla2[[#This Row],[Valor del terreno (S/.)]]</f>
        <v>#REF!</v>
      </c>
      <c r="X179" s="39" t="e">
        <f>ROUND(Tabla2[[#This Row],[Valor Comercial (US$)]]*Tabla2[[#This Row],[Tipo de Cambio]],-2)</f>
        <v>#REF!</v>
      </c>
      <c r="Y179" s="39" t="e">
        <f>ROUND(Tabla2[[#This Row],[Valor Realización (US$)]]*Tabla2[[#This Row],[Tipo de Cambio]],-2)</f>
        <v>#REF!</v>
      </c>
      <c r="Z179" s="39">
        <f>+ROUND(Tabla2[[#This Row],[Importe Asegurable (US$)]]*Tabla2[[#This Row],[Tipo de Cambio]],-2)</f>
        <v>21700</v>
      </c>
      <c r="AA179" s="40"/>
      <c r="AB179" s="2" t="e">
        <f>+Tabla2[[#This Row],[Valor Comercial (US$)]]/Tabla2[[#This Row],[Área techada (m²)4]]</f>
        <v>#REF!</v>
      </c>
      <c r="AC17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9" s="61" t="s">
        <v>37</v>
      </c>
      <c r="AE179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79" s="43" t="e">
        <f>_xlfn.XLOOKUP(Tabla2[[#This Row],[VISTA]],[1]!Table1[Clase],[1]!Table1[VUE (USD)],0,0,1)</f>
        <v>#REF!</v>
      </c>
      <c r="AG179" s="55" t="e">
        <f>+Tabla2[[#This Row],[Valor Comercial (S/.)]]/Tabla2[[#This Row],[Valor de Venta]]-1</f>
        <v>#REF!</v>
      </c>
    </row>
    <row r="180" spans="1:33" s="1" customFormat="1" ht="15" customHeight="1" x14ac:dyDescent="0.25">
      <c r="A180" s="60" t="s">
        <v>33</v>
      </c>
      <c r="B180" s="14">
        <v>247</v>
      </c>
      <c r="C180" s="11"/>
      <c r="D180" s="15"/>
      <c r="E180" s="15"/>
      <c r="F180" s="51">
        <f>ROUND(Tabla2[[#This Row],[Área ocupada (m²)]]/20*1.4,2)</f>
        <v>0.84</v>
      </c>
      <c r="G180" s="46">
        <v>12</v>
      </c>
      <c r="H180" s="46">
        <v>12</v>
      </c>
      <c r="I180" s="51">
        <f>ROUND(Tabla2[[#This Row],[Área techada (m²)]]*0.15,2)</f>
        <v>1.8</v>
      </c>
      <c r="J180" s="47" t="s">
        <v>30</v>
      </c>
      <c r="K180" s="48">
        <v>32000</v>
      </c>
      <c r="L180" s="51">
        <f>ROUND(Tabla2[[#This Row],[Área ocupada (m²)3]]/20*1.4,2)</f>
        <v>0.84</v>
      </c>
      <c r="M180" s="37">
        <f>ROUND(Tabla2[[#This Row],[Área ocupada (m²)]],2)</f>
        <v>12</v>
      </c>
      <c r="N180" s="37">
        <f>ROUND(Tabla2[[#This Row],[Área techada (m²)]],2)</f>
        <v>12</v>
      </c>
      <c r="O180" s="52">
        <f>ROUND(Tabla2[[#This Row],[Área techada (m²)4]]*0.15,2)</f>
        <v>1.8</v>
      </c>
      <c r="P180" s="52">
        <f>ROUND(Tabla2[[#This Row],[Área del terreno (m²)2]]*[1]DATA!$A$2,-2)</f>
        <v>600</v>
      </c>
      <c r="Q180" s="38" t="e">
        <f>+Tabla2[[#This Row],[Valor Comercial (US$)]]-Tabla2[[#This Row],[Valor del terreno (US$)]]</f>
        <v>#REF!</v>
      </c>
      <c r="R18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0" s="53" t="e">
        <f>ROUND(Tabla2[[#This Row],[Valor Comercial (US$)]]*0.8,-2)</f>
        <v>#REF!</v>
      </c>
      <c r="T180" s="53">
        <f>IF($H$6=$G$5,R180,ROUND(Tabla2[[#This Row],[Área techada (m²)4]]*[1]DATA!$B$2*1.15,-2))</f>
        <v>6200</v>
      </c>
      <c r="U180" s="6">
        <f t="shared" si="2"/>
        <v>3.5</v>
      </c>
      <c r="V180" s="39">
        <f>ROUND(Tabla2[[#This Row],[Valor del terreno (US$)]]*Tabla2[[#This Row],[Tipo de Cambio]],-2)</f>
        <v>2100</v>
      </c>
      <c r="W180" s="39" t="e">
        <f>Tabla2[[#This Row],[Valor Comercial (S/.)]]-Tabla2[[#This Row],[Valor del terreno (S/.)]]</f>
        <v>#REF!</v>
      </c>
      <c r="X180" s="39" t="e">
        <f>ROUND(Tabla2[[#This Row],[Valor Comercial (US$)]]*Tabla2[[#This Row],[Tipo de Cambio]],-2)</f>
        <v>#REF!</v>
      </c>
      <c r="Y180" s="39" t="e">
        <f>ROUND(Tabla2[[#This Row],[Valor Realización (US$)]]*Tabla2[[#This Row],[Tipo de Cambio]],-2)</f>
        <v>#REF!</v>
      </c>
      <c r="Z180" s="39">
        <f>+ROUND(Tabla2[[#This Row],[Importe Asegurable (US$)]]*Tabla2[[#This Row],[Tipo de Cambio]],-2)</f>
        <v>21700</v>
      </c>
      <c r="AA180" s="40"/>
      <c r="AB180" s="2" t="e">
        <f>+Tabla2[[#This Row],[Valor Comercial (US$)]]/Tabla2[[#This Row],[Área techada (m²)4]]</f>
        <v>#REF!</v>
      </c>
      <c r="AC18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0" s="61" t="s">
        <v>37</v>
      </c>
      <c r="AE180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80" s="43" t="e">
        <f>_xlfn.XLOOKUP(Tabla2[[#This Row],[VISTA]],[1]!Table1[Clase],[1]!Table1[VUE (USD)],0,0,1)</f>
        <v>#REF!</v>
      </c>
      <c r="AG180" s="55" t="e">
        <f>+Tabla2[[#This Row],[Valor Comercial (S/.)]]/Tabla2[[#This Row],[Valor de Venta]]-1</f>
        <v>#REF!</v>
      </c>
    </row>
    <row r="181" spans="1:33" s="1" customFormat="1" ht="15" customHeight="1" x14ac:dyDescent="0.25">
      <c r="A181" s="60" t="s">
        <v>33</v>
      </c>
      <c r="B181" s="14">
        <v>248</v>
      </c>
      <c r="C181" s="11"/>
      <c r="D181" s="15"/>
      <c r="E181" s="15"/>
      <c r="F181" s="51">
        <f>ROUND(Tabla2[[#This Row],[Área ocupada (m²)]]/20*1.4,2)</f>
        <v>0.84</v>
      </c>
      <c r="G181" s="46">
        <v>12</v>
      </c>
      <c r="H181" s="46">
        <v>12</v>
      </c>
      <c r="I181" s="51">
        <f>ROUND(Tabla2[[#This Row],[Área techada (m²)]]*0.15,2)</f>
        <v>1.8</v>
      </c>
      <c r="J181" s="47" t="s">
        <v>30</v>
      </c>
      <c r="K181" s="48">
        <v>32000</v>
      </c>
      <c r="L181" s="51">
        <f>ROUND(Tabla2[[#This Row],[Área ocupada (m²)3]]/20*1.4,2)</f>
        <v>0.84</v>
      </c>
      <c r="M181" s="37">
        <f>ROUND(Tabla2[[#This Row],[Área ocupada (m²)]],2)</f>
        <v>12</v>
      </c>
      <c r="N181" s="37">
        <f>ROUND(Tabla2[[#This Row],[Área techada (m²)]],2)</f>
        <v>12</v>
      </c>
      <c r="O181" s="52">
        <f>ROUND(Tabla2[[#This Row],[Área techada (m²)4]]*0.15,2)</f>
        <v>1.8</v>
      </c>
      <c r="P181" s="52">
        <f>ROUND(Tabla2[[#This Row],[Área del terreno (m²)2]]*[1]DATA!$A$2,-2)</f>
        <v>600</v>
      </c>
      <c r="Q181" s="38" t="e">
        <f>+Tabla2[[#This Row],[Valor Comercial (US$)]]-Tabla2[[#This Row],[Valor del terreno (US$)]]</f>
        <v>#REF!</v>
      </c>
      <c r="R18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1" s="53" t="e">
        <f>ROUND(Tabla2[[#This Row],[Valor Comercial (US$)]]*0.8,-2)</f>
        <v>#REF!</v>
      </c>
      <c r="T181" s="53">
        <f>IF($H$6=$G$5,R181,ROUND(Tabla2[[#This Row],[Área techada (m²)4]]*[1]DATA!$B$2*1.15,-2))</f>
        <v>6200</v>
      </c>
      <c r="U181" s="6">
        <f t="shared" si="2"/>
        <v>3.5</v>
      </c>
      <c r="V181" s="39">
        <f>ROUND(Tabla2[[#This Row],[Valor del terreno (US$)]]*Tabla2[[#This Row],[Tipo de Cambio]],-2)</f>
        <v>2100</v>
      </c>
      <c r="W181" s="39" t="e">
        <f>Tabla2[[#This Row],[Valor Comercial (S/.)]]-Tabla2[[#This Row],[Valor del terreno (S/.)]]</f>
        <v>#REF!</v>
      </c>
      <c r="X181" s="39" t="e">
        <f>ROUND(Tabla2[[#This Row],[Valor Comercial (US$)]]*Tabla2[[#This Row],[Tipo de Cambio]],-2)</f>
        <v>#REF!</v>
      </c>
      <c r="Y181" s="39" t="e">
        <f>ROUND(Tabla2[[#This Row],[Valor Realización (US$)]]*Tabla2[[#This Row],[Tipo de Cambio]],-2)</f>
        <v>#REF!</v>
      </c>
      <c r="Z181" s="39">
        <f>+ROUND(Tabla2[[#This Row],[Importe Asegurable (US$)]]*Tabla2[[#This Row],[Tipo de Cambio]],-2)</f>
        <v>21700</v>
      </c>
      <c r="AA181" s="40"/>
      <c r="AB181" s="2" t="e">
        <f>+Tabla2[[#This Row],[Valor Comercial (US$)]]/Tabla2[[#This Row],[Área techada (m²)4]]</f>
        <v>#REF!</v>
      </c>
      <c r="AC18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1" s="61" t="s">
        <v>37</v>
      </c>
      <c r="AE181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81" s="43" t="e">
        <f>_xlfn.XLOOKUP(Tabla2[[#This Row],[VISTA]],[1]!Table1[Clase],[1]!Table1[VUE (USD)],0,0,1)</f>
        <v>#REF!</v>
      </c>
      <c r="AG181" s="55" t="e">
        <f>+Tabla2[[#This Row],[Valor Comercial (S/.)]]/Tabla2[[#This Row],[Valor de Venta]]-1</f>
        <v>#REF!</v>
      </c>
    </row>
    <row r="182" spans="1:33" s="1" customFormat="1" ht="15" customHeight="1" x14ac:dyDescent="0.25">
      <c r="A182" s="60" t="s">
        <v>33</v>
      </c>
      <c r="B182" s="14">
        <v>399</v>
      </c>
      <c r="C182" s="11"/>
      <c r="D182" s="15"/>
      <c r="E182" s="15"/>
      <c r="F182" s="51">
        <f>ROUND(Tabla2[[#This Row],[Área ocupada (m²)]]/20*1.4,2)</f>
        <v>0.84</v>
      </c>
      <c r="G182" s="46">
        <v>12</v>
      </c>
      <c r="H182" s="46">
        <v>12</v>
      </c>
      <c r="I182" s="51">
        <f>ROUND(Tabla2[[#This Row],[Área techada (m²)]]*0.15,2)</f>
        <v>1.8</v>
      </c>
      <c r="J182" s="47" t="s">
        <v>30</v>
      </c>
      <c r="K182" s="48">
        <v>28000</v>
      </c>
      <c r="L182" s="51">
        <f>ROUND(Tabla2[[#This Row],[Área ocupada (m²)3]]/20*1.4,2)</f>
        <v>0.84</v>
      </c>
      <c r="M182" s="37">
        <f>ROUND(Tabla2[[#This Row],[Área ocupada (m²)]],2)</f>
        <v>12</v>
      </c>
      <c r="N182" s="37">
        <f>ROUND(Tabla2[[#This Row],[Área techada (m²)]],2)</f>
        <v>12</v>
      </c>
      <c r="O182" s="52">
        <f>ROUND(Tabla2[[#This Row],[Área techada (m²)4]]*0.15,2)</f>
        <v>1.8</v>
      </c>
      <c r="P182" s="52">
        <f>ROUND(Tabla2[[#This Row],[Área del terreno (m²)2]]*[1]DATA!$A$2,-2)</f>
        <v>600</v>
      </c>
      <c r="Q182" s="38" t="e">
        <f>+Tabla2[[#This Row],[Valor Comercial (US$)]]-Tabla2[[#This Row],[Valor del terreno (US$)]]</f>
        <v>#REF!</v>
      </c>
      <c r="R18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2" s="53" t="e">
        <f>ROUND(Tabla2[[#This Row],[Valor Comercial (US$)]]*0.8,-2)</f>
        <v>#REF!</v>
      </c>
      <c r="T182" s="53">
        <f>IF($H$6=$G$5,R182,ROUND(Tabla2[[#This Row],[Área techada (m²)4]]*[1]DATA!$B$2*1.15,-2))</f>
        <v>6200</v>
      </c>
      <c r="U182" s="6">
        <f t="shared" si="2"/>
        <v>3.5</v>
      </c>
      <c r="V182" s="39">
        <f>ROUND(Tabla2[[#This Row],[Valor del terreno (US$)]]*Tabla2[[#This Row],[Tipo de Cambio]],-2)</f>
        <v>2100</v>
      </c>
      <c r="W182" s="39" t="e">
        <f>Tabla2[[#This Row],[Valor Comercial (S/.)]]-Tabla2[[#This Row],[Valor del terreno (S/.)]]</f>
        <v>#REF!</v>
      </c>
      <c r="X182" s="39" t="e">
        <f>ROUND(Tabla2[[#This Row],[Valor Comercial (US$)]]*Tabla2[[#This Row],[Tipo de Cambio]],-2)</f>
        <v>#REF!</v>
      </c>
      <c r="Y182" s="39" t="e">
        <f>ROUND(Tabla2[[#This Row],[Valor Realización (US$)]]*Tabla2[[#This Row],[Tipo de Cambio]],-2)</f>
        <v>#REF!</v>
      </c>
      <c r="Z182" s="39">
        <f>+ROUND(Tabla2[[#This Row],[Importe Asegurable (US$)]]*Tabla2[[#This Row],[Tipo de Cambio]],-2)</f>
        <v>21700</v>
      </c>
      <c r="AA182" s="40"/>
      <c r="AB182" s="2" t="e">
        <f>+Tabla2[[#This Row],[Valor Comercial (US$)]]/Tabla2[[#This Row],[Área techada (m²)4]]</f>
        <v>#REF!</v>
      </c>
      <c r="AC18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2" s="61" t="s">
        <v>35</v>
      </c>
      <c r="AE18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82" s="43" t="e">
        <f>_xlfn.XLOOKUP(Tabla2[[#This Row],[VISTA]],[1]!Table1[Clase],[1]!Table1[VUE (USD)],0,0,1)</f>
        <v>#REF!</v>
      </c>
      <c r="AG182" s="55" t="e">
        <f>+Tabla2[[#This Row],[Valor Comercial (S/.)]]/Tabla2[[#This Row],[Valor de Venta]]-1</f>
        <v>#REF!</v>
      </c>
    </row>
    <row r="183" spans="1:33" s="1" customFormat="1" ht="15" customHeight="1" x14ac:dyDescent="0.25">
      <c r="A183" s="60" t="s">
        <v>33</v>
      </c>
      <c r="B183" s="14">
        <v>573</v>
      </c>
      <c r="C183" s="11"/>
      <c r="D183" s="15"/>
      <c r="E183" s="15"/>
      <c r="F183" s="51">
        <f>ROUND(Tabla2[[#This Row],[Área ocupada (m²)]]/20*1.4,2)</f>
        <v>0.84</v>
      </c>
      <c r="G183" s="46">
        <v>12</v>
      </c>
      <c r="H183" s="46">
        <v>12</v>
      </c>
      <c r="I183" s="51">
        <f>ROUND(Tabla2[[#This Row],[Área techada (m²)]]*0.15,2)</f>
        <v>1.8</v>
      </c>
      <c r="J183" s="47" t="s">
        <v>30</v>
      </c>
      <c r="K183" s="48">
        <v>30000</v>
      </c>
      <c r="L183" s="51">
        <f>ROUND(Tabla2[[#This Row],[Área ocupada (m²)3]]/20*1.4,2)</f>
        <v>0.84</v>
      </c>
      <c r="M183" s="37">
        <f>ROUND(Tabla2[[#This Row],[Área ocupada (m²)]],2)</f>
        <v>12</v>
      </c>
      <c r="N183" s="37">
        <f>ROUND(Tabla2[[#This Row],[Área techada (m²)]],2)</f>
        <v>12</v>
      </c>
      <c r="O183" s="52">
        <f>ROUND(Tabla2[[#This Row],[Área techada (m²)4]]*0.15,2)</f>
        <v>1.8</v>
      </c>
      <c r="P183" s="52">
        <f>ROUND(Tabla2[[#This Row],[Área del terreno (m²)2]]*[1]DATA!$A$2,-2)</f>
        <v>600</v>
      </c>
      <c r="Q183" s="38" t="e">
        <f>+Tabla2[[#This Row],[Valor Comercial (US$)]]-Tabla2[[#This Row],[Valor del terreno (US$)]]</f>
        <v>#REF!</v>
      </c>
      <c r="R18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3" s="53" t="e">
        <f>ROUND(Tabla2[[#This Row],[Valor Comercial (US$)]]*0.8,-2)</f>
        <v>#REF!</v>
      </c>
      <c r="T183" s="53">
        <f>IF($H$6=$G$5,R183,ROUND(Tabla2[[#This Row],[Área techada (m²)4]]*[1]DATA!$B$2*1.15,-2))</f>
        <v>6200</v>
      </c>
      <c r="U183" s="6">
        <f t="shared" si="2"/>
        <v>3.5</v>
      </c>
      <c r="V183" s="39">
        <f>ROUND(Tabla2[[#This Row],[Valor del terreno (US$)]]*Tabla2[[#This Row],[Tipo de Cambio]],-2)</f>
        <v>2100</v>
      </c>
      <c r="W183" s="39" t="e">
        <f>Tabla2[[#This Row],[Valor Comercial (S/.)]]-Tabla2[[#This Row],[Valor del terreno (S/.)]]</f>
        <v>#REF!</v>
      </c>
      <c r="X183" s="39" t="e">
        <f>ROUND(Tabla2[[#This Row],[Valor Comercial (US$)]]*Tabla2[[#This Row],[Tipo de Cambio]],-2)</f>
        <v>#REF!</v>
      </c>
      <c r="Y183" s="39" t="e">
        <f>ROUND(Tabla2[[#This Row],[Valor Realización (US$)]]*Tabla2[[#This Row],[Tipo de Cambio]],-2)</f>
        <v>#REF!</v>
      </c>
      <c r="Z183" s="39">
        <f>+ROUND(Tabla2[[#This Row],[Importe Asegurable (US$)]]*Tabla2[[#This Row],[Tipo de Cambio]],-2)</f>
        <v>21700</v>
      </c>
      <c r="AA183" s="40"/>
      <c r="AB183" s="2" t="e">
        <f>+Tabla2[[#This Row],[Valor Comercial (US$)]]/Tabla2[[#This Row],[Área techada (m²)4]]</f>
        <v>#REF!</v>
      </c>
      <c r="AC18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3" s="61" t="s">
        <v>34</v>
      </c>
      <c r="AE183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3" s="43" t="e">
        <f>_xlfn.XLOOKUP(Tabla2[[#This Row],[VISTA]],[1]!Table1[Clase],[1]!Table1[VUE (USD)],0,0,1)</f>
        <v>#REF!</v>
      </c>
      <c r="AG183" s="55" t="e">
        <f>+Tabla2[[#This Row],[Valor Comercial (S/.)]]/Tabla2[[#This Row],[Valor de Venta]]-1</f>
        <v>#REF!</v>
      </c>
    </row>
    <row r="184" spans="1:33" s="1" customFormat="1" ht="15" customHeight="1" x14ac:dyDescent="0.25">
      <c r="A184" s="60" t="s">
        <v>33</v>
      </c>
      <c r="B184" s="14">
        <v>574</v>
      </c>
      <c r="C184" s="11"/>
      <c r="D184" s="15"/>
      <c r="E184" s="15"/>
      <c r="F184" s="51">
        <f>ROUND(Tabla2[[#This Row],[Área ocupada (m²)]]/20*1.4,2)</f>
        <v>0.84</v>
      </c>
      <c r="G184" s="46">
        <v>12</v>
      </c>
      <c r="H184" s="46">
        <v>12</v>
      </c>
      <c r="I184" s="51">
        <f>ROUND(Tabla2[[#This Row],[Área techada (m²)]]*0.15,2)</f>
        <v>1.8</v>
      </c>
      <c r="J184" s="47" t="s">
        <v>30</v>
      </c>
      <c r="K184" s="48">
        <v>30000</v>
      </c>
      <c r="L184" s="51">
        <f>ROUND(Tabla2[[#This Row],[Área ocupada (m²)3]]/20*1.4,2)</f>
        <v>0.84</v>
      </c>
      <c r="M184" s="37">
        <f>ROUND(Tabla2[[#This Row],[Área ocupada (m²)]],2)</f>
        <v>12</v>
      </c>
      <c r="N184" s="37">
        <f>ROUND(Tabla2[[#This Row],[Área techada (m²)]],2)</f>
        <v>12</v>
      </c>
      <c r="O184" s="52">
        <f>ROUND(Tabla2[[#This Row],[Área techada (m²)4]]*0.15,2)</f>
        <v>1.8</v>
      </c>
      <c r="P184" s="52">
        <f>ROUND(Tabla2[[#This Row],[Área del terreno (m²)2]]*[1]DATA!$A$2,-2)</f>
        <v>600</v>
      </c>
      <c r="Q184" s="38" t="e">
        <f>+Tabla2[[#This Row],[Valor Comercial (US$)]]-Tabla2[[#This Row],[Valor del terreno (US$)]]</f>
        <v>#REF!</v>
      </c>
      <c r="R18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4" s="53" t="e">
        <f>ROUND(Tabla2[[#This Row],[Valor Comercial (US$)]]*0.8,-2)</f>
        <v>#REF!</v>
      </c>
      <c r="T184" s="53">
        <f>IF($H$6=$G$5,R184,ROUND(Tabla2[[#This Row],[Área techada (m²)4]]*[1]DATA!$B$2*1.15,-2))</f>
        <v>6200</v>
      </c>
      <c r="U184" s="6">
        <f t="shared" si="2"/>
        <v>3.5</v>
      </c>
      <c r="V184" s="39">
        <f>ROUND(Tabla2[[#This Row],[Valor del terreno (US$)]]*Tabla2[[#This Row],[Tipo de Cambio]],-2)</f>
        <v>2100</v>
      </c>
      <c r="W184" s="39" t="e">
        <f>Tabla2[[#This Row],[Valor Comercial (S/.)]]-Tabla2[[#This Row],[Valor del terreno (S/.)]]</f>
        <v>#REF!</v>
      </c>
      <c r="X184" s="39" t="e">
        <f>ROUND(Tabla2[[#This Row],[Valor Comercial (US$)]]*Tabla2[[#This Row],[Tipo de Cambio]],-2)</f>
        <v>#REF!</v>
      </c>
      <c r="Y184" s="39" t="e">
        <f>ROUND(Tabla2[[#This Row],[Valor Realización (US$)]]*Tabla2[[#This Row],[Tipo de Cambio]],-2)</f>
        <v>#REF!</v>
      </c>
      <c r="Z184" s="39">
        <f>+ROUND(Tabla2[[#This Row],[Importe Asegurable (US$)]]*Tabla2[[#This Row],[Tipo de Cambio]],-2)</f>
        <v>21700</v>
      </c>
      <c r="AA184" s="40"/>
      <c r="AB184" s="2" t="e">
        <f>+Tabla2[[#This Row],[Valor Comercial (US$)]]/Tabla2[[#This Row],[Área techada (m²)4]]</f>
        <v>#REF!</v>
      </c>
      <c r="AC18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4" s="61" t="s">
        <v>34</v>
      </c>
      <c r="AE184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4" s="43" t="e">
        <f>_xlfn.XLOOKUP(Tabla2[[#This Row],[VISTA]],[1]!Table1[Clase],[1]!Table1[VUE (USD)],0,0,1)</f>
        <v>#REF!</v>
      </c>
      <c r="AG184" s="55" t="e">
        <f>+Tabla2[[#This Row],[Valor Comercial (S/.)]]/Tabla2[[#This Row],[Valor de Venta]]-1</f>
        <v>#REF!</v>
      </c>
    </row>
    <row r="185" spans="1:33" s="1" customFormat="1" ht="15" customHeight="1" x14ac:dyDescent="0.25">
      <c r="A185" s="60" t="s">
        <v>33</v>
      </c>
      <c r="B185" s="14">
        <v>641</v>
      </c>
      <c r="C185" s="11"/>
      <c r="D185" s="15"/>
      <c r="E185" s="15"/>
      <c r="F185" s="51">
        <f>ROUND(Tabla2[[#This Row],[Área ocupada (m²)]]/20*1.4,2)</f>
        <v>0.84</v>
      </c>
      <c r="G185" s="46">
        <v>12</v>
      </c>
      <c r="H185" s="46">
        <v>12</v>
      </c>
      <c r="I185" s="51">
        <f>ROUND(Tabla2[[#This Row],[Área techada (m²)]]*0.15,2)</f>
        <v>1.8</v>
      </c>
      <c r="J185" s="47" t="s">
        <v>30</v>
      </c>
      <c r="K185" s="48">
        <v>30000</v>
      </c>
      <c r="L185" s="51">
        <f>ROUND(Tabla2[[#This Row],[Área ocupada (m²)3]]/20*1.4,2)</f>
        <v>0.84</v>
      </c>
      <c r="M185" s="37">
        <f>ROUND(Tabla2[[#This Row],[Área ocupada (m²)]],2)</f>
        <v>12</v>
      </c>
      <c r="N185" s="37">
        <f>ROUND(Tabla2[[#This Row],[Área techada (m²)]],2)</f>
        <v>12</v>
      </c>
      <c r="O185" s="52">
        <f>ROUND(Tabla2[[#This Row],[Área techada (m²)4]]*0.15,2)</f>
        <v>1.8</v>
      </c>
      <c r="P185" s="52">
        <f>ROUND(Tabla2[[#This Row],[Área del terreno (m²)2]]*[1]DATA!$A$2,-2)</f>
        <v>600</v>
      </c>
      <c r="Q185" s="38" t="e">
        <f>+Tabla2[[#This Row],[Valor Comercial (US$)]]-Tabla2[[#This Row],[Valor del terreno (US$)]]</f>
        <v>#REF!</v>
      </c>
      <c r="R18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5" s="53" t="e">
        <f>ROUND(Tabla2[[#This Row],[Valor Comercial (US$)]]*0.8,-2)</f>
        <v>#REF!</v>
      </c>
      <c r="T185" s="53">
        <f>IF($H$6=$G$5,R185,ROUND(Tabla2[[#This Row],[Área techada (m²)4]]*[1]DATA!$B$2*1.15,-2))</f>
        <v>6200</v>
      </c>
      <c r="U185" s="6">
        <f t="shared" si="2"/>
        <v>3.5</v>
      </c>
      <c r="V185" s="39">
        <f>ROUND(Tabla2[[#This Row],[Valor del terreno (US$)]]*Tabla2[[#This Row],[Tipo de Cambio]],-2)</f>
        <v>2100</v>
      </c>
      <c r="W185" s="39" t="e">
        <f>Tabla2[[#This Row],[Valor Comercial (S/.)]]-Tabla2[[#This Row],[Valor del terreno (S/.)]]</f>
        <v>#REF!</v>
      </c>
      <c r="X185" s="39" t="e">
        <f>ROUND(Tabla2[[#This Row],[Valor Comercial (US$)]]*Tabla2[[#This Row],[Tipo de Cambio]],-2)</f>
        <v>#REF!</v>
      </c>
      <c r="Y185" s="39" t="e">
        <f>ROUND(Tabla2[[#This Row],[Valor Realización (US$)]]*Tabla2[[#This Row],[Tipo de Cambio]],-2)</f>
        <v>#REF!</v>
      </c>
      <c r="Z185" s="39">
        <f>+ROUND(Tabla2[[#This Row],[Importe Asegurable (US$)]]*Tabla2[[#This Row],[Tipo de Cambio]],-2)</f>
        <v>21700</v>
      </c>
      <c r="AA185" s="40"/>
      <c r="AB185" s="2" t="e">
        <f>+Tabla2[[#This Row],[Valor Comercial (US$)]]/Tabla2[[#This Row],[Área techada (m²)4]]</f>
        <v>#REF!</v>
      </c>
      <c r="AC18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5" s="61" t="s">
        <v>34</v>
      </c>
      <c r="AE185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5" s="43" t="e">
        <f>_xlfn.XLOOKUP(Tabla2[[#This Row],[VISTA]],[1]!Table1[Clase],[1]!Table1[VUE (USD)],0,0,1)</f>
        <v>#REF!</v>
      </c>
      <c r="AG185" s="55" t="e">
        <f>+Tabla2[[#This Row],[Valor Comercial (S/.)]]/Tabla2[[#This Row],[Valor de Venta]]-1</f>
        <v>#REF!</v>
      </c>
    </row>
    <row r="186" spans="1:33" s="1" customFormat="1" ht="15" customHeight="1" x14ac:dyDescent="0.25">
      <c r="A186" s="60" t="s">
        <v>33</v>
      </c>
      <c r="B186" s="14">
        <v>642</v>
      </c>
      <c r="C186" s="11"/>
      <c r="D186" s="15"/>
      <c r="E186" s="15"/>
      <c r="F186" s="51">
        <f>ROUND(Tabla2[[#This Row],[Área ocupada (m²)]]/20*1.4,2)</f>
        <v>0.84</v>
      </c>
      <c r="G186" s="46">
        <v>12</v>
      </c>
      <c r="H186" s="46">
        <v>12</v>
      </c>
      <c r="I186" s="51">
        <f>ROUND(Tabla2[[#This Row],[Área techada (m²)]]*0.15,2)</f>
        <v>1.8</v>
      </c>
      <c r="J186" s="47" t="s">
        <v>30</v>
      </c>
      <c r="K186" s="48">
        <v>30000</v>
      </c>
      <c r="L186" s="51">
        <f>ROUND(Tabla2[[#This Row],[Área ocupada (m²)3]]/20*1.4,2)</f>
        <v>0.84</v>
      </c>
      <c r="M186" s="37">
        <f>ROUND(Tabla2[[#This Row],[Área ocupada (m²)]],2)</f>
        <v>12</v>
      </c>
      <c r="N186" s="37">
        <f>ROUND(Tabla2[[#This Row],[Área techada (m²)]],2)</f>
        <v>12</v>
      </c>
      <c r="O186" s="52">
        <f>ROUND(Tabla2[[#This Row],[Área techada (m²)4]]*0.15,2)</f>
        <v>1.8</v>
      </c>
      <c r="P186" s="52">
        <f>ROUND(Tabla2[[#This Row],[Área del terreno (m²)2]]*[1]DATA!$A$2,-2)</f>
        <v>600</v>
      </c>
      <c r="Q186" s="38" t="e">
        <f>+Tabla2[[#This Row],[Valor Comercial (US$)]]-Tabla2[[#This Row],[Valor del terreno (US$)]]</f>
        <v>#REF!</v>
      </c>
      <c r="R18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6" s="53" t="e">
        <f>ROUND(Tabla2[[#This Row],[Valor Comercial (US$)]]*0.8,-2)</f>
        <v>#REF!</v>
      </c>
      <c r="T186" s="53">
        <f>IF($H$6=$G$5,R186,ROUND(Tabla2[[#This Row],[Área techada (m²)4]]*[1]DATA!$B$2*1.15,-2))</f>
        <v>6200</v>
      </c>
      <c r="U186" s="6">
        <f t="shared" si="2"/>
        <v>3.5</v>
      </c>
      <c r="V186" s="39">
        <f>ROUND(Tabla2[[#This Row],[Valor del terreno (US$)]]*Tabla2[[#This Row],[Tipo de Cambio]],-2)</f>
        <v>2100</v>
      </c>
      <c r="W186" s="39" t="e">
        <f>Tabla2[[#This Row],[Valor Comercial (S/.)]]-Tabla2[[#This Row],[Valor del terreno (S/.)]]</f>
        <v>#REF!</v>
      </c>
      <c r="X186" s="39" t="e">
        <f>ROUND(Tabla2[[#This Row],[Valor Comercial (US$)]]*Tabla2[[#This Row],[Tipo de Cambio]],-2)</f>
        <v>#REF!</v>
      </c>
      <c r="Y186" s="39" t="e">
        <f>ROUND(Tabla2[[#This Row],[Valor Realización (US$)]]*Tabla2[[#This Row],[Tipo de Cambio]],-2)</f>
        <v>#REF!</v>
      </c>
      <c r="Z186" s="39">
        <f>+ROUND(Tabla2[[#This Row],[Importe Asegurable (US$)]]*Tabla2[[#This Row],[Tipo de Cambio]],-2)</f>
        <v>21700</v>
      </c>
      <c r="AA186" s="40"/>
      <c r="AB186" s="2" t="e">
        <f>+Tabla2[[#This Row],[Valor Comercial (US$)]]/Tabla2[[#This Row],[Área techada (m²)4]]</f>
        <v>#REF!</v>
      </c>
      <c r="AC18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6" s="61" t="s">
        <v>34</v>
      </c>
      <c r="AE186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6" s="43" t="e">
        <f>_xlfn.XLOOKUP(Tabla2[[#This Row],[VISTA]],[1]!Table1[Clase],[1]!Table1[VUE (USD)],0,0,1)</f>
        <v>#REF!</v>
      </c>
      <c r="AG186" s="55" t="e">
        <f>+Tabla2[[#This Row],[Valor Comercial (S/.)]]/Tabla2[[#This Row],[Valor de Venta]]-1</f>
        <v>#REF!</v>
      </c>
    </row>
    <row r="187" spans="1:33" s="1" customFormat="1" ht="15" customHeight="1" x14ac:dyDescent="0.25">
      <c r="A187" s="60" t="s">
        <v>33</v>
      </c>
      <c r="B187" s="14">
        <v>643</v>
      </c>
      <c r="C187" s="11"/>
      <c r="D187" s="15"/>
      <c r="E187" s="15"/>
      <c r="F187" s="51">
        <f>ROUND(Tabla2[[#This Row],[Área ocupada (m²)]]/20*1.4,2)</f>
        <v>0.84</v>
      </c>
      <c r="G187" s="46">
        <v>12</v>
      </c>
      <c r="H187" s="46">
        <v>12</v>
      </c>
      <c r="I187" s="51">
        <f>ROUND(Tabla2[[#This Row],[Área techada (m²)]]*0.15,2)</f>
        <v>1.8</v>
      </c>
      <c r="J187" s="47" t="s">
        <v>30</v>
      </c>
      <c r="K187" s="48">
        <v>30000</v>
      </c>
      <c r="L187" s="51">
        <f>ROUND(Tabla2[[#This Row],[Área ocupada (m²)3]]/20*1.4,2)</f>
        <v>0.84</v>
      </c>
      <c r="M187" s="37">
        <f>ROUND(Tabla2[[#This Row],[Área ocupada (m²)]],2)</f>
        <v>12</v>
      </c>
      <c r="N187" s="37">
        <f>ROUND(Tabla2[[#This Row],[Área techada (m²)]],2)</f>
        <v>12</v>
      </c>
      <c r="O187" s="52">
        <f>ROUND(Tabla2[[#This Row],[Área techada (m²)4]]*0.15,2)</f>
        <v>1.8</v>
      </c>
      <c r="P187" s="52">
        <f>ROUND(Tabla2[[#This Row],[Área del terreno (m²)2]]*[1]DATA!$A$2,-2)</f>
        <v>600</v>
      </c>
      <c r="Q187" s="38" t="e">
        <f>+Tabla2[[#This Row],[Valor Comercial (US$)]]-Tabla2[[#This Row],[Valor del terreno (US$)]]</f>
        <v>#REF!</v>
      </c>
      <c r="R18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7" s="53" t="e">
        <f>ROUND(Tabla2[[#This Row],[Valor Comercial (US$)]]*0.8,-2)</f>
        <v>#REF!</v>
      </c>
      <c r="T187" s="53">
        <f>IF($H$6=$G$5,R187,ROUND(Tabla2[[#This Row],[Área techada (m²)4]]*[1]DATA!$B$2*1.15,-2))</f>
        <v>6200</v>
      </c>
      <c r="U187" s="6">
        <f t="shared" si="2"/>
        <v>3.5</v>
      </c>
      <c r="V187" s="39">
        <f>ROUND(Tabla2[[#This Row],[Valor del terreno (US$)]]*Tabla2[[#This Row],[Tipo de Cambio]],-2)</f>
        <v>2100</v>
      </c>
      <c r="W187" s="39" t="e">
        <f>Tabla2[[#This Row],[Valor Comercial (S/.)]]-Tabla2[[#This Row],[Valor del terreno (S/.)]]</f>
        <v>#REF!</v>
      </c>
      <c r="X187" s="39" t="e">
        <f>ROUND(Tabla2[[#This Row],[Valor Comercial (US$)]]*Tabla2[[#This Row],[Tipo de Cambio]],-2)</f>
        <v>#REF!</v>
      </c>
      <c r="Y187" s="39" t="e">
        <f>ROUND(Tabla2[[#This Row],[Valor Realización (US$)]]*Tabla2[[#This Row],[Tipo de Cambio]],-2)</f>
        <v>#REF!</v>
      </c>
      <c r="Z187" s="39">
        <f>+ROUND(Tabla2[[#This Row],[Importe Asegurable (US$)]]*Tabla2[[#This Row],[Tipo de Cambio]],-2)</f>
        <v>21700</v>
      </c>
      <c r="AA187" s="40"/>
      <c r="AB187" s="2" t="e">
        <f>+Tabla2[[#This Row],[Valor Comercial (US$)]]/Tabla2[[#This Row],[Área techada (m²)4]]</f>
        <v>#REF!</v>
      </c>
      <c r="AC18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7" s="61" t="s">
        <v>34</v>
      </c>
      <c r="AE187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7" s="43" t="e">
        <f>_xlfn.XLOOKUP(Tabla2[[#This Row],[VISTA]],[1]!Table1[Clase],[1]!Table1[VUE (USD)],0,0,1)</f>
        <v>#REF!</v>
      </c>
      <c r="AG187" s="55" t="e">
        <f>+Tabla2[[#This Row],[Valor Comercial (S/.)]]/Tabla2[[#This Row],[Valor de Venta]]-1</f>
        <v>#REF!</v>
      </c>
    </row>
    <row r="188" spans="1:33" s="1" customFormat="1" ht="15" customHeight="1" x14ac:dyDescent="0.25">
      <c r="A188" s="60" t="s">
        <v>33</v>
      </c>
      <c r="B188" s="14">
        <v>644</v>
      </c>
      <c r="C188" s="11"/>
      <c r="D188" s="15"/>
      <c r="E188" s="15"/>
      <c r="F188" s="51">
        <f>ROUND(Tabla2[[#This Row],[Área ocupada (m²)]]/20*1.4,2)</f>
        <v>0.84</v>
      </c>
      <c r="G188" s="46">
        <v>12</v>
      </c>
      <c r="H188" s="46">
        <v>12</v>
      </c>
      <c r="I188" s="51">
        <f>ROUND(Tabla2[[#This Row],[Área techada (m²)]]*0.15,2)</f>
        <v>1.8</v>
      </c>
      <c r="J188" s="47" t="s">
        <v>30</v>
      </c>
      <c r="K188" s="48">
        <v>30000</v>
      </c>
      <c r="L188" s="51">
        <f>ROUND(Tabla2[[#This Row],[Área ocupada (m²)3]]/20*1.4,2)</f>
        <v>0.84</v>
      </c>
      <c r="M188" s="37">
        <f>ROUND(Tabla2[[#This Row],[Área ocupada (m²)]],2)</f>
        <v>12</v>
      </c>
      <c r="N188" s="37">
        <f>ROUND(Tabla2[[#This Row],[Área techada (m²)]],2)</f>
        <v>12</v>
      </c>
      <c r="O188" s="52">
        <f>ROUND(Tabla2[[#This Row],[Área techada (m²)4]]*0.15,2)</f>
        <v>1.8</v>
      </c>
      <c r="P188" s="52">
        <f>ROUND(Tabla2[[#This Row],[Área del terreno (m²)2]]*[1]DATA!$A$2,-2)</f>
        <v>600</v>
      </c>
      <c r="Q188" s="38" t="e">
        <f>+Tabla2[[#This Row],[Valor Comercial (US$)]]-Tabla2[[#This Row],[Valor del terreno (US$)]]</f>
        <v>#REF!</v>
      </c>
      <c r="R18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8" s="53" t="e">
        <f>ROUND(Tabla2[[#This Row],[Valor Comercial (US$)]]*0.8,-2)</f>
        <v>#REF!</v>
      </c>
      <c r="T188" s="53">
        <f>IF($H$6=$G$5,R188,ROUND(Tabla2[[#This Row],[Área techada (m²)4]]*[1]DATA!$B$2*1.15,-2))</f>
        <v>6200</v>
      </c>
      <c r="U188" s="6">
        <f t="shared" si="2"/>
        <v>3.5</v>
      </c>
      <c r="V188" s="39">
        <f>ROUND(Tabla2[[#This Row],[Valor del terreno (US$)]]*Tabla2[[#This Row],[Tipo de Cambio]],-2)</f>
        <v>2100</v>
      </c>
      <c r="W188" s="39" t="e">
        <f>Tabla2[[#This Row],[Valor Comercial (S/.)]]-Tabla2[[#This Row],[Valor del terreno (S/.)]]</f>
        <v>#REF!</v>
      </c>
      <c r="X188" s="39" t="e">
        <f>ROUND(Tabla2[[#This Row],[Valor Comercial (US$)]]*Tabla2[[#This Row],[Tipo de Cambio]],-2)</f>
        <v>#REF!</v>
      </c>
      <c r="Y188" s="39" t="e">
        <f>ROUND(Tabla2[[#This Row],[Valor Realización (US$)]]*Tabla2[[#This Row],[Tipo de Cambio]],-2)</f>
        <v>#REF!</v>
      </c>
      <c r="Z188" s="39">
        <f>+ROUND(Tabla2[[#This Row],[Importe Asegurable (US$)]]*Tabla2[[#This Row],[Tipo de Cambio]],-2)</f>
        <v>21700</v>
      </c>
      <c r="AA188" s="40"/>
      <c r="AB188" s="2" t="e">
        <f>+Tabla2[[#This Row],[Valor Comercial (US$)]]/Tabla2[[#This Row],[Área techada (m²)4]]</f>
        <v>#REF!</v>
      </c>
      <c r="AC18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8" s="61" t="s">
        <v>34</v>
      </c>
      <c r="AE188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8" s="43" t="e">
        <f>_xlfn.XLOOKUP(Tabla2[[#This Row],[VISTA]],[1]!Table1[Clase],[1]!Table1[VUE (USD)],0,0,1)</f>
        <v>#REF!</v>
      </c>
      <c r="AG188" s="55" t="e">
        <f>+Tabla2[[#This Row],[Valor Comercial (S/.)]]/Tabla2[[#This Row],[Valor de Venta]]-1</f>
        <v>#REF!</v>
      </c>
    </row>
    <row r="189" spans="1:33" s="1" customFormat="1" ht="15" customHeight="1" x14ac:dyDescent="0.25">
      <c r="A189" s="60" t="s">
        <v>33</v>
      </c>
      <c r="B189" s="14">
        <v>646</v>
      </c>
      <c r="C189" s="11"/>
      <c r="D189" s="15"/>
      <c r="E189" s="15"/>
      <c r="F189" s="51">
        <f>ROUND(Tabla2[[#This Row],[Área ocupada (m²)]]/20*1.4,2)</f>
        <v>0.84</v>
      </c>
      <c r="G189" s="46">
        <v>12</v>
      </c>
      <c r="H189" s="46">
        <v>12</v>
      </c>
      <c r="I189" s="51">
        <f>ROUND(Tabla2[[#This Row],[Área techada (m²)]]*0.15,2)</f>
        <v>1.8</v>
      </c>
      <c r="J189" s="47" t="s">
        <v>30</v>
      </c>
      <c r="K189" s="48">
        <v>30000</v>
      </c>
      <c r="L189" s="51">
        <f>ROUND(Tabla2[[#This Row],[Área ocupada (m²)3]]/20*1.4,2)</f>
        <v>0.84</v>
      </c>
      <c r="M189" s="37">
        <f>ROUND(Tabla2[[#This Row],[Área ocupada (m²)]],2)</f>
        <v>12</v>
      </c>
      <c r="N189" s="37">
        <f>ROUND(Tabla2[[#This Row],[Área techada (m²)]],2)</f>
        <v>12</v>
      </c>
      <c r="O189" s="52">
        <f>ROUND(Tabla2[[#This Row],[Área techada (m²)4]]*0.15,2)</f>
        <v>1.8</v>
      </c>
      <c r="P189" s="52">
        <f>ROUND(Tabla2[[#This Row],[Área del terreno (m²)2]]*[1]DATA!$A$2,-2)</f>
        <v>600</v>
      </c>
      <c r="Q189" s="38" t="e">
        <f>+Tabla2[[#This Row],[Valor Comercial (US$)]]-Tabla2[[#This Row],[Valor del terreno (US$)]]</f>
        <v>#REF!</v>
      </c>
      <c r="R18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9" s="53" t="e">
        <f>ROUND(Tabla2[[#This Row],[Valor Comercial (US$)]]*0.8,-2)</f>
        <v>#REF!</v>
      </c>
      <c r="T189" s="53">
        <f>IF($H$6=$G$5,R189,ROUND(Tabla2[[#This Row],[Área techada (m²)4]]*[1]DATA!$B$2*1.15,-2))</f>
        <v>6200</v>
      </c>
      <c r="U189" s="6">
        <f t="shared" si="2"/>
        <v>3.5</v>
      </c>
      <c r="V189" s="39">
        <f>ROUND(Tabla2[[#This Row],[Valor del terreno (US$)]]*Tabla2[[#This Row],[Tipo de Cambio]],-2)</f>
        <v>2100</v>
      </c>
      <c r="W189" s="39" t="e">
        <f>Tabla2[[#This Row],[Valor Comercial (S/.)]]-Tabla2[[#This Row],[Valor del terreno (S/.)]]</f>
        <v>#REF!</v>
      </c>
      <c r="X189" s="39" t="e">
        <f>ROUND(Tabla2[[#This Row],[Valor Comercial (US$)]]*Tabla2[[#This Row],[Tipo de Cambio]],-2)</f>
        <v>#REF!</v>
      </c>
      <c r="Y189" s="39" t="e">
        <f>ROUND(Tabla2[[#This Row],[Valor Realización (US$)]]*Tabla2[[#This Row],[Tipo de Cambio]],-2)</f>
        <v>#REF!</v>
      </c>
      <c r="Z189" s="39">
        <f>+ROUND(Tabla2[[#This Row],[Importe Asegurable (US$)]]*Tabla2[[#This Row],[Tipo de Cambio]],-2)</f>
        <v>21700</v>
      </c>
      <c r="AA189" s="40"/>
      <c r="AB189" s="2" t="e">
        <f>+Tabla2[[#This Row],[Valor Comercial (US$)]]/Tabla2[[#This Row],[Área techada (m²)4]]</f>
        <v>#REF!</v>
      </c>
      <c r="AC18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9" s="61" t="s">
        <v>34</v>
      </c>
      <c r="AE189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9" s="43" t="e">
        <f>_xlfn.XLOOKUP(Tabla2[[#This Row],[VISTA]],[1]!Table1[Clase],[1]!Table1[VUE (USD)],0,0,1)</f>
        <v>#REF!</v>
      </c>
      <c r="AG189" s="55" t="e">
        <f>+Tabla2[[#This Row],[Valor Comercial (S/.)]]/Tabla2[[#This Row],[Valor de Venta]]-1</f>
        <v>#REF!</v>
      </c>
    </row>
    <row r="190" spans="1:33" s="1" customFormat="1" ht="15" customHeight="1" x14ac:dyDescent="0.25">
      <c r="A190" s="60" t="s">
        <v>33</v>
      </c>
      <c r="B190" s="14">
        <v>648</v>
      </c>
      <c r="C190" s="11"/>
      <c r="D190" s="15"/>
      <c r="E190" s="15"/>
      <c r="F190" s="51">
        <f>ROUND(Tabla2[[#This Row],[Área ocupada (m²)]]/20*1.4,2)</f>
        <v>0.84</v>
      </c>
      <c r="G190" s="46">
        <v>12</v>
      </c>
      <c r="H190" s="46">
        <v>12</v>
      </c>
      <c r="I190" s="51">
        <f>ROUND(Tabla2[[#This Row],[Área techada (m²)]]*0.15,2)</f>
        <v>1.8</v>
      </c>
      <c r="J190" s="47" t="s">
        <v>30</v>
      </c>
      <c r="K190" s="48">
        <v>30000</v>
      </c>
      <c r="L190" s="51">
        <f>ROUND(Tabla2[[#This Row],[Área ocupada (m²)3]]/20*1.4,2)</f>
        <v>0.84</v>
      </c>
      <c r="M190" s="37">
        <f>ROUND(Tabla2[[#This Row],[Área ocupada (m²)]],2)</f>
        <v>12</v>
      </c>
      <c r="N190" s="37">
        <f>ROUND(Tabla2[[#This Row],[Área techada (m²)]],2)</f>
        <v>12</v>
      </c>
      <c r="O190" s="52">
        <f>ROUND(Tabla2[[#This Row],[Área techada (m²)4]]*0.15,2)</f>
        <v>1.8</v>
      </c>
      <c r="P190" s="52">
        <f>ROUND(Tabla2[[#This Row],[Área del terreno (m²)2]]*[1]DATA!$A$2,-2)</f>
        <v>600</v>
      </c>
      <c r="Q190" s="38" t="e">
        <f>+Tabla2[[#This Row],[Valor Comercial (US$)]]-Tabla2[[#This Row],[Valor del terreno (US$)]]</f>
        <v>#REF!</v>
      </c>
      <c r="R19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0" s="53" t="e">
        <f>ROUND(Tabla2[[#This Row],[Valor Comercial (US$)]]*0.8,-2)</f>
        <v>#REF!</v>
      </c>
      <c r="T190" s="53">
        <f>IF($H$6=$G$5,R190,ROUND(Tabla2[[#This Row],[Área techada (m²)4]]*[1]DATA!$B$2*1.15,-2))</f>
        <v>6200</v>
      </c>
      <c r="U190" s="6">
        <f t="shared" si="2"/>
        <v>3.5</v>
      </c>
      <c r="V190" s="39">
        <f>ROUND(Tabla2[[#This Row],[Valor del terreno (US$)]]*Tabla2[[#This Row],[Tipo de Cambio]],-2)</f>
        <v>2100</v>
      </c>
      <c r="W190" s="39" t="e">
        <f>Tabla2[[#This Row],[Valor Comercial (S/.)]]-Tabla2[[#This Row],[Valor del terreno (S/.)]]</f>
        <v>#REF!</v>
      </c>
      <c r="X190" s="39" t="e">
        <f>ROUND(Tabla2[[#This Row],[Valor Comercial (US$)]]*Tabla2[[#This Row],[Tipo de Cambio]],-2)</f>
        <v>#REF!</v>
      </c>
      <c r="Y190" s="39" t="e">
        <f>ROUND(Tabla2[[#This Row],[Valor Realización (US$)]]*Tabla2[[#This Row],[Tipo de Cambio]],-2)</f>
        <v>#REF!</v>
      </c>
      <c r="Z190" s="39">
        <f>+ROUND(Tabla2[[#This Row],[Importe Asegurable (US$)]]*Tabla2[[#This Row],[Tipo de Cambio]],-2)</f>
        <v>21700</v>
      </c>
      <c r="AA190" s="40"/>
      <c r="AB190" s="2" t="e">
        <f>+Tabla2[[#This Row],[Valor Comercial (US$)]]/Tabla2[[#This Row],[Área techada (m²)4]]</f>
        <v>#REF!</v>
      </c>
      <c r="AC19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0" s="61" t="s">
        <v>34</v>
      </c>
      <c r="AE190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90" s="43" t="e">
        <f>_xlfn.XLOOKUP(Tabla2[[#This Row],[VISTA]],[1]!Table1[Clase],[1]!Table1[VUE (USD)],0,0,1)</f>
        <v>#REF!</v>
      </c>
      <c r="AG190" s="55" t="e">
        <f>+Tabla2[[#This Row],[Valor Comercial (S/.)]]/Tabla2[[#This Row],[Valor de Venta]]-1</f>
        <v>#REF!</v>
      </c>
    </row>
    <row r="191" spans="1:33" s="1" customFormat="1" ht="15" customHeight="1" x14ac:dyDescent="0.25">
      <c r="A191" s="60" t="s">
        <v>33</v>
      </c>
      <c r="B191" s="14">
        <v>649</v>
      </c>
      <c r="C191" s="11"/>
      <c r="D191" s="15"/>
      <c r="E191" s="15"/>
      <c r="F191" s="51">
        <f>ROUND(Tabla2[[#This Row],[Área ocupada (m²)]]/20*1.4,2)</f>
        <v>0.84</v>
      </c>
      <c r="G191" s="46">
        <v>12</v>
      </c>
      <c r="H191" s="46">
        <v>12</v>
      </c>
      <c r="I191" s="51">
        <f>ROUND(Tabla2[[#This Row],[Área techada (m²)]]*0.15,2)</f>
        <v>1.8</v>
      </c>
      <c r="J191" s="47" t="s">
        <v>30</v>
      </c>
      <c r="K191" s="48">
        <v>30000</v>
      </c>
      <c r="L191" s="51">
        <f>ROUND(Tabla2[[#This Row],[Área ocupada (m²)3]]/20*1.4,2)</f>
        <v>0.84</v>
      </c>
      <c r="M191" s="37">
        <f>ROUND(Tabla2[[#This Row],[Área ocupada (m²)]],2)</f>
        <v>12</v>
      </c>
      <c r="N191" s="37">
        <f>ROUND(Tabla2[[#This Row],[Área techada (m²)]],2)</f>
        <v>12</v>
      </c>
      <c r="O191" s="52">
        <f>ROUND(Tabla2[[#This Row],[Área techada (m²)4]]*0.15,2)</f>
        <v>1.8</v>
      </c>
      <c r="P191" s="52">
        <f>ROUND(Tabla2[[#This Row],[Área del terreno (m²)2]]*[1]DATA!$A$2,-2)</f>
        <v>600</v>
      </c>
      <c r="Q191" s="38" t="e">
        <f>+Tabla2[[#This Row],[Valor Comercial (US$)]]-Tabla2[[#This Row],[Valor del terreno (US$)]]</f>
        <v>#REF!</v>
      </c>
      <c r="R19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1" s="53" t="e">
        <f>ROUND(Tabla2[[#This Row],[Valor Comercial (US$)]]*0.8,-2)</f>
        <v>#REF!</v>
      </c>
      <c r="T191" s="53">
        <f>IF($H$6=$G$5,R191,ROUND(Tabla2[[#This Row],[Área techada (m²)4]]*[1]DATA!$B$2*1.15,-2))</f>
        <v>6200</v>
      </c>
      <c r="U191" s="6">
        <f t="shared" si="2"/>
        <v>3.5</v>
      </c>
      <c r="V191" s="39">
        <f>ROUND(Tabla2[[#This Row],[Valor del terreno (US$)]]*Tabla2[[#This Row],[Tipo de Cambio]],-2)</f>
        <v>2100</v>
      </c>
      <c r="W191" s="39" t="e">
        <f>Tabla2[[#This Row],[Valor Comercial (S/.)]]-Tabla2[[#This Row],[Valor del terreno (S/.)]]</f>
        <v>#REF!</v>
      </c>
      <c r="X191" s="39" t="e">
        <f>ROUND(Tabla2[[#This Row],[Valor Comercial (US$)]]*Tabla2[[#This Row],[Tipo de Cambio]],-2)</f>
        <v>#REF!</v>
      </c>
      <c r="Y191" s="39" t="e">
        <f>ROUND(Tabla2[[#This Row],[Valor Realización (US$)]]*Tabla2[[#This Row],[Tipo de Cambio]],-2)</f>
        <v>#REF!</v>
      </c>
      <c r="Z191" s="39">
        <f>+ROUND(Tabla2[[#This Row],[Importe Asegurable (US$)]]*Tabla2[[#This Row],[Tipo de Cambio]],-2)</f>
        <v>21700</v>
      </c>
      <c r="AA191" s="40"/>
      <c r="AB191" s="2" t="e">
        <f>+Tabla2[[#This Row],[Valor Comercial (US$)]]/Tabla2[[#This Row],[Área techada (m²)4]]</f>
        <v>#REF!</v>
      </c>
      <c r="AC19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1" s="61" t="s">
        <v>34</v>
      </c>
      <c r="AE191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91" s="43" t="e">
        <f>_xlfn.XLOOKUP(Tabla2[[#This Row],[VISTA]],[1]!Table1[Clase],[1]!Table1[VUE (USD)],0,0,1)</f>
        <v>#REF!</v>
      </c>
      <c r="AG191" s="55" t="e">
        <f>+Tabla2[[#This Row],[Valor Comercial (S/.)]]/Tabla2[[#This Row],[Valor de Venta]]-1</f>
        <v>#REF!</v>
      </c>
    </row>
    <row r="192" spans="1:33" s="1" customFormat="1" ht="15" customHeight="1" x14ac:dyDescent="0.25">
      <c r="A192" s="60" t="s">
        <v>33</v>
      </c>
      <c r="B192" s="14">
        <v>866</v>
      </c>
      <c r="C192" s="11"/>
      <c r="D192" s="15"/>
      <c r="E192" s="15"/>
      <c r="F192" s="51">
        <f>ROUND(Tabla2[[#This Row],[Área ocupada (m²)]]/20*1.4,2)</f>
        <v>0.84</v>
      </c>
      <c r="G192" s="46">
        <v>12</v>
      </c>
      <c r="H192" s="46">
        <v>12</v>
      </c>
      <c r="I192" s="51">
        <f>ROUND(Tabla2[[#This Row],[Área techada (m²)]]*0.15,2)</f>
        <v>1.8</v>
      </c>
      <c r="J192" s="47" t="s">
        <v>30</v>
      </c>
      <c r="K192" s="48">
        <v>28000</v>
      </c>
      <c r="L192" s="51">
        <f>ROUND(Tabla2[[#This Row],[Área ocupada (m²)3]]/20*1.4,2)</f>
        <v>0.84</v>
      </c>
      <c r="M192" s="37">
        <f>ROUND(Tabla2[[#This Row],[Área ocupada (m²)]],2)</f>
        <v>12</v>
      </c>
      <c r="N192" s="37">
        <f>ROUND(Tabla2[[#This Row],[Área techada (m²)]],2)</f>
        <v>12</v>
      </c>
      <c r="O192" s="52">
        <f>ROUND(Tabla2[[#This Row],[Área techada (m²)4]]*0.15,2)</f>
        <v>1.8</v>
      </c>
      <c r="P192" s="52">
        <f>ROUND(Tabla2[[#This Row],[Área del terreno (m²)2]]*[1]DATA!$A$2,-2)</f>
        <v>600</v>
      </c>
      <c r="Q192" s="38" t="e">
        <f>+Tabla2[[#This Row],[Valor Comercial (US$)]]-Tabla2[[#This Row],[Valor del terreno (US$)]]</f>
        <v>#REF!</v>
      </c>
      <c r="R19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2" s="53" t="e">
        <f>ROUND(Tabla2[[#This Row],[Valor Comercial (US$)]]*0.8,-2)</f>
        <v>#REF!</v>
      </c>
      <c r="T192" s="53">
        <f>IF($H$6=$G$5,R192,ROUND(Tabla2[[#This Row],[Área techada (m²)4]]*[1]DATA!$B$2*1.15,-2))</f>
        <v>6200</v>
      </c>
      <c r="U192" s="6">
        <f t="shared" si="2"/>
        <v>3.5</v>
      </c>
      <c r="V192" s="39">
        <f>ROUND(Tabla2[[#This Row],[Valor del terreno (US$)]]*Tabla2[[#This Row],[Tipo de Cambio]],-2)</f>
        <v>2100</v>
      </c>
      <c r="W192" s="39" t="e">
        <f>Tabla2[[#This Row],[Valor Comercial (S/.)]]-Tabla2[[#This Row],[Valor del terreno (S/.)]]</f>
        <v>#REF!</v>
      </c>
      <c r="X192" s="39" t="e">
        <f>ROUND(Tabla2[[#This Row],[Valor Comercial (US$)]]*Tabla2[[#This Row],[Tipo de Cambio]],-2)</f>
        <v>#REF!</v>
      </c>
      <c r="Y192" s="39" t="e">
        <f>ROUND(Tabla2[[#This Row],[Valor Realización (US$)]]*Tabla2[[#This Row],[Tipo de Cambio]],-2)</f>
        <v>#REF!</v>
      </c>
      <c r="Z192" s="39">
        <f>+ROUND(Tabla2[[#This Row],[Importe Asegurable (US$)]]*Tabla2[[#This Row],[Tipo de Cambio]],-2)</f>
        <v>21700</v>
      </c>
      <c r="AA192" s="40"/>
      <c r="AB192" s="2" t="e">
        <f>+Tabla2[[#This Row],[Valor Comercial (US$)]]/Tabla2[[#This Row],[Área techada (m²)4]]</f>
        <v>#REF!</v>
      </c>
      <c r="AC19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2" s="61" t="s">
        <v>35</v>
      </c>
      <c r="AE19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2" s="43" t="e">
        <f>_xlfn.XLOOKUP(Tabla2[[#This Row],[VISTA]],[1]!Table1[Clase],[1]!Table1[VUE (USD)],0,0,1)</f>
        <v>#REF!</v>
      </c>
      <c r="AG192" s="55" t="e">
        <f>+Tabla2[[#This Row],[Valor Comercial (S/.)]]/Tabla2[[#This Row],[Valor de Venta]]-1</f>
        <v>#REF!</v>
      </c>
    </row>
    <row r="193" spans="1:33" s="1" customFormat="1" ht="15" customHeight="1" x14ac:dyDescent="0.25">
      <c r="A193" s="60" t="s">
        <v>33</v>
      </c>
      <c r="B193" s="14">
        <v>869</v>
      </c>
      <c r="C193" s="11"/>
      <c r="D193" s="15"/>
      <c r="E193" s="15"/>
      <c r="F193" s="51">
        <f>ROUND(Tabla2[[#This Row],[Área ocupada (m²)]]/20*1.4,2)</f>
        <v>0.84</v>
      </c>
      <c r="G193" s="46">
        <v>12</v>
      </c>
      <c r="H193" s="46">
        <v>12</v>
      </c>
      <c r="I193" s="51">
        <f>ROUND(Tabla2[[#This Row],[Área techada (m²)]]*0.15,2)</f>
        <v>1.8</v>
      </c>
      <c r="J193" s="47" t="s">
        <v>30</v>
      </c>
      <c r="K193" s="48">
        <v>28000</v>
      </c>
      <c r="L193" s="51">
        <f>ROUND(Tabla2[[#This Row],[Área ocupada (m²)3]]/20*1.4,2)</f>
        <v>0.84</v>
      </c>
      <c r="M193" s="37">
        <f>ROUND(Tabla2[[#This Row],[Área ocupada (m²)]],2)</f>
        <v>12</v>
      </c>
      <c r="N193" s="37">
        <f>ROUND(Tabla2[[#This Row],[Área techada (m²)]],2)</f>
        <v>12</v>
      </c>
      <c r="O193" s="52">
        <f>ROUND(Tabla2[[#This Row],[Área techada (m²)4]]*0.15,2)</f>
        <v>1.8</v>
      </c>
      <c r="P193" s="52">
        <f>ROUND(Tabla2[[#This Row],[Área del terreno (m²)2]]*[1]DATA!$A$2,-2)</f>
        <v>600</v>
      </c>
      <c r="Q193" s="38" t="e">
        <f>+Tabla2[[#This Row],[Valor Comercial (US$)]]-Tabla2[[#This Row],[Valor del terreno (US$)]]</f>
        <v>#REF!</v>
      </c>
      <c r="R19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3" s="53" t="e">
        <f>ROUND(Tabla2[[#This Row],[Valor Comercial (US$)]]*0.8,-2)</f>
        <v>#REF!</v>
      </c>
      <c r="T193" s="53">
        <f>IF($H$6=$G$5,R193,ROUND(Tabla2[[#This Row],[Área techada (m²)4]]*[1]DATA!$B$2*1.15,-2))</f>
        <v>6200</v>
      </c>
      <c r="U193" s="6">
        <f t="shared" si="2"/>
        <v>3.5</v>
      </c>
      <c r="V193" s="39">
        <f>ROUND(Tabla2[[#This Row],[Valor del terreno (US$)]]*Tabla2[[#This Row],[Tipo de Cambio]],-2)</f>
        <v>2100</v>
      </c>
      <c r="W193" s="39" t="e">
        <f>Tabla2[[#This Row],[Valor Comercial (S/.)]]-Tabla2[[#This Row],[Valor del terreno (S/.)]]</f>
        <v>#REF!</v>
      </c>
      <c r="X193" s="39" t="e">
        <f>ROUND(Tabla2[[#This Row],[Valor Comercial (US$)]]*Tabla2[[#This Row],[Tipo de Cambio]],-2)</f>
        <v>#REF!</v>
      </c>
      <c r="Y193" s="39" t="e">
        <f>ROUND(Tabla2[[#This Row],[Valor Realización (US$)]]*Tabla2[[#This Row],[Tipo de Cambio]],-2)</f>
        <v>#REF!</v>
      </c>
      <c r="Z193" s="39">
        <f>+ROUND(Tabla2[[#This Row],[Importe Asegurable (US$)]]*Tabla2[[#This Row],[Tipo de Cambio]],-2)</f>
        <v>21700</v>
      </c>
      <c r="AA193" s="40"/>
      <c r="AB193" s="2" t="e">
        <f>+Tabla2[[#This Row],[Valor Comercial (US$)]]/Tabla2[[#This Row],[Área techada (m²)4]]</f>
        <v>#REF!</v>
      </c>
      <c r="AC19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3" s="61" t="s">
        <v>35</v>
      </c>
      <c r="AE19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3" s="43" t="e">
        <f>_xlfn.XLOOKUP(Tabla2[[#This Row],[VISTA]],[1]!Table1[Clase],[1]!Table1[VUE (USD)],0,0,1)</f>
        <v>#REF!</v>
      </c>
      <c r="AG193" s="55" t="e">
        <f>+Tabla2[[#This Row],[Valor Comercial (S/.)]]/Tabla2[[#This Row],[Valor de Venta]]-1</f>
        <v>#REF!</v>
      </c>
    </row>
    <row r="194" spans="1:33" s="1" customFormat="1" ht="15" customHeight="1" x14ac:dyDescent="0.25">
      <c r="A194" s="60" t="s">
        <v>33</v>
      </c>
      <c r="B194" s="14">
        <v>874</v>
      </c>
      <c r="C194" s="11"/>
      <c r="D194" s="15"/>
      <c r="E194" s="15"/>
      <c r="F194" s="51">
        <f>ROUND(Tabla2[[#This Row],[Área ocupada (m²)]]/20*1.4,2)</f>
        <v>0.84</v>
      </c>
      <c r="G194" s="46">
        <v>12</v>
      </c>
      <c r="H194" s="46">
        <v>12</v>
      </c>
      <c r="I194" s="51">
        <f>ROUND(Tabla2[[#This Row],[Área techada (m²)]]*0.15,2)</f>
        <v>1.8</v>
      </c>
      <c r="J194" s="47" t="s">
        <v>30</v>
      </c>
      <c r="K194" s="48">
        <v>28000</v>
      </c>
      <c r="L194" s="51">
        <f>ROUND(Tabla2[[#This Row],[Área ocupada (m²)3]]/20*1.4,2)</f>
        <v>0.84</v>
      </c>
      <c r="M194" s="37">
        <f>ROUND(Tabla2[[#This Row],[Área ocupada (m²)]],2)</f>
        <v>12</v>
      </c>
      <c r="N194" s="37">
        <f>ROUND(Tabla2[[#This Row],[Área techada (m²)]],2)</f>
        <v>12</v>
      </c>
      <c r="O194" s="52">
        <f>ROUND(Tabla2[[#This Row],[Área techada (m²)4]]*0.15,2)</f>
        <v>1.8</v>
      </c>
      <c r="P194" s="52">
        <f>ROUND(Tabla2[[#This Row],[Área del terreno (m²)2]]*[1]DATA!$A$2,-2)</f>
        <v>600</v>
      </c>
      <c r="Q194" s="38" t="e">
        <f>+Tabla2[[#This Row],[Valor Comercial (US$)]]-Tabla2[[#This Row],[Valor del terreno (US$)]]</f>
        <v>#REF!</v>
      </c>
      <c r="R19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4" s="53" t="e">
        <f>ROUND(Tabla2[[#This Row],[Valor Comercial (US$)]]*0.8,-2)</f>
        <v>#REF!</v>
      </c>
      <c r="T194" s="53">
        <f>IF($H$6=$G$5,R194,ROUND(Tabla2[[#This Row],[Área techada (m²)4]]*[1]DATA!$B$2*1.15,-2))</f>
        <v>6200</v>
      </c>
      <c r="U194" s="6">
        <f t="shared" si="2"/>
        <v>3.5</v>
      </c>
      <c r="V194" s="39">
        <f>ROUND(Tabla2[[#This Row],[Valor del terreno (US$)]]*Tabla2[[#This Row],[Tipo de Cambio]],-2)</f>
        <v>2100</v>
      </c>
      <c r="W194" s="39" t="e">
        <f>Tabla2[[#This Row],[Valor Comercial (S/.)]]-Tabla2[[#This Row],[Valor del terreno (S/.)]]</f>
        <v>#REF!</v>
      </c>
      <c r="X194" s="39" t="e">
        <f>ROUND(Tabla2[[#This Row],[Valor Comercial (US$)]]*Tabla2[[#This Row],[Tipo de Cambio]],-2)</f>
        <v>#REF!</v>
      </c>
      <c r="Y194" s="39" t="e">
        <f>ROUND(Tabla2[[#This Row],[Valor Realización (US$)]]*Tabla2[[#This Row],[Tipo de Cambio]],-2)</f>
        <v>#REF!</v>
      </c>
      <c r="Z194" s="39">
        <f>+ROUND(Tabla2[[#This Row],[Importe Asegurable (US$)]]*Tabla2[[#This Row],[Tipo de Cambio]],-2)</f>
        <v>21700</v>
      </c>
      <c r="AA194" s="40"/>
      <c r="AB194" s="2" t="e">
        <f>+Tabla2[[#This Row],[Valor Comercial (US$)]]/Tabla2[[#This Row],[Área techada (m²)4]]</f>
        <v>#REF!</v>
      </c>
      <c r="AC19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4" s="61" t="s">
        <v>35</v>
      </c>
      <c r="AE19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4" s="43" t="e">
        <f>_xlfn.XLOOKUP(Tabla2[[#This Row],[VISTA]],[1]!Table1[Clase],[1]!Table1[VUE (USD)],0,0,1)</f>
        <v>#REF!</v>
      </c>
      <c r="AG194" s="55" t="e">
        <f>+Tabla2[[#This Row],[Valor Comercial (S/.)]]/Tabla2[[#This Row],[Valor de Venta]]-1</f>
        <v>#REF!</v>
      </c>
    </row>
    <row r="195" spans="1:33" s="1" customFormat="1" ht="15" customHeight="1" x14ac:dyDescent="0.25">
      <c r="A195" s="60" t="s">
        <v>33</v>
      </c>
      <c r="B195" s="14">
        <v>1047</v>
      </c>
      <c r="C195" s="11"/>
      <c r="D195" s="15"/>
      <c r="E195" s="15"/>
      <c r="F195" s="51">
        <f>ROUND(Tabla2[[#This Row],[Área ocupada (m²)]]/20*1.4,2)</f>
        <v>0.84</v>
      </c>
      <c r="G195" s="46">
        <v>12</v>
      </c>
      <c r="H195" s="46">
        <v>12</v>
      </c>
      <c r="I195" s="51">
        <f>ROUND(Tabla2[[#This Row],[Área techada (m²)]]*0.15,2)</f>
        <v>1.8</v>
      </c>
      <c r="J195" s="47" t="s">
        <v>30</v>
      </c>
      <c r="K195" s="48">
        <v>28000</v>
      </c>
      <c r="L195" s="51">
        <f>ROUND(Tabla2[[#This Row],[Área ocupada (m²)3]]/20*1.4,2)</f>
        <v>0.84</v>
      </c>
      <c r="M195" s="37">
        <f>ROUND(Tabla2[[#This Row],[Área ocupada (m²)]],2)</f>
        <v>12</v>
      </c>
      <c r="N195" s="37">
        <f>ROUND(Tabla2[[#This Row],[Área techada (m²)]],2)</f>
        <v>12</v>
      </c>
      <c r="O195" s="52">
        <f>ROUND(Tabla2[[#This Row],[Área techada (m²)4]]*0.15,2)</f>
        <v>1.8</v>
      </c>
      <c r="P195" s="52">
        <f>ROUND(Tabla2[[#This Row],[Área del terreno (m²)2]]*[1]DATA!$A$2,-2)</f>
        <v>600</v>
      </c>
      <c r="Q195" s="38" t="e">
        <f>+Tabla2[[#This Row],[Valor Comercial (US$)]]-Tabla2[[#This Row],[Valor del terreno (US$)]]</f>
        <v>#REF!</v>
      </c>
      <c r="R19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5" s="53" t="e">
        <f>ROUND(Tabla2[[#This Row],[Valor Comercial (US$)]]*0.8,-2)</f>
        <v>#REF!</v>
      </c>
      <c r="T195" s="53">
        <f>IF($H$6=$G$5,R195,ROUND(Tabla2[[#This Row],[Área techada (m²)4]]*[1]DATA!$B$2*1.15,-2))</f>
        <v>6200</v>
      </c>
      <c r="U195" s="6">
        <f t="shared" si="2"/>
        <v>3.5</v>
      </c>
      <c r="V195" s="39">
        <f>ROUND(Tabla2[[#This Row],[Valor del terreno (US$)]]*Tabla2[[#This Row],[Tipo de Cambio]],-2)</f>
        <v>2100</v>
      </c>
      <c r="W195" s="39" t="e">
        <f>Tabla2[[#This Row],[Valor Comercial (S/.)]]-Tabla2[[#This Row],[Valor del terreno (S/.)]]</f>
        <v>#REF!</v>
      </c>
      <c r="X195" s="39" t="e">
        <f>ROUND(Tabla2[[#This Row],[Valor Comercial (US$)]]*Tabla2[[#This Row],[Tipo de Cambio]],-2)</f>
        <v>#REF!</v>
      </c>
      <c r="Y195" s="39" t="e">
        <f>ROUND(Tabla2[[#This Row],[Valor Realización (US$)]]*Tabla2[[#This Row],[Tipo de Cambio]],-2)</f>
        <v>#REF!</v>
      </c>
      <c r="Z195" s="39">
        <f>+ROUND(Tabla2[[#This Row],[Importe Asegurable (US$)]]*Tabla2[[#This Row],[Tipo de Cambio]],-2)</f>
        <v>21700</v>
      </c>
      <c r="AA195" s="40"/>
      <c r="AB195" s="2" t="e">
        <f>+Tabla2[[#This Row],[Valor Comercial (US$)]]/Tabla2[[#This Row],[Área techada (m²)4]]</f>
        <v>#REF!</v>
      </c>
      <c r="AC19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5" s="61" t="s">
        <v>35</v>
      </c>
      <c r="AE19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5" s="43" t="e">
        <f>_xlfn.XLOOKUP(Tabla2[[#This Row],[VISTA]],[1]!Table1[Clase],[1]!Table1[VUE (USD)],0,0,1)</f>
        <v>#REF!</v>
      </c>
      <c r="AG195" s="55" t="e">
        <f>+Tabla2[[#This Row],[Valor Comercial (S/.)]]/Tabla2[[#This Row],[Valor de Venta]]-1</f>
        <v>#REF!</v>
      </c>
    </row>
    <row r="196" spans="1:33" s="1" customFormat="1" ht="15" customHeight="1" x14ac:dyDescent="0.25">
      <c r="A196" s="60" t="s">
        <v>33</v>
      </c>
      <c r="B196" s="14">
        <v>1049</v>
      </c>
      <c r="C196" s="11"/>
      <c r="D196" s="15"/>
      <c r="E196" s="15"/>
      <c r="F196" s="51">
        <f>ROUND(Tabla2[[#This Row],[Área ocupada (m²)]]/20*1.4,2)</f>
        <v>0.84</v>
      </c>
      <c r="G196" s="46">
        <v>12</v>
      </c>
      <c r="H196" s="46">
        <v>12</v>
      </c>
      <c r="I196" s="51">
        <f>ROUND(Tabla2[[#This Row],[Área techada (m²)]]*0.15,2)</f>
        <v>1.8</v>
      </c>
      <c r="J196" s="47" t="s">
        <v>30</v>
      </c>
      <c r="K196" s="48">
        <v>28000</v>
      </c>
      <c r="L196" s="51">
        <f>ROUND(Tabla2[[#This Row],[Área ocupada (m²)3]]/20*1.4,2)</f>
        <v>0.84</v>
      </c>
      <c r="M196" s="37">
        <f>ROUND(Tabla2[[#This Row],[Área ocupada (m²)]],2)</f>
        <v>12</v>
      </c>
      <c r="N196" s="37">
        <f>ROUND(Tabla2[[#This Row],[Área techada (m²)]],2)</f>
        <v>12</v>
      </c>
      <c r="O196" s="52">
        <f>ROUND(Tabla2[[#This Row],[Área techada (m²)4]]*0.15,2)</f>
        <v>1.8</v>
      </c>
      <c r="P196" s="52">
        <f>ROUND(Tabla2[[#This Row],[Área del terreno (m²)2]]*[1]DATA!$A$2,-2)</f>
        <v>600</v>
      </c>
      <c r="Q196" s="38" t="e">
        <f>+Tabla2[[#This Row],[Valor Comercial (US$)]]-Tabla2[[#This Row],[Valor del terreno (US$)]]</f>
        <v>#REF!</v>
      </c>
      <c r="R19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6" s="53" t="e">
        <f>ROUND(Tabla2[[#This Row],[Valor Comercial (US$)]]*0.8,-2)</f>
        <v>#REF!</v>
      </c>
      <c r="T196" s="53">
        <f>IF($H$6=$G$5,R196,ROUND(Tabla2[[#This Row],[Área techada (m²)4]]*[1]DATA!$B$2*1.15,-2))</f>
        <v>6200</v>
      </c>
      <c r="U196" s="6">
        <f t="shared" si="2"/>
        <v>3.5</v>
      </c>
      <c r="V196" s="39">
        <f>ROUND(Tabla2[[#This Row],[Valor del terreno (US$)]]*Tabla2[[#This Row],[Tipo de Cambio]],-2)</f>
        <v>2100</v>
      </c>
      <c r="W196" s="39" t="e">
        <f>Tabla2[[#This Row],[Valor Comercial (S/.)]]-Tabla2[[#This Row],[Valor del terreno (S/.)]]</f>
        <v>#REF!</v>
      </c>
      <c r="X196" s="39" t="e">
        <f>ROUND(Tabla2[[#This Row],[Valor Comercial (US$)]]*Tabla2[[#This Row],[Tipo de Cambio]],-2)</f>
        <v>#REF!</v>
      </c>
      <c r="Y196" s="39" t="e">
        <f>ROUND(Tabla2[[#This Row],[Valor Realización (US$)]]*Tabla2[[#This Row],[Tipo de Cambio]],-2)</f>
        <v>#REF!</v>
      </c>
      <c r="Z196" s="39">
        <f>+ROUND(Tabla2[[#This Row],[Importe Asegurable (US$)]]*Tabla2[[#This Row],[Tipo de Cambio]],-2)</f>
        <v>21700</v>
      </c>
      <c r="AA196" s="40"/>
      <c r="AB196" s="2" t="e">
        <f>+Tabla2[[#This Row],[Valor Comercial (US$)]]/Tabla2[[#This Row],[Área techada (m²)4]]</f>
        <v>#REF!</v>
      </c>
      <c r="AC19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6" s="61" t="s">
        <v>35</v>
      </c>
      <c r="AE19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6" s="43" t="e">
        <f>_xlfn.XLOOKUP(Tabla2[[#This Row],[VISTA]],[1]!Table1[Clase],[1]!Table1[VUE (USD)],0,0,1)</f>
        <v>#REF!</v>
      </c>
      <c r="AG196" s="55" t="e">
        <f>+Tabla2[[#This Row],[Valor Comercial (S/.)]]/Tabla2[[#This Row],[Valor de Venta]]-1</f>
        <v>#REF!</v>
      </c>
    </row>
    <row r="197" spans="1:33" s="1" customFormat="1" ht="15" customHeight="1" x14ac:dyDescent="0.25">
      <c r="A197" s="60" t="s">
        <v>33</v>
      </c>
      <c r="B197" s="14">
        <v>1050</v>
      </c>
      <c r="C197" s="11"/>
      <c r="D197" s="15"/>
      <c r="E197" s="15"/>
      <c r="F197" s="51">
        <f>ROUND(Tabla2[[#This Row],[Área ocupada (m²)]]/20*1.4,2)</f>
        <v>0.84</v>
      </c>
      <c r="G197" s="46">
        <v>12</v>
      </c>
      <c r="H197" s="46">
        <v>12</v>
      </c>
      <c r="I197" s="51">
        <f>ROUND(Tabla2[[#This Row],[Área techada (m²)]]*0.15,2)</f>
        <v>1.8</v>
      </c>
      <c r="J197" s="47" t="s">
        <v>30</v>
      </c>
      <c r="K197" s="48">
        <v>28000</v>
      </c>
      <c r="L197" s="51">
        <f>ROUND(Tabla2[[#This Row],[Área ocupada (m²)3]]/20*1.4,2)</f>
        <v>0.84</v>
      </c>
      <c r="M197" s="37">
        <f>ROUND(Tabla2[[#This Row],[Área ocupada (m²)]],2)</f>
        <v>12</v>
      </c>
      <c r="N197" s="37">
        <f>ROUND(Tabla2[[#This Row],[Área techada (m²)]],2)</f>
        <v>12</v>
      </c>
      <c r="O197" s="52">
        <f>ROUND(Tabla2[[#This Row],[Área techada (m²)4]]*0.15,2)</f>
        <v>1.8</v>
      </c>
      <c r="P197" s="52">
        <f>ROUND(Tabla2[[#This Row],[Área del terreno (m²)2]]*[1]DATA!$A$2,-2)</f>
        <v>600</v>
      </c>
      <c r="Q197" s="38" t="e">
        <f>+Tabla2[[#This Row],[Valor Comercial (US$)]]-Tabla2[[#This Row],[Valor del terreno (US$)]]</f>
        <v>#REF!</v>
      </c>
      <c r="R19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7" s="53" t="e">
        <f>ROUND(Tabla2[[#This Row],[Valor Comercial (US$)]]*0.8,-2)</f>
        <v>#REF!</v>
      </c>
      <c r="T197" s="53">
        <f>IF($H$6=$G$5,R197,ROUND(Tabla2[[#This Row],[Área techada (m²)4]]*[1]DATA!$B$2*1.15,-2))</f>
        <v>6200</v>
      </c>
      <c r="U197" s="6">
        <f t="shared" si="2"/>
        <v>3.5</v>
      </c>
      <c r="V197" s="39">
        <f>ROUND(Tabla2[[#This Row],[Valor del terreno (US$)]]*Tabla2[[#This Row],[Tipo de Cambio]],-2)</f>
        <v>2100</v>
      </c>
      <c r="W197" s="39" t="e">
        <f>Tabla2[[#This Row],[Valor Comercial (S/.)]]-Tabla2[[#This Row],[Valor del terreno (S/.)]]</f>
        <v>#REF!</v>
      </c>
      <c r="X197" s="39" t="e">
        <f>ROUND(Tabla2[[#This Row],[Valor Comercial (US$)]]*Tabla2[[#This Row],[Tipo de Cambio]],-2)</f>
        <v>#REF!</v>
      </c>
      <c r="Y197" s="39" t="e">
        <f>ROUND(Tabla2[[#This Row],[Valor Realización (US$)]]*Tabla2[[#This Row],[Tipo de Cambio]],-2)</f>
        <v>#REF!</v>
      </c>
      <c r="Z197" s="39">
        <f>+ROUND(Tabla2[[#This Row],[Importe Asegurable (US$)]]*Tabla2[[#This Row],[Tipo de Cambio]],-2)</f>
        <v>21700</v>
      </c>
      <c r="AA197" s="40"/>
      <c r="AB197" s="2" t="e">
        <f>+Tabla2[[#This Row],[Valor Comercial (US$)]]/Tabla2[[#This Row],[Área techada (m²)4]]</f>
        <v>#REF!</v>
      </c>
      <c r="AC19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7" s="61" t="s">
        <v>35</v>
      </c>
      <c r="AE19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7" s="43" t="e">
        <f>_xlfn.XLOOKUP(Tabla2[[#This Row],[VISTA]],[1]!Table1[Clase],[1]!Table1[VUE (USD)],0,0,1)</f>
        <v>#REF!</v>
      </c>
      <c r="AG197" s="55" t="e">
        <f>+Tabla2[[#This Row],[Valor Comercial (S/.)]]/Tabla2[[#This Row],[Valor de Venta]]-1</f>
        <v>#REF!</v>
      </c>
    </row>
    <row r="198" spans="1:33" s="1" customFormat="1" ht="15" customHeight="1" x14ac:dyDescent="0.25">
      <c r="A198" s="60" t="s">
        <v>33</v>
      </c>
      <c r="B198" s="14">
        <v>1051</v>
      </c>
      <c r="C198" s="11"/>
      <c r="D198" s="15"/>
      <c r="E198" s="15"/>
      <c r="F198" s="51">
        <f>ROUND(Tabla2[[#This Row],[Área ocupada (m²)]]/20*1.4,2)</f>
        <v>0.84</v>
      </c>
      <c r="G198" s="46">
        <v>12</v>
      </c>
      <c r="H198" s="46">
        <v>12</v>
      </c>
      <c r="I198" s="51">
        <f>ROUND(Tabla2[[#This Row],[Área techada (m²)]]*0.15,2)</f>
        <v>1.8</v>
      </c>
      <c r="J198" s="47" t="s">
        <v>30</v>
      </c>
      <c r="K198" s="48">
        <v>28000</v>
      </c>
      <c r="L198" s="51">
        <f>ROUND(Tabla2[[#This Row],[Área ocupada (m²)3]]/20*1.4,2)</f>
        <v>0.84</v>
      </c>
      <c r="M198" s="37">
        <f>ROUND(Tabla2[[#This Row],[Área ocupada (m²)]],2)</f>
        <v>12</v>
      </c>
      <c r="N198" s="37">
        <f>ROUND(Tabla2[[#This Row],[Área techada (m²)]],2)</f>
        <v>12</v>
      </c>
      <c r="O198" s="52">
        <f>ROUND(Tabla2[[#This Row],[Área techada (m²)4]]*0.15,2)</f>
        <v>1.8</v>
      </c>
      <c r="P198" s="52">
        <f>ROUND(Tabla2[[#This Row],[Área del terreno (m²)2]]*[1]DATA!$A$2,-2)</f>
        <v>600</v>
      </c>
      <c r="Q198" s="38" t="e">
        <f>+Tabla2[[#This Row],[Valor Comercial (US$)]]-Tabla2[[#This Row],[Valor del terreno (US$)]]</f>
        <v>#REF!</v>
      </c>
      <c r="R19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8" s="53" t="e">
        <f>ROUND(Tabla2[[#This Row],[Valor Comercial (US$)]]*0.8,-2)</f>
        <v>#REF!</v>
      </c>
      <c r="T198" s="53">
        <f>IF($H$6=$G$5,R198,ROUND(Tabla2[[#This Row],[Área techada (m²)4]]*[1]DATA!$B$2*1.15,-2))</f>
        <v>6200</v>
      </c>
      <c r="U198" s="6">
        <f t="shared" si="2"/>
        <v>3.5</v>
      </c>
      <c r="V198" s="39">
        <f>ROUND(Tabla2[[#This Row],[Valor del terreno (US$)]]*Tabla2[[#This Row],[Tipo de Cambio]],-2)</f>
        <v>2100</v>
      </c>
      <c r="W198" s="39" t="e">
        <f>Tabla2[[#This Row],[Valor Comercial (S/.)]]-Tabla2[[#This Row],[Valor del terreno (S/.)]]</f>
        <v>#REF!</v>
      </c>
      <c r="X198" s="39" t="e">
        <f>ROUND(Tabla2[[#This Row],[Valor Comercial (US$)]]*Tabla2[[#This Row],[Tipo de Cambio]],-2)</f>
        <v>#REF!</v>
      </c>
      <c r="Y198" s="39" t="e">
        <f>ROUND(Tabla2[[#This Row],[Valor Realización (US$)]]*Tabla2[[#This Row],[Tipo de Cambio]],-2)</f>
        <v>#REF!</v>
      </c>
      <c r="Z198" s="39">
        <f>+ROUND(Tabla2[[#This Row],[Importe Asegurable (US$)]]*Tabla2[[#This Row],[Tipo de Cambio]],-2)</f>
        <v>21700</v>
      </c>
      <c r="AA198" s="40"/>
      <c r="AB198" s="2" t="e">
        <f>+Tabla2[[#This Row],[Valor Comercial (US$)]]/Tabla2[[#This Row],[Área techada (m²)4]]</f>
        <v>#REF!</v>
      </c>
      <c r="AC19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8" s="61" t="s">
        <v>35</v>
      </c>
      <c r="AE198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8" s="43" t="e">
        <f>_xlfn.XLOOKUP(Tabla2[[#This Row],[VISTA]],[1]!Table1[Clase],[1]!Table1[VUE (USD)],0,0,1)</f>
        <v>#REF!</v>
      </c>
      <c r="AG198" s="55" t="e">
        <f>+Tabla2[[#This Row],[Valor Comercial (S/.)]]/Tabla2[[#This Row],[Valor de Venta]]-1</f>
        <v>#REF!</v>
      </c>
    </row>
    <row r="199" spans="1:33" s="1" customFormat="1" ht="15" customHeight="1" x14ac:dyDescent="0.25">
      <c r="A199" s="60" t="s">
        <v>33</v>
      </c>
      <c r="B199" s="14">
        <v>1053</v>
      </c>
      <c r="C199" s="11"/>
      <c r="D199" s="15"/>
      <c r="E199" s="15"/>
      <c r="F199" s="51">
        <f>ROUND(Tabla2[[#This Row],[Área ocupada (m²)]]/20*1.4,2)</f>
        <v>0.84</v>
      </c>
      <c r="G199" s="46">
        <v>12</v>
      </c>
      <c r="H199" s="46">
        <v>12</v>
      </c>
      <c r="I199" s="51">
        <f>ROUND(Tabla2[[#This Row],[Área techada (m²)]]*0.15,2)</f>
        <v>1.8</v>
      </c>
      <c r="J199" s="47" t="s">
        <v>30</v>
      </c>
      <c r="K199" s="48">
        <v>28000</v>
      </c>
      <c r="L199" s="51">
        <f>ROUND(Tabla2[[#This Row],[Área ocupada (m²)3]]/20*1.4,2)</f>
        <v>0.84</v>
      </c>
      <c r="M199" s="37">
        <f>ROUND(Tabla2[[#This Row],[Área ocupada (m²)]],2)</f>
        <v>12</v>
      </c>
      <c r="N199" s="37">
        <f>ROUND(Tabla2[[#This Row],[Área techada (m²)]],2)</f>
        <v>12</v>
      </c>
      <c r="O199" s="52">
        <f>ROUND(Tabla2[[#This Row],[Área techada (m²)4]]*0.15,2)</f>
        <v>1.8</v>
      </c>
      <c r="P199" s="52">
        <f>ROUND(Tabla2[[#This Row],[Área del terreno (m²)2]]*[1]DATA!$A$2,-2)</f>
        <v>600</v>
      </c>
      <c r="Q199" s="38" t="e">
        <f>+Tabla2[[#This Row],[Valor Comercial (US$)]]-Tabla2[[#This Row],[Valor del terreno (US$)]]</f>
        <v>#REF!</v>
      </c>
      <c r="R19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9" s="53" t="e">
        <f>ROUND(Tabla2[[#This Row],[Valor Comercial (US$)]]*0.8,-2)</f>
        <v>#REF!</v>
      </c>
      <c r="T199" s="53">
        <f>IF($H$6=$G$5,R199,ROUND(Tabla2[[#This Row],[Área techada (m²)4]]*[1]DATA!$B$2*1.15,-2))</f>
        <v>6200</v>
      </c>
      <c r="U199" s="6">
        <f t="shared" si="2"/>
        <v>3.5</v>
      </c>
      <c r="V199" s="39">
        <f>ROUND(Tabla2[[#This Row],[Valor del terreno (US$)]]*Tabla2[[#This Row],[Tipo de Cambio]],-2)</f>
        <v>2100</v>
      </c>
      <c r="W199" s="39" t="e">
        <f>Tabla2[[#This Row],[Valor Comercial (S/.)]]-Tabla2[[#This Row],[Valor del terreno (S/.)]]</f>
        <v>#REF!</v>
      </c>
      <c r="X199" s="39" t="e">
        <f>ROUND(Tabla2[[#This Row],[Valor Comercial (US$)]]*Tabla2[[#This Row],[Tipo de Cambio]],-2)</f>
        <v>#REF!</v>
      </c>
      <c r="Y199" s="39" t="e">
        <f>ROUND(Tabla2[[#This Row],[Valor Realización (US$)]]*Tabla2[[#This Row],[Tipo de Cambio]],-2)</f>
        <v>#REF!</v>
      </c>
      <c r="Z199" s="39">
        <f>+ROUND(Tabla2[[#This Row],[Importe Asegurable (US$)]]*Tabla2[[#This Row],[Tipo de Cambio]],-2)</f>
        <v>21700</v>
      </c>
      <c r="AA199" s="40"/>
      <c r="AB199" s="2" t="e">
        <f>+Tabla2[[#This Row],[Valor Comercial (US$)]]/Tabla2[[#This Row],[Área techada (m²)4]]</f>
        <v>#REF!</v>
      </c>
      <c r="AC19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9" s="61" t="s">
        <v>35</v>
      </c>
      <c r="AE199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9" s="43" t="e">
        <f>_xlfn.XLOOKUP(Tabla2[[#This Row],[VISTA]],[1]!Table1[Clase],[1]!Table1[VUE (USD)],0,0,1)</f>
        <v>#REF!</v>
      </c>
      <c r="AG199" s="55" t="e">
        <f>+Tabla2[[#This Row],[Valor Comercial (S/.)]]/Tabla2[[#This Row],[Valor de Venta]]-1</f>
        <v>#REF!</v>
      </c>
    </row>
    <row r="200" spans="1:33" s="1" customFormat="1" ht="15" customHeight="1" x14ac:dyDescent="0.25">
      <c r="A200" s="60" t="s">
        <v>33</v>
      </c>
      <c r="B200" s="14">
        <v>1054</v>
      </c>
      <c r="C200" s="11"/>
      <c r="D200" s="15"/>
      <c r="E200" s="15"/>
      <c r="F200" s="51">
        <f>ROUND(Tabla2[[#This Row],[Área ocupada (m²)]]/20*1.4,2)</f>
        <v>0.84</v>
      </c>
      <c r="G200" s="46">
        <v>12</v>
      </c>
      <c r="H200" s="46">
        <v>12</v>
      </c>
      <c r="I200" s="51">
        <f>ROUND(Tabla2[[#This Row],[Área techada (m²)]]*0.15,2)</f>
        <v>1.8</v>
      </c>
      <c r="J200" s="47" t="s">
        <v>30</v>
      </c>
      <c r="K200" s="48">
        <v>28000</v>
      </c>
      <c r="L200" s="51">
        <f>ROUND(Tabla2[[#This Row],[Área ocupada (m²)3]]/20*1.4,2)</f>
        <v>0.84</v>
      </c>
      <c r="M200" s="37">
        <f>ROUND(Tabla2[[#This Row],[Área ocupada (m²)]],2)</f>
        <v>12</v>
      </c>
      <c r="N200" s="37">
        <f>ROUND(Tabla2[[#This Row],[Área techada (m²)]],2)</f>
        <v>12</v>
      </c>
      <c r="O200" s="52">
        <f>ROUND(Tabla2[[#This Row],[Área techada (m²)4]]*0.15,2)</f>
        <v>1.8</v>
      </c>
      <c r="P200" s="52">
        <f>ROUND(Tabla2[[#This Row],[Área del terreno (m²)2]]*[1]DATA!$A$2,-2)</f>
        <v>600</v>
      </c>
      <c r="Q200" s="38" t="e">
        <f>+Tabla2[[#This Row],[Valor Comercial (US$)]]-Tabla2[[#This Row],[Valor del terreno (US$)]]</f>
        <v>#REF!</v>
      </c>
      <c r="R20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0" s="53" t="e">
        <f>ROUND(Tabla2[[#This Row],[Valor Comercial (US$)]]*0.8,-2)</f>
        <v>#REF!</v>
      </c>
      <c r="T200" s="53">
        <f>IF($H$6=$G$5,R200,ROUND(Tabla2[[#This Row],[Área techada (m²)4]]*[1]DATA!$B$2*1.15,-2))</f>
        <v>6200</v>
      </c>
      <c r="U200" s="6">
        <f t="shared" si="2"/>
        <v>3.5</v>
      </c>
      <c r="V200" s="39">
        <f>ROUND(Tabla2[[#This Row],[Valor del terreno (US$)]]*Tabla2[[#This Row],[Tipo de Cambio]],-2)</f>
        <v>2100</v>
      </c>
      <c r="W200" s="39" t="e">
        <f>Tabla2[[#This Row],[Valor Comercial (S/.)]]-Tabla2[[#This Row],[Valor del terreno (S/.)]]</f>
        <v>#REF!</v>
      </c>
      <c r="X200" s="39" t="e">
        <f>ROUND(Tabla2[[#This Row],[Valor Comercial (US$)]]*Tabla2[[#This Row],[Tipo de Cambio]],-2)</f>
        <v>#REF!</v>
      </c>
      <c r="Y200" s="39" t="e">
        <f>ROUND(Tabla2[[#This Row],[Valor Realización (US$)]]*Tabla2[[#This Row],[Tipo de Cambio]],-2)</f>
        <v>#REF!</v>
      </c>
      <c r="Z200" s="39">
        <f>+ROUND(Tabla2[[#This Row],[Importe Asegurable (US$)]]*Tabla2[[#This Row],[Tipo de Cambio]],-2)</f>
        <v>21700</v>
      </c>
      <c r="AA200" s="40"/>
      <c r="AB200" s="2" t="e">
        <f>+Tabla2[[#This Row],[Valor Comercial (US$)]]/Tabla2[[#This Row],[Área techada (m²)4]]</f>
        <v>#REF!</v>
      </c>
      <c r="AC20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0" s="61" t="s">
        <v>35</v>
      </c>
      <c r="AE200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0" s="69" t="e">
        <f>_xlfn.XLOOKUP(Tabla2[[#This Row],[VISTA]],[1]!Table1[Clase],[1]!Table1[VUE (USD)],0,0,1)</f>
        <v>#REF!</v>
      </c>
      <c r="AG200" s="55" t="e">
        <f>+Tabla2[[#This Row],[Valor Comercial (S/.)]]/Tabla2[[#This Row],[Valor de Venta]]-1</f>
        <v>#REF!</v>
      </c>
    </row>
    <row r="201" spans="1:33" s="1" customFormat="1" ht="15" customHeight="1" x14ac:dyDescent="0.25">
      <c r="A201" s="60" t="s">
        <v>33</v>
      </c>
      <c r="B201" s="14">
        <v>1055</v>
      </c>
      <c r="C201" s="11"/>
      <c r="D201" s="15"/>
      <c r="E201" s="15"/>
      <c r="F201" s="51">
        <f>ROUND(Tabla2[[#This Row],[Área ocupada (m²)]]/20*1.4,2)</f>
        <v>0.84</v>
      </c>
      <c r="G201" s="46">
        <v>12</v>
      </c>
      <c r="H201" s="46">
        <v>12</v>
      </c>
      <c r="I201" s="51">
        <f>ROUND(Tabla2[[#This Row],[Área techada (m²)]]*0.15,2)</f>
        <v>1.8</v>
      </c>
      <c r="J201" s="47" t="s">
        <v>30</v>
      </c>
      <c r="K201" s="48">
        <v>28000</v>
      </c>
      <c r="L201" s="51">
        <f>ROUND(Tabla2[[#This Row],[Área ocupada (m²)3]]/20*1.4,2)</f>
        <v>0.84</v>
      </c>
      <c r="M201" s="37">
        <f>ROUND(Tabla2[[#This Row],[Área ocupada (m²)]],2)</f>
        <v>12</v>
      </c>
      <c r="N201" s="37">
        <f>ROUND(Tabla2[[#This Row],[Área techada (m²)]],2)</f>
        <v>12</v>
      </c>
      <c r="O201" s="52">
        <f>ROUND(Tabla2[[#This Row],[Área techada (m²)4]]*0.15,2)</f>
        <v>1.8</v>
      </c>
      <c r="P201" s="52">
        <f>ROUND(Tabla2[[#This Row],[Área del terreno (m²)2]]*[1]DATA!$A$2,-2)</f>
        <v>600</v>
      </c>
      <c r="Q201" s="38" t="e">
        <f>+Tabla2[[#This Row],[Valor Comercial (US$)]]-Tabla2[[#This Row],[Valor del terreno (US$)]]</f>
        <v>#REF!</v>
      </c>
      <c r="R20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1" s="53" t="e">
        <f>ROUND(Tabla2[[#This Row],[Valor Comercial (US$)]]*0.8,-2)</f>
        <v>#REF!</v>
      </c>
      <c r="T201" s="53">
        <f>IF($H$6=$G$5,R201,ROUND(Tabla2[[#This Row],[Área techada (m²)4]]*[1]DATA!$B$2*1.15,-2))</f>
        <v>6200</v>
      </c>
      <c r="U201" s="6">
        <f t="shared" si="2"/>
        <v>3.5</v>
      </c>
      <c r="V201" s="39">
        <f>ROUND(Tabla2[[#This Row],[Valor del terreno (US$)]]*Tabla2[[#This Row],[Tipo de Cambio]],-2)</f>
        <v>2100</v>
      </c>
      <c r="W201" s="39" t="e">
        <f>Tabla2[[#This Row],[Valor Comercial (S/.)]]-Tabla2[[#This Row],[Valor del terreno (S/.)]]</f>
        <v>#REF!</v>
      </c>
      <c r="X201" s="39" t="e">
        <f>ROUND(Tabla2[[#This Row],[Valor Comercial (US$)]]*Tabla2[[#This Row],[Tipo de Cambio]],-2)</f>
        <v>#REF!</v>
      </c>
      <c r="Y201" s="39" t="e">
        <f>ROUND(Tabla2[[#This Row],[Valor Realización (US$)]]*Tabla2[[#This Row],[Tipo de Cambio]],-2)</f>
        <v>#REF!</v>
      </c>
      <c r="Z201" s="39">
        <f>+ROUND(Tabla2[[#This Row],[Importe Asegurable (US$)]]*Tabla2[[#This Row],[Tipo de Cambio]],-2)</f>
        <v>21700</v>
      </c>
      <c r="AA201" s="40"/>
      <c r="AB201" s="2" t="e">
        <f>+Tabla2[[#This Row],[Valor Comercial (US$)]]/Tabla2[[#This Row],[Área techada (m²)4]]</f>
        <v>#REF!</v>
      </c>
      <c r="AC20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1" s="61" t="s">
        <v>35</v>
      </c>
      <c r="AE201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1" s="43" t="e">
        <f>_xlfn.XLOOKUP(Tabla2[[#This Row],[VISTA]],[1]!Table1[Clase],[1]!Table1[VUE (USD)],0,0,1)</f>
        <v>#REF!</v>
      </c>
      <c r="AG201" s="55" t="e">
        <f>+Tabla2[[#This Row],[Valor Comercial (S/.)]]/Tabla2[[#This Row],[Valor de Venta]]-1</f>
        <v>#REF!</v>
      </c>
    </row>
    <row r="202" spans="1:33" s="1" customFormat="1" ht="15" customHeight="1" x14ac:dyDescent="0.25">
      <c r="A202" s="60" t="s">
        <v>33</v>
      </c>
      <c r="B202" s="14">
        <v>1056</v>
      </c>
      <c r="C202" s="11"/>
      <c r="D202" s="15"/>
      <c r="E202" s="15"/>
      <c r="F202" s="51">
        <f>ROUND(Tabla2[[#This Row],[Área ocupada (m²)]]/20*1.4,2)</f>
        <v>0.84</v>
      </c>
      <c r="G202" s="46">
        <v>12</v>
      </c>
      <c r="H202" s="46">
        <v>12</v>
      </c>
      <c r="I202" s="51">
        <f>ROUND(Tabla2[[#This Row],[Área techada (m²)]]*0.15,2)</f>
        <v>1.8</v>
      </c>
      <c r="J202" s="47" t="s">
        <v>30</v>
      </c>
      <c r="K202" s="48">
        <v>28000</v>
      </c>
      <c r="L202" s="51">
        <f>ROUND(Tabla2[[#This Row],[Área ocupada (m²)3]]/20*1.4,2)</f>
        <v>0.84</v>
      </c>
      <c r="M202" s="37">
        <f>ROUND(Tabla2[[#This Row],[Área ocupada (m²)]],2)</f>
        <v>12</v>
      </c>
      <c r="N202" s="37">
        <f>ROUND(Tabla2[[#This Row],[Área techada (m²)]],2)</f>
        <v>12</v>
      </c>
      <c r="O202" s="52">
        <f>ROUND(Tabla2[[#This Row],[Área techada (m²)4]]*0.15,2)</f>
        <v>1.8</v>
      </c>
      <c r="P202" s="52">
        <f>ROUND(Tabla2[[#This Row],[Área del terreno (m²)2]]*[1]DATA!$A$2,-2)</f>
        <v>600</v>
      </c>
      <c r="Q202" s="38" t="e">
        <f>+Tabla2[[#This Row],[Valor Comercial (US$)]]-Tabla2[[#This Row],[Valor del terreno (US$)]]</f>
        <v>#REF!</v>
      </c>
      <c r="R20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2" s="53" t="e">
        <f>ROUND(Tabla2[[#This Row],[Valor Comercial (US$)]]*0.8,-2)</f>
        <v>#REF!</v>
      </c>
      <c r="T202" s="53">
        <f>IF($H$6=$G$5,R202,ROUND(Tabla2[[#This Row],[Área techada (m²)4]]*[1]DATA!$B$2*1.15,-2))</f>
        <v>6200</v>
      </c>
      <c r="U202" s="6">
        <f t="shared" si="2"/>
        <v>3.5</v>
      </c>
      <c r="V202" s="39">
        <f>ROUND(Tabla2[[#This Row],[Valor del terreno (US$)]]*Tabla2[[#This Row],[Tipo de Cambio]],-2)</f>
        <v>2100</v>
      </c>
      <c r="W202" s="39" t="e">
        <f>Tabla2[[#This Row],[Valor Comercial (S/.)]]-Tabla2[[#This Row],[Valor del terreno (S/.)]]</f>
        <v>#REF!</v>
      </c>
      <c r="X202" s="39" t="e">
        <f>ROUND(Tabla2[[#This Row],[Valor Comercial (US$)]]*Tabla2[[#This Row],[Tipo de Cambio]],-2)</f>
        <v>#REF!</v>
      </c>
      <c r="Y202" s="39" t="e">
        <f>ROUND(Tabla2[[#This Row],[Valor Realización (US$)]]*Tabla2[[#This Row],[Tipo de Cambio]],-2)</f>
        <v>#REF!</v>
      </c>
      <c r="Z202" s="39">
        <f>+ROUND(Tabla2[[#This Row],[Importe Asegurable (US$)]]*Tabla2[[#This Row],[Tipo de Cambio]],-2)</f>
        <v>21700</v>
      </c>
      <c r="AA202" s="40"/>
      <c r="AB202" s="2" t="e">
        <f>+Tabla2[[#This Row],[Valor Comercial (US$)]]/Tabla2[[#This Row],[Área techada (m²)4]]</f>
        <v>#REF!</v>
      </c>
      <c r="AC20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2" s="61" t="s">
        <v>35</v>
      </c>
      <c r="AE20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2" s="43" t="e">
        <f>_xlfn.XLOOKUP(Tabla2[[#This Row],[VISTA]],[1]!Table1[Clase],[1]!Table1[VUE (USD)],0,0,1)</f>
        <v>#REF!</v>
      </c>
      <c r="AG202" s="55" t="e">
        <f>+Tabla2[[#This Row],[Valor Comercial (S/.)]]/Tabla2[[#This Row],[Valor de Venta]]-1</f>
        <v>#REF!</v>
      </c>
    </row>
    <row r="203" spans="1:33" s="1" customFormat="1" ht="15" customHeight="1" x14ac:dyDescent="0.25">
      <c r="A203" s="60" t="s">
        <v>33</v>
      </c>
      <c r="B203" s="14">
        <v>1057</v>
      </c>
      <c r="C203" s="11"/>
      <c r="D203" s="15"/>
      <c r="E203" s="15"/>
      <c r="F203" s="51">
        <f>ROUND(Tabla2[[#This Row],[Área ocupada (m²)]]/20*1.4,2)</f>
        <v>0.84</v>
      </c>
      <c r="G203" s="46">
        <v>12</v>
      </c>
      <c r="H203" s="46">
        <v>12</v>
      </c>
      <c r="I203" s="51">
        <f>ROUND(Tabla2[[#This Row],[Área techada (m²)]]*0.15,2)</f>
        <v>1.8</v>
      </c>
      <c r="J203" s="47" t="s">
        <v>30</v>
      </c>
      <c r="K203" s="48">
        <v>28000</v>
      </c>
      <c r="L203" s="51">
        <f>ROUND(Tabla2[[#This Row],[Área ocupada (m²)3]]/20*1.4,2)</f>
        <v>0.84</v>
      </c>
      <c r="M203" s="37">
        <f>ROUND(Tabla2[[#This Row],[Área ocupada (m²)]],2)</f>
        <v>12</v>
      </c>
      <c r="N203" s="37">
        <f>ROUND(Tabla2[[#This Row],[Área techada (m²)]],2)</f>
        <v>12</v>
      </c>
      <c r="O203" s="52">
        <f>ROUND(Tabla2[[#This Row],[Área techada (m²)4]]*0.15,2)</f>
        <v>1.8</v>
      </c>
      <c r="P203" s="52">
        <f>ROUND(Tabla2[[#This Row],[Área del terreno (m²)2]]*[1]DATA!$A$2,-2)</f>
        <v>600</v>
      </c>
      <c r="Q203" s="38" t="e">
        <f>+Tabla2[[#This Row],[Valor Comercial (US$)]]-Tabla2[[#This Row],[Valor del terreno (US$)]]</f>
        <v>#REF!</v>
      </c>
      <c r="R20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3" s="53" t="e">
        <f>ROUND(Tabla2[[#This Row],[Valor Comercial (US$)]]*0.8,-2)</f>
        <v>#REF!</v>
      </c>
      <c r="T203" s="53">
        <f>IF($H$6=$G$5,R203,ROUND(Tabla2[[#This Row],[Área techada (m²)4]]*[1]DATA!$B$2*1.15,-2))</f>
        <v>6200</v>
      </c>
      <c r="U203" s="6">
        <f t="shared" si="2"/>
        <v>3.5</v>
      </c>
      <c r="V203" s="39">
        <f>ROUND(Tabla2[[#This Row],[Valor del terreno (US$)]]*Tabla2[[#This Row],[Tipo de Cambio]],-2)</f>
        <v>2100</v>
      </c>
      <c r="W203" s="39" t="e">
        <f>Tabla2[[#This Row],[Valor Comercial (S/.)]]-Tabla2[[#This Row],[Valor del terreno (S/.)]]</f>
        <v>#REF!</v>
      </c>
      <c r="X203" s="39" t="e">
        <f>ROUND(Tabla2[[#This Row],[Valor Comercial (US$)]]*Tabla2[[#This Row],[Tipo de Cambio]],-2)</f>
        <v>#REF!</v>
      </c>
      <c r="Y203" s="39" t="e">
        <f>ROUND(Tabla2[[#This Row],[Valor Realización (US$)]]*Tabla2[[#This Row],[Tipo de Cambio]],-2)</f>
        <v>#REF!</v>
      </c>
      <c r="Z203" s="39">
        <f>+ROUND(Tabla2[[#This Row],[Importe Asegurable (US$)]]*Tabla2[[#This Row],[Tipo de Cambio]],-2)</f>
        <v>21700</v>
      </c>
      <c r="AA203" s="40"/>
      <c r="AB203" s="2" t="e">
        <f>+Tabla2[[#This Row],[Valor Comercial (US$)]]/Tabla2[[#This Row],[Área techada (m²)4]]</f>
        <v>#REF!</v>
      </c>
      <c r="AC20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3" s="61" t="s">
        <v>35</v>
      </c>
      <c r="AE20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3" s="43" t="e">
        <f>_xlfn.XLOOKUP(Tabla2[[#This Row],[VISTA]],[1]!Table1[Clase],[1]!Table1[VUE (USD)],0,0,1)</f>
        <v>#REF!</v>
      </c>
      <c r="AG203" s="55" t="e">
        <f>+Tabla2[[#This Row],[Valor Comercial (S/.)]]/Tabla2[[#This Row],[Valor de Venta]]-1</f>
        <v>#REF!</v>
      </c>
    </row>
    <row r="204" spans="1:33" s="1" customFormat="1" ht="15" customHeight="1" x14ac:dyDescent="0.25">
      <c r="A204" s="60" t="s">
        <v>33</v>
      </c>
      <c r="B204" s="14">
        <v>1058</v>
      </c>
      <c r="C204" s="11"/>
      <c r="D204" s="15"/>
      <c r="E204" s="15"/>
      <c r="F204" s="51">
        <f>ROUND(Tabla2[[#This Row],[Área ocupada (m²)]]/20*1.4,2)</f>
        <v>0.84</v>
      </c>
      <c r="G204" s="46">
        <v>12</v>
      </c>
      <c r="H204" s="46">
        <v>12</v>
      </c>
      <c r="I204" s="51">
        <f>ROUND(Tabla2[[#This Row],[Área techada (m²)]]*0.15,2)</f>
        <v>1.8</v>
      </c>
      <c r="J204" s="47" t="s">
        <v>30</v>
      </c>
      <c r="K204" s="48">
        <v>28000</v>
      </c>
      <c r="L204" s="51">
        <f>ROUND(Tabla2[[#This Row],[Área ocupada (m²)3]]/20*1.4,2)</f>
        <v>0.84</v>
      </c>
      <c r="M204" s="37">
        <f>ROUND(Tabla2[[#This Row],[Área ocupada (m²)]],2)</f>
        <v>12</v>
      </c>
      <c r="N204" s="37">
        <f>ROUND(Tabla2[[#This Row],[Área techada (m²)]],2)</f>
        <v>12</v>
      </c>
      <c r="O204" s="52">
        <f>ROUND(Tabla2[[#This Row],[Área techada (m²)4]]*0.15,2)</f>
        <v>1.8</v>
      </c>
      <c r="P204" s="52">
        <f>ROUND(Tabla2[[#This Row],[Área del terreno (m²)2]]*[1]DATA!$A$2,-2)</f>
        <v>600</v>
      </c>
      <c r="Q204" s="38" t="e">
        <f>+Tabla2[[#This Row],[Valor Comercial (US$)]]-Tabla2[[#This Row],[Valor del terreno (US$)]]</f>
        <v>#REF!</v>
      </c>
      <c r="R20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4" s="53" t="e">
        <f>ROUND(Tabla2[[#This Row],[Valor Comercial (US$)]]*0.8,-2)</f>
        <v>#REF!</v>
      </c>
      <c r="T204" s="53">
        <f>IF($H$6=$G$5,R204,ROUND(Tabla2[[#This Row],[Área techada (m²)4]]*[1]DATA!$B$2*1.15,-2))</f>
        <v>6200</v>
      </c>
      <c r="U204" s="6">
        <f t="shared" si="2"/>
        <v>3.5</v>
      </c>
      <c r="V204" s="39">
        <f>ROUND(Tabla2[[#This Row],[Valor del terreno (US$)]]*Tabla2[[#This Row],[Tipo de Cambio]],-2)</f>
        <v>2100</v>
      </c>
      <c r="W204" s="39" t="e">
        <f>Tabla2[[#This Row],[Valor Comercial (S/.)]]-Tabla2[[#This Row],[Valor del terreno (S/.)]]</f>
        <v>#REF!</v>
      </c>
      <c r="X204" s="39" t="e">
        <f>ROUND(Tabla2[[#This Row],[Valor Comercial (US$)]]*Tabla2[[#This Row],[Tipo de Cambio]],-2)</f>
        <v>#REF!</v>
      </c>
      <c r="Y204" s="39" t="e">
        <f>ROUND(Tabla2[[#This Row],[Valor Realización (US$)]]*Tabla2[[#This Row],[Tipo de Cambio]],-2)</f>
        <v>#REF!</v>
      </c>
      <c r="Z204" s="39">
        <f>+ROUND(Tabla2[[#This Row],[Importe Asegurable (US$)]]*Tabla2[[#This Row],[Tipo de Cambio]],-2)</f>
        <v>21700</v>
      </c>
      <c r="AA204" s="40"/>
      <c r="AB204" s="2" t="e">
        <f>+Tabla2[[#This Row],[Valor Comercial (US$)]]/Tabla2[[#This Row],[Área techada (m²)4]]</f>
        <v>#REF!</v>
      </c>
      <c r="AC20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4" s="61" t="s">
        <v>35</v>
      </c>
      <c r="AE20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4" s="43" t="e">
        <f>_xlfn.XLOOKUP(Tabla2[[#This Row],[VISTA]],[1]!Table1[Clase],[1]!Table1[VUE (USD)],0,0,1)</f>
        <v>#REF!</v>
      </c>
      <c r="AG204" s="55" t="e">
        <f>+Tabla2[[#This Row],[Valor Comercial (S/.)]]/Tabla2[[#This Row],[Valor de Venta]]-1</f>
        <v>#REF!</v>
      </c>
    </row>
    <row r="205" spans="1:33" s="1" customFormat="1" ht="15" customHeight="1" x14ac:dyDescent="0.25">
      <c r="A205" s="60" t="s">
        <v>33</v>
      </c>
      <c r="B205" s="14">
        <v>1059</v>
      </c>
      <c r="C205" s="11"/>
      <c r="D205" s="15"/>
      <c r="E205" s="15"/>
      <c r="F205" s="51">
        <f>ROUND(Tabla2[[#This Row],[Área ocupada (m²)]]/20*1.4,2)</f>
        <v>0.84</v>
      </c>
      <c r="G205" s="46">
        <v>12</v>
      </c>
      <c r="H205" s="46">
        <v>12</v>
      </c>
      <c r="I205" s="51">
        <f>ROUND(Tabla2[[#This Row],[Área techada (m²)]]*0.15,2)</f>
        <v>1.8</v>
      </c>
      <c r="J205" s="47" t="s">
        <v>30</v>
      </c>
      <c r="K205" s="48">
        <v>28000</v>
      </c>
      <c r="L205" s="51">
        <f>ROUND(Tabla2[[#This Row],[Área ocupada (m²)3]]/20*1.4,2)</f>
        <v>0.84</v>
      </c>
      <c r="M205" s="37">
        <f>ROUND(Tabla2[[#This Row],[Área ocupada (m²)]],2)</f>
        <v>12</v>
      </c>
      <c r="N205" s="37">
        <f>ROUND(Tabla2[[#This Row],[Área techada (m²)]],2)</f>
        <v>12</v>
      </c>
      <c r="O205" s="52">
        <f>ROUND(Tabla2[[#This Row],[Área techada (m²)4]]*0.15,2)</f>
        <v>1.8</v>
      </c>
      <c r="P205" s="52">
        <f>ROUND(Tabla2[[#This Row],[Área del terreno (m²)2]]*[1]DATA!$A$2,-2)</f>
        <v>600</v>
      </c>
      <c r="Q205" s="38" t="e">
        <f>+Tabla2[[#This Row],[Valor Comercial (US$)]]-Tabla2[[#This Row],[Valor del terreno (US$)]]</f>
        <v>#REF!</v>
      </c>
      <c r="R20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5" s="53" t="e">
        <f>ROUND(Tabla2[[#This Row],[Valor Comercial (US$)]]*0.8,-2)</f>
        <v>#REF!</v>
      </c>
      <c r="T205" s="53">
        <f>IF($H$6=$G$5,R205,ROUND(Tabla2[[#This Row],[Área techada (m²)4]]*[1]DATA!$B$2*1.15,-2))</f>
        <v>6200</v>
      </c>
      <c r="U205" s="6">
        <f t="shared" ref="U205:U237" si="3">+$G$8</f>
        <v>3.5</v>
      </c>
      <c r="V205" s="39">
        <f>ROUND(Tabla2[[#This Row],[Valor del terreno (US$)]]*Tabla2[[#This Row],[Tipo de Cambio]],-2)</f>
        <v>2100</v>
      </c>
      <c r="W205" s="39" t="e">
        <f>Tabla2[[#This Row],[Valor Comercial (S/.)]]-Tabla2[[#This Row],[Valor del terreno (S/.)]]</f>
        <v>#REF!</v>
      </c>
      <c r="X205" s="39" t="e">
        <f>ROUND(Tabla2[[#This Row],[Valor Comercial (US$)]]*Tabla2[[#This Row],[Tipo de Cambio]],-2)</f>
        <v>#REF!</v>
      </c>
      <c r="Y205" s="39" t="e">
        <f>ROUND(Tabla2[[#This Row],[Valor Realización (US$)]]*Tabla2[[#This Row],[Tipo de Cambio]],-2)</f>
        <v>#REF!</v>
      </c>
      <c r="Z205" s="39">
        <f>+ROUND(Tabla2[[#This Row],[Importe Asegurable (US$)]]*Tabla2[[#This Row],[Tipo de Cambio]],-2)</f>
        <v>21700</v>
      </c>
      <c r="AA205" s="40"/>
      <c r="AB205" s="2" t="e">
        <f>+Tabla2[[#This Row],[Valor Comercial (US$)]]/Tabla2[[#This Row],[Área techada (m²)4]]</f>
        <v>#REF!</v>
      </c>
      <c r="AC20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5" s="61" t="s">
        <v>35</v>
      </c>
      <c r="AE20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5" s="43" t="e">
        <f>_xlfn.XLOOKUP(Tabla2[[#This Row],[VISTA]],[1]!Table1[Clase],[1]!Table1[VUE (USD)],0,0,1)</f>
        <v>#REF!</v>
      </c>
      <c r="AG205" s="55" t="e">
        <f>+Tabla2[[#This Row],[Valor Comercial (S/.)]]/Tabla2[[#This Row],[Valor de Venta]]-1</f>
        <v>#REF!</v>
      </c>
    </row>
    <row r="206" spans="1:33" s="1" customFormat="1" ht="15" customHeight="1" x14ac:dyDescent="0.25">
      <c r="A206" s="60" t="s">
        <v>33</v>
      </c>
      <c r="B206" s="14">
        <v>1060</v>
      </c>
      <c r="C206" s="11"/>
      <c r="D206" s="15"/>
      <c r="E206" s="15"/>
      <c r="F206" s="51">
        <f>ROUND(Tabla2[[#This Row],[Área ocupada (m²)]]/20*1.4,2)</f>
        <v>0.84</v>
      </c>
      <c r="G206" s="46">
        <v>12</v>
      </c>
      <c r="H206" s="46">
        <v>12</v>
      </c>
      <c r="I206" s="51">
        <f>ROUND(Tabla2[[#This Row],[Área techada (m²)]]*0.15,2)</f>
        <v>1.8</v>
      </c>
      <c r="J206" s="47" t="s">
        <v>30</v>
      </c>
      <c r="K206" s="48">
        <v>28000</v>
      </c>
      <c r="L206" s="51">
        <f>ROUND(Tabla2[[#This Row],[Área ocupada (m²)3]]/20*1.4,2)</f>
        <v>0.84</v>
      </c>
      <c r="M206" s="37">
        <f>ROUND(Tabla2[[#This Row],[Área ocupada (m²)]],2)</f>
        <v>12</v>
      </c>
      <c r="N206" s="37">
        <f>ROUND(Tabla2[[#This Row],[Área techada (m²)]],2)</f>
        <v>12</v>
      </c>
      <c r="O206" s="52">
        <f>ROUND(Tabla2[[#This Row],[Área techada (m²)4]]*0.15,2)</f>
        <v>1.8</v>
      </c>
      <c r="P206" s="52">
        <f>ROUND(Tabla2[[#This Row],[Área del terreno (m²)2]]*[1]DATA!$A$2,-2)</f>
        <v>600</v>
      </c>
      <c r="Q206" s="38" t="e">
        <f>+Tabla2[[#This Row],[Valor Comercial (US$)]]-Tabla2[[#This Row],[Valor del terreno (US$)]]</f>
        <v>#REF!</v>
      </c>
      <c r="R20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6" s="53" t="e">
        <f>ROUND(Tabla2[[#This Row],[Valor Comercial (US$)]]*0.8,-2)</f>
        <v>#REF!</v>
      </c>
      <c r="T206" s="53">
        <f>IF($H$6=$G$5,R206,ROUND(Tabla2[[#This Row],[Área techada (m²)4]]*[1]DATA!$B$2*1.15,-2))</f>
        <v>6200</v>
      </c>
      <c r="U206" s="6">
        <f t="shared" si="3"/>
        <v>3.5</v>
      </c>
      <c r="V206" s="39">
        <f>ROUND(Tabla2[[#This Row],[Valor del terreno (US$)]]*Tabla2[[#This Row],[Tipo de Cambio]],-2)</f>
        <v>2100</v>
      </c>
      <c r="W206" s="39" t="e">
        <f>Tabla2[[#This Row],[Valor Comercial (S/.)]]-Tabla2[[#This Row],[Valor del terreno (S/.)]]</f>
        <v>#REF!</v>
      </c>
      <c r="X206" s="39" t="e">
        <f>ROUND(Tabla2[[#This Row],[Valor Comercial (US$)]]*Tabla2[[#This Row],[Tipo de Cambio]],-2)</f>
        <v>#REF!</v>
      </c>
      <c r="Y206" s="39" t="e">
        <f>ROUND(Tabla2[[#This Row],[Valor Realización (US$)]]*Tabla2[[#This Row],[Tipo de Cambio]],-2)</f>
        <v>#REF!</v>
      </c>
      <c r="Z206" s="39">
        <f>+ROUND(Tabla2[[#This Row],[Importe Asegurable (US$)]]*Tabla2[[#This Row],[Tipo de Cambio]],-2)</f>
        <v>21700</v>
      </c>
      <c r="AA206" s="40"/>
      <c r="AB206" s="2" t="e">
        <f>+Tabla2[[#This Row],[Valor Comercial (US$)]]/Tabla2[[#This Row],[Área techada (m²)4]]</f>
        <v>#REF!</v>
      </c>
      <c r="AC20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6" s="61" t="s">
        <v>35</v>
      </c>
      <c r="AE20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6" s="43" t="e">
        <f>_xlfn.XLOOKUP(Tabla2[[#This Row],[VISTA]],[1]!Table1[Clase],[1]!Table1[VUE (USD)],0,0,1)</f>
        <v>#REF!</v>
      </c>
      <c r="AG206" s="55" t="e">
        <f>+Tabla2[[#This Row],[Valor Comercial (S/.)]]/Tabla2[[#This Row],[Valor de Venta]]-1</f>
        <v>#REF!</v>
      </c>
    </row>
    <row r="207" spans="1:33" s="1" customFormat="1" ht="15" customHeight="1" x14ac:dyDescent="0.25">
      <c r="A207" s="60" t="s">
        <v>33</v>
      </c>
      <c r="B207" s="14">
        <v>1061</v>
      </c>
      <c r="C207" s="11"/>
      <c r="D207" s="15"/>
      <c r="E207" s="15"/>
      <c r="F207" s="51">
        <f>ROUND(Tabla2[[#This Row],[Área ocupada (m²)]]/20*1.4,2)</f>
        <v>0.84</v>
      </c>
      <c r="G207" s="46">
        <v>12</v>
      </c>
      <c r="H207" s="46">
        <v>12</v>
      </c>
      <c r="I207" s="51">
        <f>ROUND(Tabla2[[#This Row],[Área techada (m²)]]*0.15,2)</f>
        <v>1.8</v>
      </c>
      <c r="J207" s="47" t="s">
        <v>30</v>
      </c>
      <c r="K207" s="48">
        <v>28000</v>
      </c>
      <c r="L207" s="51">
        <f>ROUND(Tabla2[[#This Row],[Área ocupada (m²)3]]/20*1.4,2)</f>
        <v>0.84</v>
      </c>
      <c r="M207" s="37">
        <f>ROUND(Tabla2[[#This Row],[Área ocupada (m²)]],2)</f>
        <v>12</v>
      </c>
      <c r="N207" s="37">
        <f>ROUND(Tabla2[[#This Row],[Área techada (m²)]],2)</f>
        <v>12</v>
      </c>
      <c r="O207" s="52">
        <f>ROUND(Tabla2[[#This Row],[Área techada (m²)4]]*0.15,2)</f>
        <v>1.8</v>
      </c>
      <c r="P207" s="52">
        <f>ROUND(Tabla2[[#This Row],[Área del terreno (m²)2]]*[1]DATA!$A$2,-2)</f>
        <v>600</v>
      </c>
      <c r="Q207" s="38" t="e">
        <f>+Tabla2[[#This Row],[Valor Comercial (US$)]]-Tabla2[[#This Row],[Valor del terreno (US$)]]</f>
        <v>#REF!</v>
      </c>
      <c r="R20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7" s="53" t="e">
        <f>ROUND(Tabla2[[#This Row],[Valor Comercial (US$)]]*0.8,-2)</f>
        <v>#REF!</v>
      </c>
      <c r="T207" s="53">
        <f>IF($H$6=$G$5,R207,ROUND(Tabla2[[#This Row],[Área techada (m²)4]]*[1]DATA!$B$2*1.15,-2))</f>
        <v>6200</v>
      </c>
      <c r="U207" s="6">
        <f t="shared" si="3"/>
        <v>3.5</v>
      </c>
      <c r="V207" s="39">
        <f>ROUND(Tabla2[[#This Row],[Valor del terreno (US$)]]*Tabla2[[#This Row],[Tipo de Cambio]],-2)</f>
        <v>2100</v>
      </c>
      <c r="W207" s="39" t="e">
        <f>Tabla2[[#This Row],[Valor Comercial (S/.)]]-Tabla2[[#This Row],[Valor del terreno (S/.)]]</f>
        <v>#REF!</v>
      </c>
      <c r="X207" s="39" t="e">
        <f>ROUND(Tabla2[[#This Row],[Valor Comercial (US$)]]*Tabla2[[#This Row],[Tipo de Cambio]],-2)</f>
        <v>#REF!</v>
      </c>
      <c r="Y207" s="39" t="e">
        <f>ROUND(Tabla2[[#This Row],[Valor Realización (US$)]]*Tabla2[[#This Row],[Tipo de Cambio]],-2)</f>
        <v>#REF!</v>
      </c>
      <c r="Z207" s="39">
        <f>+ROUND(Tabla2[[#This Row],[Importe Asegurable (US$)]]*Tabla2[[#This Row],[Tipo de Cambio]],-2)</f>
        <v>21700</v>
      </c>
      <c r="AA207" s="40"/>
      <c r="AB207" s="2" t="e">
        <f>+Tabla2[[#This Row],[Valor Comercial (US$)]]/Tabla2[[#This Row],[Área techada (m²)4]]</f>
        <v>#REF!</v>
      </c>
      <c r="AC20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7" s="61" t="s">
        <v>35</v>
      </c>
      <c r="AE20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7" s="43" t="e">
        <f>_xlfn.XLOOKUP(Tabla2[[#This Row],[VISTA]],[1]!Table1[Clase],[1]!Table1[VUE (USD)],0,0,1)</f>
        <v>#REF!</v>
      </c>
      <c r="AG207" s="55" t="e">
        <f>+Tabla2[[#This Row],[Valor Comercial (S/.)]]/Tabla2[[#This Row],[Valor de Venta]]-1</f>
        <v>#REF!</v>
      </c>
    </row>
    <row r="208" spans="1:33" s="1" customFormat="1" ht="15" customHeight="1" x14ac:dyDescent="0.25">
      <c r="A208" s="60" t="s">
        <v>33</v>
      </c>
      <c r="B208" s="14">
        <v>1062</v>
      </c>
      <c r="C208" s="11"/>
      <c r="D208" s="15"/>
      <c r="E208" s="15"/>
      <c r="F208" s="51">
        <f>ROUND(Tabla2[[#This Row],[Área ocupada (m²)]]/20*1.4,2)</f>
        <v>0.84</v>
      </c>
      <c r="G208" s="46">
        <v>12</v>
      </c>
      <c r="H208" s="46">
        <v>12</v>
      </c>
      <c r="I208" s="51">
        <f>ROUND(Tabla2[[#This Row],[Área techada (m²)]]*0.15,2)</f>
        <v>1.8</v>
      </c>
      <c r="J208" s="47" t="s">
        <v>30</v>
      </c>
      <c r="K208" s="48">
        <v>28000</v>
      </c>
      <c r="L208" s="51">
        <f>ROUND(Tabla2[[#This Row],[Área ocupada (m²)3]]/20*1.4,2)</f>
        <v>0.84</v>
      </c>
      <c r="M208" s="37">
        <f>ROUND(Tabla2[[#This Row],[Área ocupada (m²)]],2)</f>
        <v>12</v>
      </c>
      <c r="N208" s="37">
        <f>ROUND(Tabla2[[#This Row],[Área techada (m²)]],2)</f>
        <v>12</v>
      </c>
      <c r="O208" s="52">
        <f>ROUND(Tabla2[[#This Row],[Área techada (m²)4]]*0.15,2)</f>
        <v>1.8</v>
      </c>
      <c r="P208" s="52">
        <f>ROUND(Tabla2[[#This Row],[Área del terreno (m²)2]]*[1]DATA!$A$2,-2)</f>
        <v>600</v>
      </c>
      <c r="Q208" s="38" t="e">
        <f>+Tabla2[[#This Row],[Valor Comercial (US$)]]-Tabla2[[#This Row],[Valor del terreno (US$)]]</f>
        <v>#REF!</v>
      </c>
      <c r="R20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8" s="53" t="e">
        <f>ROUND(Tabla2[[#This Row],[Valor Comercial (US$)]]*0.8,-2)</f>
        <v>#REF!</v>
      </c>
      <c r="T208" s="53">
        <f>IF($H$6=$G$5,R208,ROUND(Tabla2[[#This Row],[Área techada (m²)4]]*[1]DATA!$B$2*1.15,-2))</f>
        <v>6200</v>
      </c>
      <c r="U208" s="6">
        <f t="shared" si="3"/>
        <v>3.5</v>
      </c>
      <c r="V208" s="39">
        <f>ROUND(Tabla2[[#This Row],[Valor del terreno (US$)]]*Tabla2[[#This Row],[Tipo de Cambio]],-2)</f>
        <v>2100</v>
      </c>
      <c r="W208" s="39" t="e">
        <f>Tabla2[[#This Row],[Valor Comercial (S/.)]]-Tabla2[[#This Row],[Valor del terreno (S/.)]]</f>
        <v>#REF!</v>
      </c>
      <c r="X208" s="39" t="e">
        <f>ROUND(Tabla2[[#This Row],[Valor Comercial (US$)]]*Tabla2[[#This Row],[Tipo de Cambio]],-2)</f>
        <v>#REF!</v>
      </c>
      <c r="Y208" s="39" t="e">
        <f>ROUND(Tabla2[[#This Row],[Valor Realización (US$)]]*Tabla2[[#This Row],[Tipo de Cambio]],-2)</f>
        <v>#REF!</v>
      </c>
      <c r="Z208" s="39">
        <f>+ROUND(Tabla2[[#This Row],[Importe Asegurable (US$)]]*Tabla2[[#This Row],[Tipo de Cambio]],-2)</f>
        <v>21700</v>
      </c>
      <c r="AA208" s="40"/>
      <c r="AB208" s="2" t="e">
        <f>+Tabla2[[#This Row],[Valor Comercial (US$)]]/Tabla2[[#This Row],[Área techada (m²)4]]</f>
        <v>#REF!</v>
      </c>
      <c r="AC20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8" s="61" t="s">
        <v>35</v>
      </c>
      <c r="AE208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8" s="43" t="e">
        <f>_xlfn.XLOOKUP(Tabla2[[#This Row],[VISTA]],[1]!Table1[Clase],[1]!Table1[VUE (USD)],0,0,1)</f>
        <v>#REF!</v>
      </c>
      <c r="AG208" s="55" t="e">
        <f>+Tabla2[[#This Row],[Valor Comercial (S/.)]]/Tabla2[[#This Row],[Valor de Venta]]-1</f>
        <v>#REF!</v>
      </c>
    </row>
    <row r="209" spans="1:33" s="1" customFormat="1" ht="15" customHeight="1" x14ac:dyDescent="0.25">
      <c r="A209" s="60" t="s">
        <v>33</v>
      </c>
      <c r="B209" s="14">
        <v>1063</v>
      </c>
      <c r="C209" s="11"/>
      <c r="D209" s="15"/>
      <c r="E209" s="15"/>
      <c r="F209" s="51">
        <f>ROUND(Tabla2[[#This Row],[Área ocupada (m²)]]/20*1.4,2)</f>
        <v>0.84</v>
      </c>
      <c r="G209" s="46">
        <v>12</v>
      </c>
      <c r="H209" s="46">
        <v>12</v>
      </c>
      <c r="I209" s="51">
        <f>ROUND(Tabla2[[#This Row],[Área techada (m²)]]*0.15,2)</f>
        <v>1.8</v>
      </c>
      <c r="J209" s="47" t="s">
        <v>30</v>
      </c>
      <c r="K209" s="48">
        <v>28000</v>
      </c>
      <c r="L209" s="51">
        <f>ROUND(Tabla2[[#This Row],[Área ocupada (m²)3]]/20*1.4,2)</f>
        <v>0.84</v>
      </c>
      <c r="M209" s="37">
        <f>ROUND(Tabla2[[#This Row],[Área ocupada (m²)]],2)</f>
        <v>12</v>
      </c>
      <c r="N209" s="37">
        <f>ROUND(Tabla2[[#This Row],[Área techada (m²)]],2)</f>
        <v>12</v>
      </c>
      <c r="O209" s="52">
        <f>ROUND(Tabla2[[#This Row],[Área techada (m²)4]]*0.15,2)</f>
        <v>1.8</v>
      </c>
      <c r="P209" s="52">
        <f>ROUND(Tabla2[[#This Row],[Área del terreno (m²)2]]*[1]DATA!$A$2,-2)</f>
        <v>600</v>
      </c>
      <c r="Q209" s="38" t="e">
        <f>+Tabla2[[#This Row],[Valor Comercial (US$)]]-Tabla2[[#This Row],[Valor del terreno (US$)]]</f>
        <v>#REF!</v>
      </c>
      <c r="R20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9" s="53" t="e">
        <f>ROUND(Tabla2[[#This Row],[Valor Comercial (US$)]]*0.8,-2)</f>
        <v>#REF!</v>
      </c>
      <c r="T209" s="53">
        <f>IF($H$6=$G$5,R209,ROUND(Tabla2[[#This Row],[Área techada (m²)4]]*[1]DATA!$B$2*1.15,-2))</f>
        <v>6200</v>
      </c>
      <c r="U209" s="6">
        <f t="shared" si="3"/>
        <v>3.5</v>
      </c>
      <c r="V209" s="39">
        <f>ROUND(Tabla2[[#This Row],[Valor del terreno (US$)]]*Tabla2[[#This Row],[Tipo de Cambio]],-2)</f>
        <v>2100</v>
      </c>
      <c r="W209" s="39" t="e">
        <f>Tabla2[[#This Row],[Valor Comercial (S/.)]]-Tabla2[[#This Row],[Valor del terreno (S/.)]]</f>
        <v>#REF!</v>
      </c>
      <c r="X209" s="39" t="e">
        <f>ROUND(Tabla2[[#This Row],[Valor Comercial (US$)]]*Tabla2[[#This Row],[Tipo de Cambio]],-2)</f>
        <v>#REF!</v>
      </c>
      <c r="Y209" s="39" t="e">
        <f>ROUND(Tabla2[[#This Row],[Valor Realización (US$)]]*Tabla2[[#This Row],[Tipo de Cambio]],-2)</f>
        <v>#REF!</v>
      </c>
      <c r="Z209" s="39">
        <f>+ROUND(Tabla2[[#This Row],[Importe Asegurable (US$)]]*Tabla2[[#This Row],[Tipo de Cambio]],-2)</f>
        <v>21700</v>
      </c>
      <c r="AA209" s="40"/>
      <c r="AB209" s="2" t="e">
        <f>+Tabla2[[#This Row],[Valor Comercial (US$)]]/Tabla2[[#This Row],[Área techada (m²)4]]</f>
        <v>#REF!</v>
      </c>
      <c r="AC20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9" s="61" t="s">
        <v>35</v>
      </c>
      <c r="AE209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9" s="43" t="e">
        <f>_xlfn.XLOOKUP(Tabla2[[#This Row],[VISTA]],[1]!Table1[Clase],[1]!Table1[VUE (USD)],0,0,1)</f>
        <v>#REF!</v>
      </c>
      <c r="AG209" s="55" t="e">
        <f>+Tabla2[[#This Row],[Valor Comercial (S/.)]]/Tabla2[[#This Row],[Valor de Venta]]-1</f>
        <v>#REF!</v>
      </c>
    </row>
    <row r="210" spans="1:33" s="1" customFormat="1" ht="15" customHeight="1" x14ac:dyDescent="0.25">
      <c r="A210" s="60" t="s">
        <v>33</v>
      </c>
      <c r="B210" s="14">
        <v>1234</v>
      </c>
      <c r="C210" s="11"/>
      <c r="D210" s="15"/>
      <c r="E210" s="15"/>
      <c r="F210" s="51">
        <f>ROUND(Tabla2[[#This Row],[Área ocupada (m²)]]/20*1.4,2)</f>
        <v>0.84</v>
      </c>
      <c r="G210" s="46">
        <v>12</v>
      </c>
      <c r="H210" s="46">
        <v>12</v>
      </c>
      <c r="I210" s="51">
        <f>ROUND(Tabla2[[#This Row],[Área techada (m²)]]*0.15,2)</f>
        <v>1.8</v>
      </c>
      <c r="J210" s="47" t="s">
        <v>30</v>
      </c>
      <c r="K210" s="48">
        <v>28000</v>
      </c>
      <c r="L210" s="51">
        <f>ROUND(Tabla2[[#This Row],[Área ocupada (m²)3]]/20*1.4,2)</f>
        <v>0.84</v>
      </c>
      <c r="M210" s="37">
        <f>ROUND(Tabla2[[#This Row],[Área ocupada (m²)]],2)</f>
        <v>12</v>
      </c>
      <c r="N210" s="37">
        <f>ROUND(Tabla2[[#This Row],[Área techada (m²)]],2)</f>
        <v>12</v>
      </c>
      <c r="O210" s="52">
        <f>ROUND(Tabla2[[#This Row],[Área techada (m²)4]]*0.15,2)</f>
        <v>1.8</v>
      </c>
      <c r="P210" s="52">
        <f>ROUND(Tabla2[[#This Row],[Área del terreno (m²)2]]*[1]DATA!$A$2,-2)</f>
        <v>600</v>
      </c>
      <c r="Q210" s="38" t="e">
        <f>+Tabla2[[#This Row],[Valor Comercial (US$)]]-Tabla2[[#This Row],[Valor del terreno (US$)]]</f>
        <v>#REF!</v>
      </c>
      <c r="R21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0" s="53" t="e">
        <f>ROUND(Tabla2[[#This Row],[Valor Comercial (US$)]]*0.8,-2)</f>
        <v>#REF!</v>
      </c>
      <c r="T210" s="53">
        <f>IF($H$6=$G$5,R210,ROUND(Tabla2[[#This Row],[Área techada (m²)4]]*[1]DATA!$B$2*1.15,-2))</f>
        <v>6200</v>
      </c>
      <c r="U210" s="6">
        <f t="shared" si="3"/>
        <v>3.5</v>
      </c>
      <c r="V210" s="39">
        <f>ROUND(Tabla2[[#This Row],[Valor del terreno (US$)]]*Tabla2[[#This Row],[Tipo de Cambio]],-2)</f>
        <v>2100</v>
      </c>
      <c r="W210" s="39" t="e">
        <f>Tabla2[[#This Row],[Valor Comercial (S/.)]]-Tabla2[[#This Row],[Valor del terreno (S/.)]]</f>
        <v>#REF!</v>
      </c>
      <c r="X210" s="39" t="e">
        <f>ROUND(Tabla2[[#This Row],[Valor Comercial (US$)]]*Tabla2[[#This Row],[Tipo de Cambio]],-2)</f>
        <v>#REF!</v>
      </c>
      <c r="Y210" s="39" t="e">
        <f>ROUND(Tabla2[[#This Row],[Valor Realización (US$)]]*Tabla2[[#This Row],[Tipo de Cambio]],-2)</f>
        <v>#REF!</v>
      </c>
      <c r="Z210" s="39">
        <f>+ROUND(Tabla2[[#This Row],[Importe Asegurable (US$)]]*Tabla2[[#This Row],[Tipo de Cambio]],-2)</f>
        <v>21700</v>
      </c>
      <c r="AA210" s="40"/>
      <c r="AB210" s="2" t="e">
        <f>+Tabla2[[#This Row],[Valor Comercial (US$)]]/Tabla2[[#This Row],[Área techada (m²)4]]</f>
        <v>#REF!</v>
      </c>
      <c r="AC21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0" s="61" t="s">
        <v>35</v>
      </c>
      <c r="AE210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0" s="43" t="e">
        <f>_xlfn.XLOOKUP(Tabla2[[#This Row],[VISTA]],[1]!Table1[Clase],[1]!Table1[VUE (USD)],0,0,1)</f>
        <v>#REF!</v>
      </c>
      <c r="AG210" s="55" t="e">
        <f>+Tabla2[[#This Row],[Valor Comercial (S/.)]]/Tabla2[[#This Row],[Valor de Venta]]-1</f>
        <v>#REF!</v>
      </c>
    </row>
    <row r="211" spans="1:33" s="1" customFormat="1" ht="15" customHeight="1" x14ac:dyDescent="0.25">
      <c r="A211" s="60" t="s">
        <v>33</v>
      </c>
      <c r="B211" s="14">
        <v>1235</v>
      </c>
      <c r="C211" s="11"/>
      <c r="D211" s="15"/>
      <c r="E211" s="15"/>
      <c r="F211" s="51">
        <f>ROUND(Tabla2[[#This Row],[Área ocupada (m²)]]/20*1.4,2)</f>
        <v>0.84</v>
      </c>
      <c r="G211" s="46">
        <v>12</v>
      </c>
      <c r="H211" s="46">
        <v>12</v>
      </c>
      <c r="I211" s="51">
        <f>ROUND(Tabla2[[#This Row],[Área techada (m²)]]*0.15,2)</f>
        <v>1.8</v>
      </c>
      <c r="J211" s="47" t="s">
        <v>30</v>
      </c>
      <c r="K211" s="48">
        <v>28000</v>
      </c>
      <c r="L211" s="51">
        <f>ROUND(Tabla2[[#This Row],[Área ocupada (m²)3]]/20*1.4,2)</f>
        <v>0.84</v>
      </c>
      <c r="M211" s="37">
        <f>ROUND(Tabla2[[#This Row],[Área ocupada (m²)]],2)</f>
        <v>12</v>
      </c>
      <c r="N211" s="37">
        <f>ROUND(Tabla2[[#This Row],[Área techada (m²)]],2)</f>
        <v>12</v>
      </c>
      <c r="O211" s="52">
        <f>ROUND(Tabla2[[#This Row],[Área techada (m²)4]]*0.15,2)</f>
        <v>1.8</v>
      </c>
      <c r="P211" s="52">
        <f>ROUND(Tabla2[[#This Row],[Área del terreno (m²)2]]*[1]DATA!$A$2,-2)</f>
        <v>600</v>
      </c>
      <c r="Q211" s="38" t="e">
        <f>+Tabla2[[#This Row],[Valor Comercial (US$)]]-Tabla2[[#This Row],[Valor del terreno (US$)]]</f>
        <v>#REF!</v>
      </c>
      <c r="R21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1" s="53" t="e">
        <f>ROUND(Tabla2[[#This Row],[Valor Comercial (US$)]]*0.8,-2)</f>
        <v>#REF!</v>
      </c>
      <c r="T211" s="53">
        <f>IF($H$6=$G$5,R211,ROUND(Tabla2[[#This Row],[Área techada (m²)4]]*[1]DATA!$B$2*1.15,-2))</f>
        <v>6200</v>
      </c>
      <c r="U211" s="6">
        <f t="shared" si="3"/>
        <v>3.5</v>
      </c>
      <c r="V211" s="39">
        <f>ROUND(Tabla2[[#This Row],[Valor del terreno (US$)]]*Tabla2[[#This Row],[Tipo de Cambio]],-2)</f>
        <v>2100</v>
      </c>
      <c r="W211" s="39" t="e">
        <f>Tabla2[[#This Row],[Valor Comercial (S/.)]]-Tabla2[[#This Row],[Valor del terreno (S/.)]]</f>
        <v>#REF!</v>
      </c>
      <c r="X211" s="39" t="e">
        <f>ROUND(Tabla2[[#This Row],[Valor Comercial (US$)]]*Tabla2[[#This Row],[Tipo de Cambio]],-2)</f>
        <v>#REF!</v>
      </c>
      <c r="Y211" s="39" t="e">
        <f>ROUND(Tabla2[[#This Row],[Valor Realización (US$)]]*Tabla2[[#This Row],[Tipo de Cambio]],-2)</f>
        <v>#REF!</v>
      </c>
      <c r="Z211" s="39">
        <f>+ROUND(Tabla2[[#This Row],[Importe Asegurable (US$)]]*Tabla2[[#This Row],[Tipo de Cambio]],-2)</f>
        <v>21700</v>
      </c>
      <c r="AA211" s="40"/>
      <c r="AB211" s="2" t="e">
        <f>+Tabla2[[#This Row],[Valor Comercial (US$)]]/Tabla2[[#This Row],[Área techada (m²)4]]</f>
        <v>#REF!</v>
      </c>
      <c r="AC21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1" s="61" t="s">
        <v>35</v>
      </c>
      <c r="AE211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1" s="43" t="e">
        <f>_xlfn.XLOOKUP(Tabla2[[#This Row],[VISTA]],[1]!Table1[Clase],[1]!Table1[VUE (USD)],0,0,1)</f>
        <v>#REF!</v>
      </c>
      <c r="AG211" s="55" t="e">
        <f>+Tabla2[[#This Row],[Valor Comercial (S/.)]]/Tabla2[[#This Row],[Valor de Venta]]-1</f>
        <v>#REF!</v>
      </c>
    </row>
    <row r="212" spans="1:33" s="1" customFormat="1" ht="15" customHeight="1" x14ac:dyDescent="0.25">
      <c r="A212" s="60" t="s">
        <v>33</v>
      </c>
      <c r="B212" s="14">
        <v>1236</v>
      </c>
      <c r="C212" s="11"/>
      <c r="D212" s="15"/>
      <c r="E212" s="15"/>
      <c r="F212" s="51">
        <f>ROUND(Tabla2[[#This Row],[Área ocupada (m²)]]/20*1.4,2)</f>
        <v>0.84</v>
      </c>
      <c r="G212" s="46">
        <v>12</v>
      </c>
      <c r="H212" s="46">
        <v>12</v>
      </c>
      <c r="I212" s="51">
        <f>ROUND(Tabla2[[#This Row],[Área techada (m²)]]*0.15,2)</f>
        <v>1.8</v>
      </c>
      <c r="J212" s="47" t="s">
        <v>30</v>
      </c>
      <c r="K212" s="48">
        <v>28000</v>
      </c>
      <c r="L212" s="51">
        <f>ROUND(Tabla2[[#This Row],[Área ocupada (m²)3]]/20*1.4,2)</f>
        <v>0.84</v>
      </c>
      <c r="M212" s="37">
        <f>ROUND(Tabla2[[#This Row],[Área ocupada (m²)]],2)</f>
        <v>12</v>
      </c>
      <c r="N212" s="37">
        <f>ROUND(Tabla2[[#This Row],[Área techada (m²)]],2)</f>
        <v>12</v>
      </c>
      <c r="O212" s="52">
        <f>ROUND(Tabla2[[#This Row],[Área techada (m²)4]]*0.15,2)</f>
        <v>1.8</v>
      </c>
      <c r="P212" s="52">
        <f>ROUND(Tabla2[[#This Row],[Área del terreno (m²)2]]*[1]DATA!$A$2,-2)</f>
        <v>600</v>
      </c>
      <c r="Q212" s="38" t="e">
        <f>+Tabla2[[#This Row],[Valor Comercial (US$)]]-Tabla2[[#This Row],[Valor del terreno (US$)]]</f>
        <v>#REF!</v>
      </c>
      <c r="R2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2" s="53" t="e">
        <f>ROUND(Tabla2[[#This Row],[Valor Comercial (US$)]]*0.8,-2)</f>
        <v>#REF!</v>
      </c>
      <c r="T212" s="53">
        <f>IF($H$6=$G$5,R212,ROUND(Tabla2[[#This Row],[Área techada (m²)4]]*[1]DATA!$B$2*1.15,-2))</f>
        <v>6200</v>
      </c>
      <c r="U212" s="6">
        <f t="shared" si="3"/>
        <v>3.5</v>
      </c>
      <c r="V212" s="39">
        <f>ROUND(Tabla2[[#This Row],[Valor del terreno (US$)]]*Tabla2[[#This Row],[Tipo de Cambio]],-2)</f>
        <v>2100</v>
      </c>
      <c r="W212" s="39" t="e">
        <f>Tabla2[[#This Row],[Valor Comercial (S/.)]]-Tabla2[[#This Row],[Valor del terreno (S/.)]]</f>
        <v>#REF!</v>
      </c>
      <c r="X212" s="39" t="e">
        <f>ROUND(Tabla2[[#This Row],[Valor Comercial (US$)]]*Tabla2[[#This Row],[Tipo de Cambio]],-2)</f>
        <v>#REF!</v>
      </c>
      <c r="Y212" s="39" t="e">
        <f>ROUND(Tabla2[[#This Row],[Valor Realización (US$)]]*Tabla2[[#This Row],[Tipo de Cambio]],-2)</f>
        <v>#REF!</v>
      </c>
      <c r="Z212" s="39">
        <f>+ROUND(Tabla2[[#This Row],[Importe Asegurable (US$)]]*Tabla2[[#This Row],[Tipo de Cambio]],-2)</f>
        <v>21700</v>
      </c>
      <c r="AA212" s="40"/>
      <c r="AB212" s="2" t="e">
        <f>+Tabla2[[#This Row],[Valor Comercial (US$)]]/Tabla2[[#This Row],[Área techada (m²)4]]</f>
        <v>#REF!</v>
      </c>
      <c r="AC21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2" s="61" t="s">
        <v>35</v>
      </c>
      <c r="AE21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2" s="43" t="e">
        <f>_xlfn.XLOOKUP(Tabla2[[#This Row],[VISTA]],[1]!Table1[Clase],[1]!Table1[VUE (USD)],0,0,1)</f>
        <v>#REF!</v>
      </c>
      <c r="AG212" s="55" t="e">
        <f>+Tabla2[[#This Row],[Valor Comercial (S/.)]]/Tabla2[[#This Row],[Valor de Venta]]-1</f>
        <v>#REF!</v>
      </c>
    </row>
    <row r="213" spans="1:33" s="1" customFormat="1" ht="15" customHeight="1" x14ac:dyDescent="0.25">
      <c r="A213" s="60" t="s">
        <v>33</v>
      </c>
      <c r="B213" s="14">
        <v>1237</v>
      </c>
      <c r="C213" s="11"/>
      <c r="D213" s="15"/>
      <c r="E213" s="15"/>
      <c r="F213" s="51">
        <f>ROUND(Tabla2[[#This Row],[Área ocupada (m²)]]/20*1.4,2)</f>
        <v>0.84</v>
      </c>
      <c r="G213" s="46">
        <v>12</v>
      </c>
      <c r="H213" s="46">
        <v>12</v>
      </c>
      <c r="I213" s="51">
        <f>ROUND(Tabla2[[#This Row],[Área techada (m²)]]*0.15,2)</f>
        <v>1.8</v>
      </c>
      <c r="J213" s="47" t="s">
        <v>30</v>
      </c>
      <c r="K213" s="48">
        <v>28000</v>
      </c>
      <c r="L213" s="51">
        <f>ROUND(Tabla2[[#This Row],[Área ocupada (m²)3]]/20*1.4,2)</f>
        <v>0.84</v>
      </c>
      <c r="M213" s="37">
        <f>ROUND(Tabla2[[#This Row],[Área ocupada (m²)]],2)</f>
        <v>12</v>
      </c>
      <c r="N213" s="37">
        <f>ROUND(Tabla2[[#This Row],[Área techada (m²)]],2)</f>
        <v>12</v>
      </c>
      <c r="O213" s="52">
        <f>ROUND(Tabla2[[#This Row],[Área techada (m²)4]]*0.15,2)</f>
        <v>1.8</v>
      </c>
      <c r="P213" s="52">
        <f>ROUND(Tabla2[[#This Row],[Área del terreno (m²)2]]*[1]DATA!$A$2,-2)</f>
        <v>600</v>
      </c>
      <c r="Q213" s="38" t="e">
        <f>+Tabla2[[#This Row],[Valor Comercial (US$)]]-Tabla2[[#This Row],[Valor del terreno (US$)]]</f>
        <v>#REF!</v>
      </c>
      <c r="R2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3" s="53" t="e">
        <f>ROUND(Tabla2[[#This Row],[Valor Comercial (US$)]]*0.8,-2)</f>
        <v>#REF!</v>
      </c>
      <c r="T213" s="53">
        <f>IF($H$6=$G$5,R213,ROUND(Tabla2[[#This Row],[Área techada (m²)4]]*[1]DATA!$B$2*1.15,-2))</f>
        <v>6200</v>
      </c>
      <c r="U213" s="6">
        <f t="shared" si="3"/>
        <v>3.5</v>
      </c>
      <c r="V213" s="39">
        <f>ROUND(Tabla2[[#This Row],[Valor del terreno (US$)]]*Tabla2[[#This Row],[Tipo de Cambio]],-2)</f>
        <v>2100</v>
      </c>
      <c r="W213" s="39" t="e">
        <f>Tabla2[[#This Row],[Valor Comercial (S/.)]]-Tabla2[[#This Row],[Valor del terreno (S/.)]]</f>
        <v>#REF!</v>
      </c>
      <c r="X213" s="39" t="e">
        <f>ROUND(Tabla2[[#This Row],[Valor Comercial (US$)]]*Tabla2[[#This Row],[Tipo de Cambio]],-2)</f>
        <v>#REF!</v>
      </c>
      <c r="Y213" s="39" t="e">
        <f>ROUND(Tabla2[[#This Row],[Valor Realización (US$)]]*Tabla2[[#This Row],[Tipo de Cambio]],-2)</f>
        <v>#REF!</v>
      </c>
      <c r="Z213" s="39">
        <f>+ROUND(Tabla2[[#This Row],[Importe Asegurable (US$)]]*Tabla2[[#This Row],[Tipo de Cambio]],-2)</f>
        <v>21700</v>
      </c>
      <c r="AA213" s="40"/>
      <c r="AB213" s="2" t="e">
        <f>+Tabla2[[#This Row],[Valor Comercial (US$)]]/Tabla2[[#This Row],[Área techada (m²)4]]</f>
        <v>#REF!</v>
      </c>
      <c r="AC2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3" s="61" t="s">
        <v>35</v>
      </c>
      <c r="AE21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3" s="43" t="e">
        <f>_xlfn.XLOOKUP(Tabla2[[#This Row],[VISTA]],[1]!Table1[Clase],[1]!Table1[VUE (USD)],0,0,1)</f>
        <v>#REF!</v>
      </c>
      <c r="AG213" s="55" t="e">
        <f>+Tabla2[[#This Row],[Valor Comercial (S/.)]]/Tabla2[[#This Row],[Valor de Venta]]-1</f>
        <v>#REF!</v>
      </c>
    </row>
    <row r="214" spans="1:33" s="1" customFormat="1" ht="15" customHeight="1" x14ac:dyDescent="0.25">
      <c r="A214" s="60" t="s">
        <v>33</v>
      </c>
      <c r="B214" s="14">
        <v>1238</v>
      </c>
      <c r="C214" s="11"/>
      <c r="D214" s="15"/>
      <c r="E214" s="15"/>
      <c r="F214" s="51">
        <f>ROUND(Tabla2[[#This Row],[Área ocupada (m²)]]/20*1.4,2)</f>
        <v>0.84</v>
      </c>
      <c r="G214" s="46">
        <v>12</v>
      </c>
      <c r="H214" s="46">
        <v>12</v>
      </c>
      <c r="I214" s="51">
        <f>ROUND(Tabla2[[#This Row],[Área techada (m²)]]*0.15,2)</f>
        <v>1.8</v>
      </c>
      <c r="J214" s="47" t="s">
        <v>30</v>
      </c>
      <c r="K214" s="48">
        <v>28000</v>
      </c>
      <c r="L214" s="51">
        <f>ROUND(Tabla2[[#This Row],[Área ocupada (m²)3]]/20*1.4,2)</f>
        <v>0.84</v>
      </c>
      <c r="M214" s="37">
        <f>ROUND(Tabla2[[#This Row],[Área ocupada (m²)]],2)</f>
        <v>12</v>
      </c>
      <c r="N214" s="37">
        <f>ROUND(Tabla2[[#This Row],[Área techada (m²)]],2)</f>
        <v>12</v>
      </c>
      <c r="O214" s="52">
        <f>ROUND(Tabla2[[#This Row],[Área techada (m²)4]]*0.15,2)</f>
        <v>1.8</v>
      </c>
      <c r="P214" s="52">
        <f>ROUND(Tabla2[[#This Row],[Área del terreno (m²)2]]*[1]DATA!$A$2,-2)</f>
        <v>600</v>
      </c>
      <c r="Q214" s="38" t="e">
        <f>+Tabla2[[#This Row],[Valor Comercial (US$)]]-Tabla2[[#This Row],[Valor del terreno (US$)]]</f>
        <v>#REF!</v>
      </c>
      <c r="R2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4" s="53" t="e">
        <f>ROUND(Tabla2[[#This Row],[Valor Comercial (US$)]]*0.8,-2)</f>
        <v>#REF!</v>
      </c>
      <c r="T214" s="53">
        <f>IF($H$6=$G$5,R214,ROUND(Tabla2[[#This Row],[Área techada (m²)4]]*[1]DATA!$B$2*1.15,-2))</f>
        <v>6200</v>
      </c>
      <c r="U214" s="6">
        <f t="shared" si="3"/>
        <v>3.5</v>
      </c>
      <c r="V214" s="39">
        <f>ROUND(Tabla2[[#This Row],[Valor del terreno (US$)]]*Tabla2[[#This Row],[Tipo de Cambio]],-2)</f>
        <v>2100</v>
      </c>
      <c r="W214" s="39" t="e">
        <f>Tabla2[[#This Row],[Valor Comercial (S/.)]]-Tabla2[[#This Row],[Valor del terreno (S/.)]]</f>
        <v>#REF!</v>
      </c>
      <c r="X214" s="39" t="e">
        <f>ROUND(Tabla2[[#This Row],[Valor Comercial (US$)]]*Tabla2[[#This Row],[Tipo de Cambio]],-2)</f>
        <v>#REF!</v>
      </c>
      <c r="Y214" s="39" t="e">
        <f>ROUND(Tabla2[[#This Row],[Valor Realización (US$)]]*Tabla2[[#This Row],[Tipo de Cambio]],-2)</f>
        <v>#REF!</v>
      </c>
      <c r="Z214" s="39">
        <f>+ROUND(Tabla2[[#This Row],[Importe Asegurable (US$)]]*Tabla2[[#This Row],[Tipo de Cambio]],-2)</f>
        <v>21700</v>
      </c>
      <c r="AA214" s="40"/>
      <c r="AB214" s="2" t="e">
        <f>+Tabla2[[#This Row],[Valor Comercial (US$)]]/Tabla2[[#This Row],[Área techada (m²)4]]</f>
        <v>#REF!</v>
      </c>
      <c r="AC2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4" s="61" t="s">
        <v>35</v>
      </c>
      <c r="AE21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4" s="43" t="e">
        <f>_xlfn.XLOOKUP(Tabla2[[#This Row],[VISTA]],[1]!Table1[Clase],[1]!Table1[VUE (USD)],0,0,1)</f>
        <v>#REF!</v>
      </c>
      <c r="AG214" s="55" t="e">
        <f>+Tabla2[[#This Row],[Valor Comercial (S/.)]]/Tabla2[[#This Row],[Valor de Venta]]-1</f>
        <v>#REF!</v>
      </c>
    </row>
    <row r="215" spans="1:33" s="1" customFormat="1" ht="15" customHeight="1" x14ac:dyDescent="0.25">
      <c r="A215" s="60" t="s">
        <v>33</v>
      </c>
      <c r="B215" s="14">
        <v>1239</v>
      </c>
      <c r="C215" s="11"/>
      <c r="D215" s="15"/>
      <c r="E215" s="15"/>
      <c r="F215" s="51">
        <f>ROUND(Tabla2[[#This Row],[Área ocupada (m²)]]/20*1.4,2)</f>
        <v>0.84</v>
      </c>
      <c r="G215" s="46">
        <v>12</v>
      </c>
      <c r="H215" s="46">
        <v>12</v>
      </c>
      <c r="I215" s="51">
        <f>ROUND(Tabla2[[#This Row],[Área techada (m²)]]*0.15,2)</f>
        <v>1.8</v>
      </c>
      <c r="J215" s="47" t="s">
        <v>30</v>
      </c>
      <c r="K215" s="48">
        <v>25000</v>
      </c>
      <c r="L215" s="51">
        <f>ROUND(Tabla2[[#This Row],[Área ocupada (m²)3]]/20*1.4,2)</f>
        <v>0.84</v>
      </c>
      <c r="M215" s="37">
        <f>ROUND(Tabla2[[#This Row],[Área ocupada (m²)]],2)</f>
        <v>12</v>
      </c>
      <c r="N215" s="37">
        <f>ROUND(Tabla2[[#This Row],[Área techada (m²)]],2)</f>
        <v>12</v>
      </c>
      <c r="O215" s="52">
        <f>ROUND(Tabla2[[#This Row],[Área techada (m²)4]]*0.15,2)</f>
        <v>1.8</v>
      </c>
      <c r="P215" s="52">
        <f>ROUND(Tabla2[[#This Row],[Área del terreno (m²)2]]*[1]DATA!$A$2,-2)</f>
        <v>600</v>
      </c>
      <c r="Q215" s="38" t="e">
        <f>+Tabla2[[#This Row],[Valor Comercial (US$)]]-Tabla2[[#This Row],[Valor del terreno (US$)]]</f>
        <v>#REF!</v>
      </c>
      <c r="R2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5" s="53" t="e">
        <f>ROUND(Tabla2[[#This Row],[Valor Comercial (US$)]]*0.8,-2)</f>
        <v>#REF!</v>
      </c>
      <c r="T215" s="53">
        <f>IF($H$6=$G$5,R215,ROUND(Tabla2[[#This Row],[Área techada (m²)4]]*[1]DATA!$B$2*1.15,-2))</f>
        <v>6200</v>
      </c>
      <c r="U215" s="6">
        <f t="shared" si="3"/>
        <v>3.5</v>
      </c>
      <c r="V215" s="39">
        <f>ROUND(Tabla2[[#This Row],[Valor del terreno (US$)]]*Tabla2[[#This Row],[Tipo de Cambio]],-2)</f>
        <v>2100</v>
      </c>
      <c r="W215" s="39" t="e">
        <f>Tabla2[[#This Row],[Valor Comercial (S/.)]]-Tabla2[[#This Row],[Valor del terreno (S/.)]]</f>
        <v>#REF!</v>
      </c>
      <c r="X215" s="39" t="e">
        <f>ROUND(Tabla2[[#This Row],[Valor Comercial (US$)]]*Tabla2[[#This Row],[Tipo de Cambio]],-2)</f>
        <v>#REF!</v>
      </c>
      <c r="Y215" s="39" t="e">
        <f>ROUND(Tabla2[[#This Row],[Valor Realización (US$)]]*Tabla2[[#This Row],[Tipo de Cambio]],-2)</f>
        <v>#REF!</v>
      </c>
      <c r="Z215" s="39">
        <f>+ROUND(Tabla2[[#This Row],[Importe Asegurable (US$)]]*Tabla2[[#This Row],[Tipo de Cambio]],-2)</f>
        <v>21700</v>
      </c>
      <c r="AA215" s="40"/>
      <c r="AB215" s="2" t="e">
        <f>+Tabla2[[#This Row],[Valor Comercial (US$)]]/Tabla2[[#This Row],[Área techada (m²)4]]</f>
        <v>#REF!</v>
      </c>
      <c r="AC2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5" s="61" t="s">
        <v>36</v>
      </c>
      <c r="AE215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5" s="43" t="e">
        <f>_xlfn.XLOOKUP(Tabla2[[#This Row],[VISTA]],[1]!Table1[Clase],[1]!Table1[VUE (USD)],0,0,1)</f>
        <v>#REF!</v>
      </c>
      <c r="AG215" s="55" t="e">
        <f>+Tabla2[[#This Row],[Valor Comercial (S/.)]]/Tabla2[[#This Row],[Valor de Venta]]-1</f>
        <v>#REF!</v>
      </c>
    </row>
    <row r="216" spans="1:33" s="1" customFormat="1" ht="15" customHeight="1" x14ac:dyDescent="0.25">
      <c r="A216" s="60" t="s">
        <v>33</v>
      </c>
      <c r="B216" s="14">
        <v>1403</v>
      </c>
      <c r="C216" s="11"/>
      <c r="D216" s="15"/>
      <c r="E216" s="15"/>
      <c r="F216" s="51">
        <f>ROUND(Tabla2[[#This Row],[Área ocupada (m²)]]/20*1.4,2)</f>
        <v>0.84</v>
      </c>
      <c r="G216" s="46">
        <v>12</v>
      </c>
      <c r="H216" s="46">
        <v>12</v>
      </c>
      <c r="I216" s="51">
        <f>ROUND(Tabla2[[#This Row],[Área techada (m²)]]*0.15,2)</f>
        <v>1.8</v>
      </c>
      <c r="J216" s="47" t="s">
        <v>30</v>
      </c>
      <c r="K216" s="48">
        <v>25000</v>
      </c>
      <c r="L216" s="51">
        <f>ROUND(Tabla2[[#This Row],[Área ocupada (m²)3]]/20*1.4,2)</f>
        <v>0.84</v>
      </c>
      <c r="M216" s="37">
        <f>ROUND(Tabla2[[#This Row],[Área ocupada (m²)]],2)</f>
        <v>12</v>
      </c>
      <c r="N216" s="37">
        <f>ROUND(Tabla2[[#This Row],[Área techada (m²)]],2)</f>
        <v>12</v>
      </c>
      <c r="O216" s="52">
        <f>ROUND(Tabla2[[#This Row],[Área techada (m²)4]]*0.15,2)</f>
        <v>1.8</v>
      </c>
      <c r="P216" s="52">
        <f>ROUND(Tabla2[[#This Row],[Área del terreno (m²)2]]*[1]DATA!$A$2,-2)</f>
        <v>600</v>
      </c>
      <c r="Q216" s="38" t="e">
        <f>+Tabla2[[#This Row],[Valor Comercial (US$)]]-Tabla2[[#This Row],[Valor del terreno (US$)]]</f>
        <v>#REF!</v>
      </c>
      <c r="R2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6" s="53" t="e">
        <f>ROUND(Tabla2[[#This Row],[Valor Comercial (US$)]]*0.8,-2)</f>
        <v>#REF!</v>
      </c>
      <c r="T216" s="53">
        <f>IF($H$6=$G$5,R216,ROUND(Tabla2[[#This Row],[Área techada (m²)4]]*[1]DATA!$B$2*1.15,-2))</f>
        <v>6200</v>
      </c>
      <c r="U216" s="6">
        <f t="shared" si="3"/>
        <v>3.5</v>
      </c>
      <c r="V216" s="39">
        <f>ROUND(Tabla2[[#This Row],[Valor del terreno (US$)]]*Tabla2[[#This Row],[Tipo de Cambio]],-2)</f>
        <v>2100</v>
      </c>
      <c r="W216" s="39" t="e">
        <f>Tabla2[[#This Row],[Valor Comercial (S/.)]]-Tabla2[[#This Row],[Valor del terreno (S/.)]]</f>
        <v>#REF!</v>
      </c>
      <c r="X216" s="39" t="e">
        <f>ROUND(Tabla2[[#This Row],[Valor Comercial (US$)]]*Tabla2[[#This Row],[Tipo de Cambio]],-2)</f>
        <v>#REF!</v>
      </c>
      <c r="Y216" s="39" t="e">
        <f>ROUND(Tabla2[[#This Row],[Valor Realización (US$)]]*Tabla2[[#This Row],[Tipo de Cambio]],-2)</f>
        <v>#REF!</v>
      </c>
      <c r="Z216" s="39">
        <f>+ROUND(Tabla2[[#This Row],[Importe Asegurable (US$)]]*Tabla2[[#This Row],[Tipo de Cambio]],-2)</f>
        <v>21700</v>
      </c>
      <c r="AA216" s="40"/>
      <c r="AB216" s="2" t="e">
        <f>+Tabla2[[#This Row],[Valor Comercial (US$)]]/Tabla2[[#This Row],[Área techada (m²)4]]</f>
        <v>#REF!</v>
      </c>
      <c r="AC2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6" s="61" t="s">
        <v>36</v>
      </c>
      <c r="AE216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6" s="43" t="e">
        <f>_xlfn.XLOOKUP(Tabla2[[#This Row],[VISTA]],[1]!Table1[Clase],[1]!Table1[VUE (USD)],0,0,1)</f>
        <v>#REF!</v>
      </c>
      <c r="AG216" s="55" t="e">
        <f>+Tabla2[[#This Row],[Valor Comercial (S/.)]]/Tabla2[[#This Row],[Valor de Venta]]-1</f>
        <v>#REF!</v>
      </c>
    </row>
    <row r="217" spans="1:33" s="1" customFormat="1" ht="15" customHeight="1" x14ac:dyDescent="0.25">
      <c r="A217" s="60" t="s">
        <v>33</v>
      </c>
      <c r="B217" s="14">
        <v>1453</v>
      </c>
      <c r="C217" s="11"/>
      <c r="D217" s="15"/>
      <c r="E217" s="15"/>
      <c r="F217" s="51">
        <f>ROUND(Tabla2[[#This Row],[Área ocupada (m²)]]/20*1.4,2)</f>
        <v>0.84</v>
      </c>
      <c r="G217" s="46">
        <v>12</v>
      </c>
      <c r="H217" s="46">
        <v>12</v>
      </c>
      <c r="I217" s="51">
        <f>ROUND(Tabla2[[#This Row],[Área techada (m²)]]*0.15,2)</f>
        <v>1.8</v>
      </c>
      <c r="J217" s="47" t="s">
        <v>30</v>
      </c>
      <c r="K217" s="48">
        <v>25000</v>
      </c>
      <c r="L217" s="51">
        <f>ROUND(Tabla2[[#This Row],[Área ocupada (m²)3]]/20*1.4,2)</f>
        <v>0.84</v>
      </c>
      <c r="M217" s="37">
        <f>ROUND(Tabla2[[#This Row],[Área ocupada (m²)]],2)</f>
        <v>12</v>
      </c>
      <c r="N217" s="37">
        <f>ROUND(Tabla2[[#This Row],[Área techada (m²)]],2)</f>
        <v>12</v>
      </c>
      <c r="O217" s="52">
        <f>ROUND(Tabla2[[#This Row],[Área techada (m²)4]]*0.15,2)</f>
        <v>1.8</v>
      </c>
      <c r="P217" s="52">
        <f>ROUND(Tabla2[[#This Row],[Área del terreno (m²)2]]*[1]DATA!$A$2,-2)</f>
        <v>600</v>
      </c>
      <c r="Q217" s="38" t="e">
        <f>+Tabla2[[#This Row],[Valor Comercial (US$)]]-Tabla2[[#This Row],[Valor del terreno (US$)]]</f>
        <v>#REF!</v>
      </c>
      <c r="R2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7" s="53" t="e">
        <f>ROUND(Tabla2[[#This Row],[Valor Comercial (US$)]]*0.8,-2)</f>
        <v>#REF!</v>
      </c>
      <c r="T217" s="53">
        <f>IF($H$6=$G$5,R217,ROUND(Tabla2[[#This Row],[Área techada (m²)4]]*[1]DATA!$B$2*1.15,-2))</f>
        <v>6200</v>
      </c>
      <c r="U217" s="6">
        <f t="shared" si="3"/>
        <v>3.5</v>
      </c>
      <c r="V217" s="39">
        <f>ROUND(Tabla2[[#This Row],[Valor del terreno (US$)]]*Tabla2[[#This Row],[Tipo de Cambio]],-2)</f>
        <v>2100</v>
      </c>
      <c r="W217" s="39" t="e">
        <f>Tabla2[[#This Row],[Valor Comercial (S/.)]]-Tabla2[[#This Row],[Valor del terreno (S/.)]]</f>
        <v>#REF!</v>
      </c>
      <c r="X217" s="39" t="e">
        <f>ROUND(Tabla2[[#This Row],[Valor Comercial (US$)]]*Tabla2[[#This Row],[Tipo de Cambio]],-2)</f>
        <v>#REF!</v>
      </c>
      <c r="Y217" s="39" t="e">
        <f>ROUND(Tabla2[[#This Row],[Valor Realización (US$)]]*Tabla2[[#This Row],[Tipo de Cambio]],-2)</f>
        <v>#REF!</v>
      </c>
      <c r="Z217" s="39">
        <f>+ROUND(Tabla2[[#This Row],[Importe Asegurable (US$)]]*Tabla2[[#This Row],[Tipo de Cambio]],-2)</f>
        <v>21700</v>
      </c>
      <c r="AA217" s="40"/>
      <c r="AB217" s="2" t="e">
        <f>+Tabla2[[#This Row],[Valor Comercial (US$)]]/Tabla2[[#This Row],[Área techada (m²)4]]</f>
        <v>#REF!</v>
      </c>
      <c r="AC2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7" s="61" t="s">
        <v>36</v>
      </c>
      <c r="AE217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7" s="43" t="e">
        <f>_xlfn.XLOOKUP(Tabla2[[#This Row],[VISTA]],[1]!Table1[Clase],[1]!Table1[VUE (USD)],0,0,1)</f>
        <v>#REF!</v>
      </c>
      <c r="AG217" s="55" t="e">
        <f>+Tabla2[[#This Row],[Valor Comercial (S/.)]]/Tabla2[[#This Row],[Valor de Venta]]-1</f>
        <v>#REF!</v>
      </c>
    </row>
    <row r="218" spans="1:33" s="1" customFormat="1" ht="15" customHeight="1" x14ac:dyDescent="0.25">
      <c r="A218" s="60" t="s">
        <v>33</v>
      </c>
      <c r="B218" s="14">
        <v>1464</v>
      </c>
      <c r="C218" s="11"/>
      <c r="D218" s="15"/>
      <c r="E218" s="15"/>
      <c r="F218" s="51">
        <f>ROUND(Tabla2[[#This Row],[Área ocupada (m²)]]/20*1.4,2)</f>
        <v>0.84</v>
      </c>
      <c r="G218" s="46">
        <v>12</v>
      </c>
      <c r="H218" s="46">
        <v>12</v>
      </c>
      <c r="I218" s="51">
        <f>ROUND(Tabla2[[#This Row],[Área techada (m²)]]*0.15,2)</f>
        <v>1.8</v>
      </c>
      <c r="J218" s="47" t="s">
        <v>30</v>
      </c>
      <c r="K218" s="48">
        <v>25000</v>
      </c>
      <c r="L218" s="51">
        <f>ROUND(Tabla2[[#This Row],[Área ocupada (m²)3]]/20*1.4,2)</f>
        <v>0.84</v>
      </c>
      <c r="M218" s="37">
        <f>ROUND(Tabla2[[#This Row],[Área ocupada (m²)]],2)</f>
        <v>12</v>
      </c>
      <c r="N218" s="37">
        <f>ROUND(Tabla2[[#This Row],[Área techada (m²)]],2)</f>
        <v>12</v>
      </c>
      <c r="O218" s="52">
        <f>ROUND(Tabla2[[#This Row],[Área techada (m²)4]]*0.15,2)</f>
        <v>1.8</v>
      </c>
      <c r="P218" s="52">
        <f>ROUND(Tabla2[[#This Row],[Área del terreno (m²)2]]*[1]DATA!$A$2,-2)</f>
        <v>600</v>
      </c>
      <c r="Q218" s="38" t="e">
        <f>+Tabla2[[#This Row],[Valor Comercial (US$)]]-Tabla2[[#This Row],[Valor del terreno (US$)]]</f>
        <v>#REF!</v>
      </c>
      <c r="R2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8" s="53" t="e">
        <f>ROUND(Tabla2[[#This Row],[Valor Comercial (US$)]]*0.8,-2)</f>
        <v>#REF!</v>
      </c>
      <c r="T218" s="53">
        <f>IF($H$6=$G$5,R218,ROUND(Tabla2[[#This Row],[Área techada (m²)4]]*[1]DATA!$B$2*1.15,-2))</f>
        <v>6200</v>
      </c>
      <c r="U218" s="6">
        <f t="shared" si="3"/>
        <v>3.5</v>
      </c>
      <c r="V218" s="39">
        <f>ROUND(Tabla2[[#This Row],[Valor del terreno (US$)]]*Tabla2[[#This Row],[Tipo de Cambio]],-2)</f>
        <v>2100</v>
      </c>
      <c r="W218" s="39" t="e">
        <f>Tabla2[[#This Row],[Valor Comercial (S/.)]]-Tabla2[[#This Row],[Valor del terreno (S/.)]]</f>
        <v>#REF!</v>
      </c>
      <c r="X218" s="39" t="e">
        <f>ROUND(Tabla2[[#This Row],[Valor Comercial (US$)]]*Tabla2[[#This Row],[Tipo de Cambio]],-2)</f>
        <v>#REF!</v>
      </c>
      <c r="Y218" s="39" t="e">
        <f>ROUND(Tabla2[[#This Row],[Valor Realización (US$)]]*Tabla2[[#This Row],[Tipo de Cambio]],-2)</f>
        <v>#REF!</v>
      </c>
      <c r="Z218" s="39">
        <f>+ROUND(Tabla2[[#This Row],[Importe Asegurable (US$)]]*Tabla2[[#This Row],[Tipo de Cambio]],-2)</f>
        <v>21700</v>
      </c>
      <c r="AA218" s="40"/>
      <c r="AB218" s="2" t="e">
        <f>+Tabla2[[#This Row],[Valor Comercial (US$)]]/Tabla2[[#This Row],[Área techada (m²)4]]</f>
        <v>#REF!</v>
      </c>
      <c r="AC2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8" s="61" t="s">
        <v>36</v>
      </c>
      <c r="AE218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8" s="43" t="e">
        <f>_xlfn.XLOOKUP(Tabla2[[#This Row],[VISTA]],[1]!Table1[Clase],[1]!Table1[VUE (USD)],0,0,1)</f>
        <v>#REF!</v>
      </c>
      <c r="AG218" s="55" t="e">
        <f>+Tabla2[[#This Row],[Valor Comercial (S/.)]]/Tabla2[[#This Row],[Valor de Venta]]-1</f>
        <v>#REF!</v>
      </c>
    </row>
    <row r="219" spans="1:33" s="1" customFormat="1" ht="15" customHeight="1" x14ac:dyDescent="0.25">
      <c r="A219" s="60" t="s">
        <v>33</v>
      </c>
      <c r="B219" s="14">
        <v>1465</v>
      </c>
      <c r="C219" s="11"/>
      <c r="D219" s="15"/>
      <c r="E219" s="15"/>
      <c r="F219" s="51">
        <f>ROUND(Tabla2[[#This Row],[Área ocupada (m²)]]/20*1.4,2)</f>
        <v>0.84</v>
      </c>
      <c r="G219" s="46">
        <v>12</v>
      </c>
      <c r="H219" s="46">
        <v>12</v>
      </c>
      <c r="I219" s="51">
        <f>ROUND(Tabla2[[#This Row],[Área techada (m²)]]*0.15,2)</f>
        <v>1.8</v>
      </c>
      <c r="J219" s="47" t="s">
        <v>30</v>
      </c>
      <c r="K219" s="48">
        <v>25000</v>
      </c>
      <c r="L219" s="51">
        <f>ROUND(Tabla2[[#This Row],[Área ocupada (m²)3]]/20*1.4,2)</f>
        <v>0.84</v>
      </c>
      <c r="M219" s="37">
        <f>ROUND(Tabla2[[#This Row],[Área ocupada (m²)]],2)</f>
        <v>12</v>
      </c>
      <c r="N219" s="37">
        <f>ROUND(Tabla2[[#This Row],[Área techada (m²)]],2)</f>
        <v>12</v>
      </c>
      <c r="O219" s="52">
        <f>ROUND(Tabla2[[#This Row],[Área techada (m²)4]]*0.15,2)</f>
        <v>1.8</v>
      </c>
      <c r="P219" s="52">
        <f>ROUND(Tabla2[[#This Row],[Área del terreno (m²)2]]*[1]DATA!$A$2,-2)</f>
        <v>600</v>
      </c>
      <c r="Q219" s="38" t="e">
        <f>+Tabla2[[#This Row],[Valor Comercial (US$)]]-Tabla2[[#This Row],[Valor del terreno (US$)]]</f>
        <v>#REF!</v>
      </c>
      <c r="R2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9" s="53" t="e">
        <f>ROUND(Tabla2[[#This Row],[Valor Comercial (US$)]]*0.8,-2)</f>
        <v>#REF!</v>
      </c>
      <c r="T219" s="53">
        <f>IF($H$6=$G$5,R219,ROUND(Tabla2[[#This Row],[Área techada (m²)4]]*[1]DATA!$B$2*1.15,-2))</f>
        <v>6200</v>
      </c>
      <c r="U219" s="6">
        <f t="shared" si="3"/>
        <v>3.5</v>
      </c>
      <c r="V219" s="39">
        <f>ROUND(Tabla2[[#This Row],[Valor del terreno (US$)]]*Tabla2[[#This Row],[Tipo de Cambio]],-2)</f>
        <v>2100</v>
      </c>
      <c r="W219" s="39" t="e">
        <f>Tabla2[[#This Row],[Valor Comercial (S/.)]]-Tabla2[[#This Row],[Valor del terreno (S/.)]]</f>
        <v>#REF!</v>
      </c>
      <c r="X219" s="39" t="e">
        <f>ROUND(Tabla2[[#This Row],[Valor Comercial (US$)]]*Tabla2[[#This Row],[Tipo de Cambio]],-2)</f>
        <v>#REF!</v>
      </c>
      <c r="Y219" s="39" t="e">
        <f>ROUND(Tabla2[[#This Row],[Valor Realización (US$)]]*Tabla2[[#This Row],[Tipo de Cambio]],-2)</f>
        <v>#REF!</v>
      </c>
      <c r="Z219" s="39">
        <f>+ROUND(Tabla2[[#This Row],[Importe Asegurable (US$)]]*Tabla2[[#This Row],[Tipo de Cambio]],-2)</f>
        <v>21700</v>
      </c>
      <c r="AA219" s="40"/>
      <c r="AB219" s="2" t="e">
        <f>+Tabla2[[#This Row],[Valor Comercial (US$)]]/Tabla2[[#This Row],[Área techada (m²)4]]</f>
        <v>#REF!</v>
      </c>
      <c r="AC2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9" s="61" t="s">
        <v>36</v>
      </c>
      <c r="AE219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9" s="43" t="e">
        <f>_xlfn.XLOOKUP(Tabla2[[#This Row],[VISTA]],[1]!Table1[Clase],[1]!Table1[VUE (USD)],0,0,1)</f>
        <v>#REF!</v>
      </c>
      <c r="AG219" s="55" t="e">
        <f>+Tabla2[[#This Row],[Valor Comercial (S/.)]]/Tabla2[[#This Row],[Valor de Venta]]-1</f>
        <v>#REF!</v>
      </c>
    </row>
    <row r="220" spans="1:33" s="1" customFormat="1" ht="15" customHeight="1" x14ac:dyDescent="0.25">
      <c r="A220" s="60" t="s">
        <v>33</v>
      </c>
      <c r="B220" s="14">
        <v>1468</v>
      </c>
      <c r="C220" s="11"/>
      <c r="D220" s="15"/>
      <c r="E220" s="15"/>
      <c r="F220" s="51">
        <f>ROUND(Tabla2[[#This Row],[Área ocupada (m²)]]/20*1.4,2)</f>
        <v>0.84</v>
      </c>
      <c r="G220" s="46">
        <v>12</v>
      </c>
      <c r="H220" s="46">
        <v>12</v>
      </c>
      <c r="I220" s="51">
        <f>ROUND(Tabla2[[#This Row],[Área techada (m²)]]*0.15,2)</f>
        <v>1.8</v>
      </c>
      <c r="J220" s="47" t="s">
        <v>30</v>
      </c>
      <c r="K220" s="48">
        <v>25000</v>
      </c>
      <c r="L220" s="51">
        <f>ROUND(Tabla2[[#This Row],[Área ocupada (m²)3]]/20*1.4,2)</f>
        <v>0.84</v>
      </c>
      <c r="M220" s="37">
        <f>ROUND(Tabla2[[#This Row],[Área ocupada (m²)]],2)</f>
        <v>12</v>
      </c>
      <c r="N220" s="37">
        <f>ROUND(Tabla2[[#This Row],[Área techada (m²)]],2)</f>
        <v>12</v>
      </c>
      <c r="O220" s="52">
        <f>ROUND(Tabla2[[#This Row],[Área techada (m²)4]]*0.15,2)</f>
        <v>1.8</v>
      </c>
      <c r="P220" s="52">
        <f>ROUND(Tabla2[[#This Row],[Área del terreno (m²)2]]*[1]DATA!$A$2,-2)</f>
        <v>600</v>
      </c>
      <c r="Q220" s="38" t="e">
        <f>+Tabla2[[#This Row],[Valor Comercial (US$)]]-Tabla2[[#This Row],[Valor del terreno (US$)]]</f>
        <v>#REF!</v>
      </c>
      <c r="R2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0" s="53" t="e">
        <f>ROUND(Tabla2[[#This Row],[Valor Comercial (US$)]]*0.8,-2)</f>
        <v>#REF!</v>
      </c>
      <c r="T220" s="53">
        <f>IF($H$6=$G$5,R220,ROUND(Tabla2[[#This Row],[Área techada (m²)4]]*[1]DATA!$B$2*1.15,-2))</f>
        <v>6200</v>
      </c>
      <c r="U220" s="6">
        <f t="shared" si="3"/>
        <v>3.5</v>
      </c>
      <c r="V220" s="39">
        <f>ROUND(Tabla2[[#This Row],[Valor del terreno (US$)]]*Tabla2[[#This Row],[Tipo de Cambio]],-2)</f>
        <v>2100</v>
      </c>
      <c r="W220" s="39" t="e">
        <f>Tabla2[[#This Row],[Valor Comercial (S/.)]]-Tabla2[[#This Row],[Valor del terreno (S/.)]]</f>
        <v>#REF!</v>
      </c>
      <c r="X220" s="39" t="e">
        <f>ROUND(Tabla2[[#This Row],[Valor Comercial (US$)]]*Tabla2[[#This Row],[Tipo de Cambio]],-2)</f>
        <v>#REF!</v>
      </c>
      <c r="Y220" s="39" t="e">
        <f>ROUND(Tabla2[[#This Row],[Valor Realización (US$)]]*Tabla2[[#This Row],[Tipo de Cambio]],-2)</f>
        <v>#REF!</v>
      </c>
      <c r="Z220" s="39">
        <f>+ROUND(Tabla2[[#This Row],[Importe Asegurable (US$)]]*Tabla2[[#This Row],[Tipo de Cambio]],-2)</f>
        <v>21700</v>
      </c>
      <c r="AA220" s="40"/>
      <c r="AB220" s="2" t="e">
        <f>+Tabla2[[#This Row],[Valor Comercial (US$)]]/Tabla2[[#This Row],[Área techada (m²)4]]</f>
        <v>#REF!</v>
      </c>
      <c r="AC2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0" s="61" t="s">
        <v>36</v>
      </c>
      <c r="AE220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0" s="43" t="e">
        <f>_xlfn.XLOOKUP(Tabla2[[#This Row],[VISTA]],[1]!Table1[Clase],[1]!Table1[VUE (USD)],0,0,1)</f>
        <v>#REF!</v>
      </c>
      <c r="AG220" s="55" t="e">
        <f>+Tabla2[[#This Row],[Valor Comercial (S/.)]]/Tabla2[[#This Row],[Valor de Venta]]-1</f>
        <v>#REF!</v>
      </c>
    </row>
    <row r="221" spans="1:33" s="1" customFormat="1" ht="15" customHeight="1" x14ac:dyDescent="0.25">
      <c r="A221" s="60" t="s">
        <v>33</v>
      </c>
      <c r="B221" s="14">
        <v>1469</v>
      </c>
      <c r="C221" s="11"/>
      <c r="D221" s="15"/>
      <c r="E221" s="15"/>
      <c r="F221" s="51">
        <f>ROUND(Tabla2[[#This Row],[Área ocupada (m²)]]/20*1.4,2)</f>
        <v>0.84</v>
      </c>
      <c r="G221" s="46">
        <v>12</v>
      </c>
      <c r="H221" s="46">
        <v>12</v>
      </c>
      <c r="I221" s="51">
        <f>ROUND(Tabla2[[#This Row],[Área techada (m²)]]*0.15,2)</f>
        <v>1.8</v>
      </c>
      <c r="J221" s="47" t="s">
        <v>30</v>
      </c>
      <c r="K221" s="48">
        <v>25000</v>
      </c>
      <c r="L221" s="51">
        <f>ROUND(Tabla2[[#This Row],[Área ocupada (m²)3]]/20*1.4,2)</f>
        <v>0.84</v>
      </c>
      <c r="M221" s="37">
        <f>ROUND(Tabla2[[#This Row],[Área ocupada (m²)]],2)</f>
        <v>12</v>
      </c>
      <c r="N221" s="37">
        <f>ROUND(Tabla2[[#This Row],[Área techada (m²)]],2)</f>
        <v>12</v>
      </c>
      <c r="O221" s="52">
        <f>ROUND(Tabla2[[#This Row],[Área techada (m²)4]]*0.15,2)</f>
        <v>1.8</v>
      </c>
      <c r="P221" s="52">
        <f>ROUND(Tabla2[[#This Row],[Área del terreno (m²)2]]*[1]DATA!$A$2,-2)</f>
        <v>600</v>
      </c>
      <c r="Q221" s="38" t="e">
        <f>+Tabla2[[#This Row],[Valor Comercial (US$)]]-Tabla2[[#This Row],[Valor del terreno (US$)]]</f>
        <v>#REF!</v>
      </c>
      <c r="R2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1" s="53" t="e">
        <f>ROUND(Tabla2[[#This Row],[Valor Comercial (US$)]]*0.8,-2)</f>
        <v>#REF!</v>
      </c>
      <c r="T221" s="53">
        <f>IF($H$6=$G$5,R221,ROUND(Tabla2[[#This Row],[Área techada (m²)4]]*[1]DATA!$B$2*1.15,-2))</f>
        <v>6200</v>
      </c>
      <c r="U221" s="6">
        <f t="shared" si="3"/>
        <v>3.5</v>
      </c>
      <c r="V221" s="39">
        <f>ROUND(Tabla2[[#This Row],[Valor del terreno (US$)]]*Tabla2[[#This Row],[Tipo de Cambio]],-2)</f>
        <v>2100</v>
      </c>
      <c r="W221" s="39" t="e">
        <f>Tabla2[[#This Row],[Valor Comercial (S/.)]]-Tabla2[[#This Row],[Valor del terreno (S/.)]]</f>
        <v>#REF!</v>
      </c>
      <c r="X221" s="39" t="e">
        <f>ROUND(Tabla2[[#This Row],[Valor Comercial (US$)]]*Tabla2[[#This Row],[Tipo de Cambio]],-2)</f>
        <v>#REF!</v>
      </c>
      <c r="Y221" s="39" t="e">
        <f>ROUND(Tabla2[[#This Row],[Valor Realización (US$)]]*Tabla2[[#This Row],[Tipo de Cambio]],-2)</f>
        <v>#REF!</v>
      </c>
      <c r="Z221" s="39">
        <f>+ROUND(Tabla2[[#This Row],[Importe Asegurable (US$)]]*Tabla2[[#This Row],[Tipo de Cambio]],-2)</f>
        <v>21700</v>
      </c>
      <c r="AA221" s="40"/>
      <c r="AB221" s="2" t="e">
        <f>+Tabla2[[#This Row],[Valor Comercial (US$)]]/Tabla2[[#This Row],[Área techada (m²)4]]</f>
        <v>#REF!</v>
      </c>
      <c r="AC2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1" s="61" t="s">
        <v>36</v>
      </c>
      <c r="AE221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1" s="43" t="e">
        <f>_xlfn.XLOOKUP(Tabla2[[#This Row],[VISTA]],[1]!Table1[Clase],[1]!Table1[VUE (USD)],0,0,1)</f>
        <v>#REF!</v>
      </c>
      <c r="AG221" s="55" t="e">
        <f>+Tabla2[[#This Row],[Valor Comercial (S/.)]]/Tabla2[[#This Row],[Valor de Venta]]-1</f>
        <v>#REF!</v>
      </c>
    </row>
    <row r="222" spans="1:33" s="1" customFormat="1" ht="15" customHeight="1" x14ac:dyDescent="0.25">
      <c r="A222" s="60" t="s">
        <v>33</v>
      </c>
      <c r="B222" s="14">
        <v>1470</v>
      </c>
      <c r="C222" s="11"/>
      <c r="D222" s="15"/>
      <c r="E222" s="15"/>
      <c r="F222" s="51">
        <f>ROUND(Tabla2[[#This Row],[Área ocupada (m²)]]/20*1.4,2)</f>
        <v>0.84</v>
      </c>
      <c r="G222" s="46">
        <v>12</v>
      </c>
      <c r="H222" s="46">
        <v>12</v>
      </c>
      <c r="I222" s="51">
        <f>ROUND(Tabla2[[#This Row],[Área techada (m²)]]*0.15,2)</f>
        <v>1.8</v>
      </c>
      <c r="J222" s="47" t="s">
        <v>30</v>
      </c>
      <c r="K222" s="48">
        <v>25000</v>
      </c>
      <c r="L222" s="51">
        <f>ROUND(Tabla2[[#This Row],[Área ocupada (m²)3]]/20*1.4,2)</f>
        <v>0.84</v>
      </c>
      <c r="M222" s="37">
        <f>ROUND(Tabla2[[#This Row],[Área ocupada (m²)]],2)</f>
        <v>12</v>
      </c>
      <c r="N222" s="37">
        <f>ROUND(Tabla2[[#This Row],[Área techada (m²)]],2)</f>
        <v>12</v>
      </c>
      <c r="O222" s="52">
        <f>ROUND(Tabla2[[#This Row],[Área techada (m²)4]]*0.15,2)</f>
        <v>1.8</v>
      </c>
      <c r="P222" s="52">
        <f>ROUND(Tabla2[[#This Row],[Área del terreno (m²)2]]*[1]DATA!$A$2,-2)</f>
        <v>600</v>
      </c>
      <c r="Q222" s="38" t="e">
        <f>+Tabla2[[#This Row],[Valor Comercial (US$)]]-Tabla2[[#This Row],[Valor del terreno (US$)]]</f>
        <v>#REF!</v>
      </c>
      <c r="R2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2" s="53" t="e">
        <f>ROUND(Tabla2[[#This Row],[Valor Comercial (US$)]]*0.8,-2)</f>
        <v>#REF!</v>
      </c>
      <c r="T222" s="53">
        <f>IF($H$6=$G$5,R222,ROUND(Tabla2[[#This Row],[Área techada (m²)4]]*[1]DATA!$B$2*1.15,-2))</f>
        <v>6200</v>
      </c>
      <c r="U222" s="6">
        <f t="shared" si="3"/>
        <v>3.5</v>
      </c>
      <c r="V222" s="39">
        <f>ROUND(Tabla2[[#This Row],[Valor del terreno (US$)]]*Tabla2[[#This Row],[Tipo de Cambio]],-2)</f>
        <v>2100</v>
      </c>
      <c r="W222" s="39" t="e">
        <f>Tabla2[[#This Row],[Valor Comercial (S/.)]]-Tabla2[[#This Row],[Valor del terreno (S/.)]]</f>
        <v>#REF!</v>
      </c>
      <c r="X222" s="39" t="e">
        <f>ROUND(Tabla2[[#This Row],[Valor Comercial (US$)]]*Tabla2[[#This Row],[Tipo de Cambio]],-2)</f>
        <v>#REF!</v>
      </c>
      <c r="Y222" s="39" t="e">
        <f>ROUND(Tabla2[[#This Row],[Valor Realización (US$)]]*Tabla2[[#This Row],[Tipo de Cambio]],-2)</f>
        <v>#REF!</v>
      </c>
      <c r="Z222" s="39">
        <f>+ROUND(Tabla2[[#This Row],[Importe Asegurable (US$)]]*Tabla2[[#This Row],[Tipo de Cambio]],-2)</f>
        <v>21700</v>
      </c>
      <c r="AA222" s="40"/>
      <c r="AB222" s="2" t="e">
        <f>+Tabla2[[#This Row],[Valor Comercial (US$)]]/Tabla2[[#This Row],[Área techada (m²)4]]</f>
        <v>#REF!</v>
      </c>
      <c r="AC2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2" s="61" t="s">
        <v>36</v>
      </c>
      <c r="AE222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2" s="43" t="e">
        <f>_xlfn.XLOOKUP(Tabla2[[#This Row],[VISTA]],[1]!Table1[Clase],[1]!Table1[VUE (USD)],0,0,1)</f>
        <v>#REF!</v>
      </c>
      <c r="AG222" s="55" t="e">
        <f>+Tabla2[[#This Row],[Valor Comercial (S/.)]]/Tabla2[[#This Row],[Valor de Venta]]-1</f>
        <v>#REF!</v>
      </c>
    </row>
    <row r="223" spans="1:33" s="1" customFormat="1" ht="15" customHeight="1" x14ac:dyDescent="0.25">
      <c r="A223" s="60" t="s">
        <v>33</v>
      </c>
      <c r="B223" s="14">
        <v>1471</v>
      </c>
      <c r="C223" s="11"/>
      <c r="D223" s="15"/>
      <c r="E223" s="15"/>
      <c r="F223" s="51">
        <f>ROUND(Tabla2[[#This Row],[Área ocupada (m²)]]/20*1.4,2)</f>
        <v>0.84</v>
      </c>
      <c r="G223" s="46">
        <v>12</v>
      </c>
      <c r="H223" s="46">
        <v>12</v>
      </c>
      <c r="I223" s="51">
        <f>ROUND(Tabla2[[#This Row],[Área techada (m²)]]*0.15,2)</f>
        <v>1.8</v>
      </c>
      <c r="J223" s="47" t="s">
        <v>30</v>
      </c>
      <c r="K223" s="48">
        <v>25000</v>
      </c>
      <c r="L223" s="51">
        <f>ROUND(Tabla2[[#This Row],[Área ocupada (m²)3]]/20*1.4,2)</f>
        <v>0.84</v>
      </c>
      <c r="M223" s="37">
        <f>ROUND(Tabla2[[#This Row],[Área ocupada (m²)]],2)</f>
        <v>12</v>
      </c>
      <c r="N223" s="37">
        <f>ROUND(Tabla2[[#This Row],[Área techada (m²)]],2)</f>
        <v>12</v>
      </c>
      <c r="O223" s="52">
        <f>ROUND(Tabla2[[#This Row],[Área techada (m²)4]]*0.15,2)</f>
        <v>1.8</v>
      </c>
      <c r="P223" s="52">
        <f>ROUND(Tabla2[[#This Row],[Área del terreno (m²)2]]*[1]DATA!$A$2,-2)</f>
        <v>600</v>
      </c>
      <c r="Q223" s="38" t="e">
        <f>+Tabla2[[#This Row],[Valor Comercial (US$)]]-Tabla2[[#This Row],[Valor del terreno (US$)]]</f>
        <v>#REF!</v>
      </c>
      <c r="R2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3" s="53" t="e">
        <f>ROUND(Tabla2[[#This Row],[Valor Comercial (US$)]]*0.8,-2)</f>
        <v>#REF!</v>
      </c>
      <c r="T223" s="53">
        <f>IF($H$6=$G$5,R223,ROUND(Tabla2[[#This Row],[Área techada (m²)4]]*[1]DATA!$B$2*1.15,-2))</f>
        <v>6200</v>
      </c>
      <c r="U223" s="6">
        <f t="shared" si="3"/>
        <v>3.5</v>
      </c>
      <c r="V223" s="39">
        <f>ROUND(Tabla2[[#This Row],[Valor del terreno (US$)]]*Tabla2[[#This Row],[Tipo de Cambio]],-2)</f>
        <v>2100</v>
      </c>
      <c r="W223" s="39" t="e">
        <f>Tabla2[[#This Row],[Valor Comercial (S/.)]]-Tabla2[[#This Row],[Valor del terreno (S/.)]]</f>
        <v>#REF!</v>
      </c>
      <c r="X223" s="39" t="e">
        <f>ROUND(Tabla2[[#This Row],[Valor Comercial (US$)]]*Tabla2[[#This Row],[Tipo de Cambio]],-2)</f>
        <v>#REF!</v>
      </c>
      <c r="Y223" s="39" t="e">
        <f>ROUND(Tabla2[[#This Row],[Valor Realización (US$)]]*Tabla2[[#This Row],[Tipo de Cambio]],-2)</f>
        <v>#REF!</v>
      </c>
      <c r="Z223" s="39">
        <f>+ROUND(Tabla2[[#This Row],[Importe Asegurable (US$)]]*Tabla2[[#This Row],[Tipo de Cambio]],-2)</f>
        <v>21700</v>
      </c>
      <c r="AA223" s="40"/>
      <c r="AB223" s="2" t="e">
        <f>+Tabla2[[#This Row],[Valor Comercial (US$)]]/Tabla2[[#This Row],[Área techada (m²)4]]</f>
        <v>#REF!</v>
      </c>
      <c r="AC2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3" s="61" t="s">
        <v>36</v>
      </c>
      <c r="AE223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3" s="43" t="e">
        <f>_xlfn.XLOOKUP(Tabla2[[#This Row],[VISTA]],[1]!Table1[Clase],[1]!Table1[VUE (USD)],0,0,1)</f>
        <v>#REF!</v>
      </c>
      <c r="AG223" s="55" t="e">
        <f>+Tabla2[[#This Row],[Valor Comercial (S/.)]]/Tabla2[[#This Row],[Valor de Venta]]-1</f>
        <v>#REF!</v>
      </c>
    </row>
    <row r="224" spans="1:33" s="1" customFormat="1" ht="15" customHeight="1" x14ac:dyDescent="0.25">
      <c r="A224" s="60" t="s">
        <v>33</v>
      </c>
      <c r="B224" s="14">
        <v>1472</v>
      </c>
      <c r="C224" s="11"/>
      <c r="D224" s="15"/>
      <c r="E224" s="15"/>
      <c r="F224" s="51">
        <f>ROUND(Tabla2[[#This Row],[Área ocupada (m²)]]/20*1.4,2)</f>
        <v>0.84</v>
      </c>
      <c r="G224" s="46">
        <v>12</v>
      </c>
      <c r="H224" s="46">
        <v>12</v>
      </c>
      <c r="I224" s="51">
        <f>ROUND(Tabla2[[#This Row],[Área techada (m²)]]*0.15,2)</f>
        <v>1.8</v>
      </c>
      <c r="J224" s="47" t="s">
        <v>30</v>
      </c>
      <c r="K224" s="48">
        <v>25000</v>
      </c>
      <c r="L224" s="51">
        <f>ROUND(Tabla2[[#This Row],[Área ocupada (m²)3]]/20*1.4,2)</f>
        <v>0.84</v>
      </c>
      <c r="M224" s="37">
        <f>ROUND(Tabla2[[#This Row],[Área ocupada (m²)]],2)</f>
        <v>12</v>
      </c>
      <c r="N224" s="37">
        <f>ROUND(Tabla2[[#This Row],[Área techada (m²)]],2)</f>
        <v>12</v>
      </c>
      <c r="O224" s="52">
        <f>ROUND(Tabla2[[#This Row],[Área techada (m²)4]]*0.15,2)</f>
        <v>1.8</v>
      </c>
      <c r="P224" s="52">
        <f>ROUND(Tabla2[[#This Row],[Área del terreno (m²)2]]*[1]DATA!$A$2,-2)</f>
        <v>600</v>
      </c>
      <c r="Q224" s="38" t="e">
        <f>+Tabla2[[#This Row],[Valor Comercial (US$)]]-Tabla2[[#This Row],[Valor del terreno (US$)]]</f>
        <v>#REF!</v>
      </c>
      <c r="R2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4" s="53" t="e">
        <f>ROUND(Tabla2[[#This Row],[Valor Comercial (US$)]]*0.8,-2)</f>
        <v>#REF!</v>
      </c>
      <c r="T224" s="53">
        <f>IF($H$6=$G$5,R224,ROUND(Tabla2[[#This Row],[Área techada (m²)4]]*[1]DATA!$B$2*1.15,-2))</f>
        <v>6200</v>
      </c>
      <c r="U224" s="6">
        <f t="shared" si="3"/>
        <v>3.5</v>
      </c>
      <c r="V224" s="39">
        <f>ROUND(Tabla2[[#This Row],[Valor del terreno (US$)]]*Tabla2[[#This Row],[Tipo de Cambio]],-2)</f>
        <v>2100</v>
      </c>
      <c r="W224" s="39" t="e">
        <f>Tabla2[[#This Row],[Valor Comercial (S/.)]]-Tabla2[[#This Row],[Valor del terreno (S/.)]]</f>
        <v>#REF!</v>
      </c>
      <c r="X224" s="39" t="e">
        <f>ROUND(Tabla2[[#This Row],[Valor Comercial (US$)]]*Tabla2[[#This Row],[Tipo de Cambio]],-2)</f>
        <v>#REF!</v>
      </c>
      <c r="Y224" s="39" t="e">
        <f>ROUND(Tabla2[[#This Row],[Valor Realización (US$)]]*Tabla2[[#This Row],[Tipo de Cambio]],-2)</f>
        <v>#REF!</v>
      </c>
      <c r="Z224" s="39">
        <f>+ROUND(Tabla2[[#This Row],[Importe Asegurable (US$)]]*Tabla2[[#This Row],[Tipo de Cambio]],-2)</f>
        <v>21700</v>
      </c>
      <c r="AA224" s="40"/>
      <c r="AB224" s="2" t="e">
        <f>+Tabla2[[#This Row],[Valor Comercial (US$)]]/Tabla2[[#This Row],[Área techada (m²)4]]</f>
        <v>#REF!</v>
      </c>
      <c r="AC2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4" s="61" t="s">
        <v>36</v>
      </c>
      <c r="AE224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4" s="43" t="e">
        <f>_xlfn.XLOOKUP(Tabla2[[#This Row],[VISTA]],[1]!Table1[Clase],[1]!Table1[VUE (USD)],0,0,1)</f>
        <v>#REF!</v>
      </c>
      <c r="AG224" s="55" t="e">
        <f>+Tabla2[[#This Row],[Valor Comercial (S/.)]]/Tabla2[[#This Row],[Valor de Venta]]-1</f>
        <v>#REF!</v>
      </c>
    </row>
    <row r="225" spans="1:33" s="1" customFormat="1" ht="15" customHeight="1" x14ac:dyDescent="0.25">
      <c r="A225" s="60" t="s">
        <v>33</v>
      </c>
      <c r="B225" s="14">
        <v>1473</v>
      </c>
      <c r="C225" s="11"/>
      <c r="D225" s="15"/>
      <c r="E225" s="15"/>
      <c r="F225" s="51">
        <f>ROUND(Tabla2[[#This Row],[Área ocupada (m²)]]/20*1.4,2)</f>
        <v>0.84</v>
      </c>
      <c r="G225" s="46">
        <v>12</v>
      </c>
      <c r="H225" s="46">
        <v>12</v>
      </c>
      <c r="I225" s="51">
        <f>ROUND(Tabla2[[#This Row],[Área techada (m²)]]*0.15,2)</f>
        <v>1.8</v>
      </c>
      <c r="J225" s="47" t="s">
        <v>30</v>
      </c>
      <c r="K225" s="48">
        <v>25000</v>
      </c>
      <c r="L225" s="51">
        <f>ROUND(Tabla2[[#This Row],[Área ocupada (m²)3]]/20*1.4,2)</f>
        <v>0.84</v>
      </c>
      <c r="M225" s="37">
        <f>ROUND(Tabla2[[#This Row],[Área ocupada (m²)]],2)</f>
        <v>12</v>
      </c>
      <c r="N225" s="37">
        <f>ROUND(Tabla2[[#This Row],[Área techada (m²)]],2)</f>
        <v>12</v>
      </c>
      <c r="O225" s="52">
        <f>ROUND(Tabla2[[#This Row],[Área techada (m²)4]]*0.15,2)</f>
        <v>1.8</v>
      </c>
      <c r="P225" s="52">
        <f>ROUND(Tabla2[[#This Row],[Área del terreno (m²)2]]*[1]DATA!$A$2,-2)</f>
        <v>600</v>
      </c>
      <c r="Q225" s="38" t="e">
        <f>+Tabla2[[#This Row],[Valor Comercial (US$)]]-Tabla2[[#This Row],[Valor del terreno (US$)]]</f>
        <v>#REF!</v>
      </c>
      <c r="R2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5" s="53" t="e">
        <f>ROUND(Tabla2[[#This Row],[Valor Comercial (US$)]]*0.8,-2)</f>
        <v>#REF!</v>
      </c>
      <c r="T225" s="53">
        <f>IF($H$6=$G$5,R225,ROUND(Tabla2[[#This Row],[Área techada (m²)4]]*[1]DATA!$B$2*1.15,-2))</f>
        <v>6200</v>
      </c>
      <c r="U225" s="6">
        <f t="shared" si="3"/>
        <v>3.5</v>
      </c>
      <c r="V225" s="39">
        <f>ROUND(Tabla2[[#This Row],[Valor del terreno (US$)]]*Tabla2[[#This Row],[Tipo de Cambio]],-2)</f>
        <v>2100</v>
      </c>
      <c r="W225" s="39" t="e">
        <f>Tabla2[[#This Row],[Valor Comercial (S/.)]]-Tabla2[[#This Row],[Valor del terreno (S/.)]]</f>
        <v>#REF!</v>
      </c>
      <c r="X225" s="39" t="e">
        <f>ROUND(Tabla2[[#This Row],[Valor Comercial (US$)]]*Tabla2[[#This Row],[Tipo de Cambio]],-2)</f>
        <v>#REF!</v>
      </c>
      <c r="Y225" s="39" t="e">
        <f>ROUND(Tabla2[[#This Row],[Valor Realización (US$)]]*Tabla2[[#This Row],[Tipo de Cambio]],-2)</f>
        <v>#REF!</v>
      </c>
      <c r="Z225" s="39">
        <f>+ROUND(Tabla2[[#This Row],[Importe Asegurable (US$)]]*Tabla2[[#This Row],[Tipo de Cambio]],-2)</f>
        <v>21700</v>
      </c>
      <c r="AA225" s="40"/>
      <c r="AB225" s="2" t="e">
        <f>+Tabla2[[#This Row],[Valor Comercial (US$)]]/Tabla2[[#This Row],[Área techada (m²)4]]</f>
        <v>#REF!</v>
      </c>
      <c r="AC2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5" s="61" t="s">
        <v>36</v>
      </c>
      <c r="AE225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5" s="43" t="e">
        <f>_xlfn.XLOOKUP(Tabla2[[#This Row],[VISTA]],[1]!Table1[Clase],[1]!Table1[VUE (USD)],0,0,1)</f>
        <v>#REF!</v>
      </c>
      <c r="AG225" s="55" t="e">
        <f>+Tabla2[[#This Row],[Valor Comercial (S/.)]]/Tabla2[[#This Row],[Valor de Venta]]-1</f>
        <v>#REF!</v>
      </c>
    </row>
    <row r="226" spans="1:33" s="1" customFormat="1" ht="15" customHeight="1" x14ac:dyDescent="0.25">
      <c r="A226" s="60" t="s">
        <v>49</v>
      </c>
      <c r="B226" s="14" t="s">
        <v>60</v>
      </c>
      <c r="C226" s="11">
        <v>-1</v>
      </c>
      <c r="D226" s="15"/>
      <c r="E226" s="15"/>
      <c r="F226" s="51">
        <f>ROUND(Tabla2[[#This Row],[Área ocupada (m²)]]/20*1.4,2)</f>
        <v>0.12</v>
      </c>
      <c r="G226" s="46">
        <v>1.75</v>
      </c>
      <c r="H226" s="46">
        <v>1.75</v>
      </c>
      <c r="I226" s="51">
        <f>ROUND(Tabla2[[#This Row],[Área techada (m²)]]*0.15,2)</f>
        <v>0.26</v>
      </c>
      <c r="J226" s="47" t="s">
        <v>30</v>
      </c>
      <c r="K226" s="48">
        <v>5000</v>
      </c>
      <c r="L226" s="51">
        <f>ROUND(Tabla2[[#This Row],[Área ocupada (m²)3]]/20*1.4,2)</f>
        <v>0.12</v>
      </c>
      <c r="M226" s="37">
        <f>ROUND(Tabla2[[#This Row],[Área ocupada (m²)]],2)</f>
        <v>1.75</v>
      </c>
      <c r="N226" s="37">
        <f>ROUND(Tabla2[[#This Row],[Área techada (m²)]],2)</f>
        <v>1.75</v>
      </c>
      <c r="O226" s="52">
        <f>ROUND(Tabla2[[#This Row],[Área techada (m²)4]]*0.15,2)</f>
        <v>0.26</v>
      </c>
      <c r="P226" s="52">
        <f>ROUND(Tabla2[[#This Row],[Área del terreno (m²)2]]*[1]DATA!$A$2,-2)</f>
        <v>100</v>
      </c>
      <c r="Q226" s="38" t="e">
        <f>+Tabla2[[#This Row],[Valor Comercial (US$)]]-Tabla2[[#This Row],[Valor del terreno (US$)]]</f>
        <v>#REF!</v>
      </c>
      <c r="R2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6" s="53" t="e">
        <f>ROUND(Tabla2[[#This Row],[Valor Comercial (US$)]]*0.8,-2)</f>
        <v>#REF!</v>
      </c>
      <c r="T226" s="53">
        <f>IF($H$6=$G$5,R226,ROUND(Tabla2[[#This Row],[Área techada (m²)4]]*[1]DATA!$B$2*1.15,-2))</f>
        <v>900</v>
      </c>
      <c r="U226" s="6">
        <f t="shared" si="3"/>
        <v>3.5</v>
      </c>
      <c r="V226" s="39">
        <f>ROUND(Tabla2[[#This Row],[Valor del terreno (US$)]]*Tabla2[[#This Row],[Tipo de Cambio]],-2)</f>
        <v>400</v>
      </c>
      <c r="W226" s="39" t="e">
        <f>Tabla2[[#This Row],[Valor Comercial (S/.)]]-Tabla2[[#This Row],[Valor del terreno (S/.)]]</f>
        <v>#REF!</v>
      </c>
      <c r="X226" s="39" t="e">
        <f>ROUND(Tabla2[[#This Row],[Valor Comercial (US$)]]*Tabla2[[#This Row],[Tipo de Cambio]],-2)</f>
        <v>#REF!</v>
      </c>
      <c r="Y226" s="39" t="e">
        <f>ROUND(Tabla2[[#This Row],[Valor Realización (US$)]]*Tabla2[[#This Row],[Tipo de Cambio]],-2)</f>
        <v>#REF!</v>
      </c>
      <c r="Z226" s="39">
        <f>+ROUND(Tabla2[[#This Row],[Importe Asegurable (US$)]]*Tabla2[[#This Row],[Tipo de Cambio]],-2)</f>
        <v>3200</v>
      </c>
      <c r="AA226" s="40"/>
      <c r="AB226" s="2" t="e">
        <f>+Tabla2[[#This Row],[Valor Comercial (US$)]]/Tabla2[[#This Row],[Área techada (m²)4]]</f>
        <v>#REF!</v>
      </c>
      <c r="AC2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6" s="61" t="s">
        <v>47</v>
      </c>
      <c r="AE226" s="54">
        <f>IF(Tabla2[[#This Row],[Moneda]]="Soles",Tabla2[[#This Row],[Valor de Venta]]/Tabla2[[#This Row],[Área techada (m²)]]/Tabla2[[#This Row],[Tipo de Cambio]],Tabla2[[#This Row],[Valor de Venta]]/Tabla2[[#This Row],[Área techada (m²)]])</f>
        <v>816.32653061224494</v>
      </c>
      <c r="AF226" s="43" t="e">
        <f>_xlfn.XLOOKUP(Tabla2[[#This Row],[VISTA]],[1]!Table1[Clase],[1]!Table1[VUE (USD)],0,0,1)</f>
        <v>#REF!</v>
      </c>
      <c r="AG226" s="55" t="e">
        <f>+Tabla2[[#This Row],[Valor Comercial (S/.)]]/Tabla2[[#This Row],[Valor de Venta]]-1</f>
        <v>#REF!</v>
      </c>
    </row>
    <row r="227" spans="1:33" s="1" customFormat="1" ht="15" customHeight="1" x14ac:dyDescent="0.25">
      <c r="A227" s="60" t="s">
        <v>49</v>
      </c>
      <c r="B227" s="14" t="s">
        <v>59</v>
      </c>
      <c r="C227" s="11">
        <v>-1</v>
      </c>
      <c r="D227" s="15"/>
      <c r="E227" s="15"/>
      <c r="F227" s="51">
        <f>ROUND(Tabla2[[#This Row],[Área ocupada (m²)]]/20*1.4,2)</f>
        <v>0.44</v>
      </c>
      <c r="G227" s="46">
        <v>6.35</v>
      </c>
      <c r="H227" s="46">
        <v>6.35</v>
      </c>
      <c r="I227" s="51">
        <f>ROUND(Tabla2[[#This Row],[Área techada (m²)]]*0.15,2)</f>
        <v>0.95</v>
      </c>
      <c r="J227" s="47" t="s">
        <v>30</v>
      </c>
      <c r="K227" s="48">
        <v>5000</v>
      </c>
      <c r="L227" s="51">
        <f>ROUND(Tabla2[[#This Row],[Área ocupada (m²)3]]/20*1.4,2)</f>
        <v>0.44</v>
      </c>
      <c r="M227" s="37">
        <f>ROUND(Tabla2[[#This Row],[Área ocupada (m²)]],2)</f>
        <v>6.35</v>
      </c>
      <c r="N227" s="37">
        <f>ROUND(Tabla2[[#This Row],[Área techada (m²)]],2)</f>
        <v>6.35</v>
      </c>
      <c r="O227" s="52">
        <f>ROUND(Tabla2[[#This Row],[Área techada (m²)4]]*0.15,2)</f>
        <v>0.95</v>
      </c>
      <c r="P227" s="52">
        <f>ROUND(Tabla2[[#This Row],[Área del terreno (m²)2]]*[1]DATA!$A$2,-2)</f>
        <v>300</v>
      </c>
      <c r="Q227" s="38" t="e">
        <f>+Tabla2[[#This Row],[Valor Comercial (US$)]]-Tabla2[[#This Row],[Valor del terreno (US$)]]</f>
        <v>#REF!</v>
      </c>
      <c r="R2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7" s="53" t="e">
        <f>ROUND(Tabla2[[#This Row],[Valor Comercial (US$)]]*0.8,-2)</f>
        <v>#REF!</v>
      </c>
      <c r="T227" s="53">
        <f>IF($H$6=$G$5,R227,ROUND(Tabla2[[#This Row],[Área techada (m²)4]]*[1]DATA!$B$2*1.15,-2))</f>
        <v>3300</v>
      </c>
      <c r="U227" s="6">
        <f t="shared" si="3"/>
        <v>3.5</v>
      </c>
      <c r="V227" s="39">
        <f>ROUND(Tabla2[[#This Row],[Valor del terreno (US$)]]*Tabla2[[#This Row],[Tipo de Cambio]],-2)</f>
        <v>1100</v>
      </c>
      <c r="W227" s="39" t="e">
        <f>Tabla2[[#This Row],[Valor Comercial (S/.)]]-Tabla2[[#This Row],[Valor del terreno (S/.)]]</f>
        <v>#REF!</v>
      </c>
      <c r="X227" s="39" t="e">
        <f>ROUND(Tabla2[[#This Row],[Valor Comercial (US$)]]*Tabla2[[#This Row],[Tipo de Cambio]],-2)</f>
        <v>#REF!</v>
      </c>
      <c r="Y227" s="39" t="e">
        <f>ROUND(Tabla2[[#This Row],[Valor Realización (US$)]]*Tabla2[[#This Row],[Tipo de Cambio]],-2)</f>
        <v>#REF!</v>
      </c>
      <c r="Z227" s="39">
        <f>+ROUND(Tabla2[[#This Row],[Importe Asegurable (US$)]]*Tabla2[[#This Row],[Tipo de Cambio]],-2)</f>
        <v>11600</v>
      </c>
      <c r="AA227" s="40"/>
      <c r="AB227" s="2" t="e">
        <f>+Tabla2[[#This Row],[Valor Comercial (US$)]]/Tabla2[[#This Row],[Área techada (m²)4]]</f>
        <v>#REF!</v>
      </c>
      <c r="AC2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7" s="61" t="s">
        <v>47</v>
      </c>
      <c r="AE227" s="54">
        <f>IF(Tabla2[[#This Row],[Moneda]]="Soles",Tabla2[[#This Row],[Valor de Venta]]/Tabla2[[#This Row],[Área techada (m²)]]/Tabla2[[#This Row],[Tipo de Cambio]],Tabla2[[#This Row],[Valor de Venta]]/Tabla2[[#This Row],[Área techada (m²)]])</f>
        <v>224.97187851518561</v>
      </c>
      <c r="AF227" s="43" t="e">
        <f>_xlfn.XLOOKUP(Tabla2[[#This Row],[VISTA]],[1]!Table1[Clase],[1]!Table1[VUE (USD)],0,0,1)</f>
        <v>#REF!</v>
      </c>
      <c r="AG227" s="55" t="e">
        <f>+Tabla2[[#This Row],[Valor Comercial (S/.)]]/Tabla2[[#This Row],[Valor de Venta]]-1</f>
        <v>#REF!</v>
      </c>
    </row>
    <row r="228" spans="1:33" s="1" customFormat="1" ht="15" customHeight="1" x14ac:dyDescent="0.25">
      <c r="A228" s="60" t="s">
        <v>49</v>
      </c>
      <c r="B228" s="14" t="s">
        <v>58</v>
      </c>
      <c r="C228" s="11">
        <v>-1</v>
      </c>
      <c r="D228" s="15"/>
      <c r="E228" s="15"/>
      <c r="F228" s="51">
        <f>ROUND(Tabla2[[#This Row],[Área ocupada (m²)]]/20*1.4,2)</f>
        <v>0.31</v>
      </c>
      <c r="G228" s="46">
        <v>4.49</v>
      </c>
      <c r="H228" s="46">
        <v>4.49</v>
      </c>
      <c r="I228" s="51">
        <f>ROUND(Tabla2[[#This Row],[Área techada (m²)]]*0.15,2)</f>
        <v>0.67</v>
      </c>
      <c r="J228" s="47" t="s">
        <v>30</v>
      </c>
      <c r="K228" s="48">
        <v>5000</v>
      </c>
      <c r="L228" s="51">
        <f>ROUND(Tabla2[[#This Row],[Área ocupada (m²)3]]/20*1.4,2)</f>
        <v>0.31</v>
      </c>
      <c r="M228" s="37">
        <f>ROUND(Tabla2[[#This Row],[Área ocupada (m²)]],2)</f>
        <v>4.49</v>
      </c>
      <c r="N228" s="37">
        <f>ROUND(Tabla2[[#This Row],[Área techada (m²)]],2)</f>
        <v>4.49</v>
      </c>
      <c r="O228" s="52">
        <f>ROUND(Tabla2[[#This Row],[Área techada (m²)4]]*0.15,2)</f>
        <v>0.67</v>
      </c>
      <c r="P228" s="52">
        <f>ROUND(Tabla2[[#This Row],[Área del terreno (m²)2]]*[1]DATA!$A$2,-2)</f>
        <v>200</v>
      </c>
      <c r="Q228" s="38" t="e">
        <f>+Tabla2[[#This Row],[Valor Comercial (US$)]]-Tabla2[[#This Row],[Valor del terreno (US$)]]</f>
        <v>#REF!</v>
      </c>
      <c r="R2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8" s="53" t="e">
        <f>ROUND(Tabla2[[#This Row],[Valor Comercial (US$)]]*0.8,-2)</f>
        <v>#REF!</v>
      </c>
      <c r="T228" s="53">
        <f>IF($H$6=$G$5,R228,ROUND(Tabla2[[#This Row],[Área techada (m²)4]]*[1]DATA!$B$2*1.15,-2))</f>
        <v>2300</v>
      </c>
      <c r="U228" s="6">
        <f t="shared" si="3"/>
        <v>3.5</v>
      </c>
      <c r="V228" s="39">
        <f>ROUND(Tabla2[[#This Row],[Valor del terreno (US$)]]*Tabla2[[#This Row],[Tipo de Cambio]],-2)</f>
        <v>700</v>
      </c>
      <c r="W228" s="39" t="e">
        <f>Tabla2[[#This Row],[Valor Comercial (S/.)]]-Tabla2[[#This Row],[Valor del terreno (S/.)]]</f>
        <v>#REF!</v>
      </c>
      <c r="X228" s="39" t="e">
        <f>ROUND(Tabla2[[#This Row],[Valor Comercial (US$)]]*Tabla2[[#This Row],[Tipo de Cambio]],-2)</f>
        <v>#REF!</v>
      </c>
      <c r="Y228" s="39" t="e">
        <f>ROUND(Tabla2[[#This Row],[Valor Realización (US$)]]*Tabla2[[#This Row],[Tipo de Cambio]],-2)</f>
        <v>#REF!</v>
      </c>
      <c r="Z228" s="39">
        <f>+ROUND(Tabla2[[#This Row],[Importe Asegurable (US$)]]*Tabla2[[#This Row],[Tipo de Cambio]],-2)</f>
        <v>8100</v>
      </c>
      <c r="AA228" s="40"/>
      <c r="AB228" s="2" t="e">
        <f>+Tabla2[[#This Row],[Valor Comercial (US$)]]/Tabla2[[#This Row],[Área techada (m²)4]]</f>
        <v>#REF!</v>
      </c>
      <c r="AC2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8" s="61" t="s">
        <v>47</v>
      </c>
      <c r="AE228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28" s="43" t="e">
        <f>_xlfn.XLOOKUP(Tabla2[[#This Row],[VISTA]],[1]!Table1[Clase],[1]!Table1[VUE (USD)],0,0,1)</f>
        <v>#REF!</v>
      </c>
      <c r="AG228" s="55" t="e">
        <f>+Tabla2[[#This Row],[Valor Comercial (S/.)]]/Tabla2[[#This Row],[Valor de Venta]]-1</f>
        <v>#REF!</v>
      </c>
    </row>
    <row r="229" spans="1:33" s="1" customFormat="1" ht="15" customHeight="1" x14ac:dyDescent="0.25">
      <c r="A229" s="60" t="s">
        <v>49</v>
      </c>
      <c r="B229" s="14" t="s">
        <v>57</v>
      </c>
      <c r="C229" s="11">
        <v>-1</v>
      </c>
      <c r="D229" s="15"/>
      <c r="E229" s="15"/>
      <c r="F229" s="51">
        <f>ROUND(Tabla2[[#This Row],[Área ocupada (m²)]]/20*1.4,2)</f>
        <v>0.31</v>
      </c>
      <c r="G229" s="46">
        <v>4.49</v>
      </c>
      <c r="H229" s="46">
        <v>4.49</v>
      </c>
      <c r="I229" s="51">
        <f>ROUND(Tabla2[[#This Row],[Área techada (m²)]]*0.15,2)</f>
        <v>0.67</v>
      </c>
      <c r="J229" s="47" t="s">
        <v>30</v>
      </c>
      <c r="K229" s="48">
        <v>5000</v>
      </c>
      <c r="L229" s="51">
        <f>ROUND(Tabla2[[#This Row],[Área ocupada (m²)3]]/20*1.4,2)</f>
        <v>0.31</v>
      </c>
      <c r="M229" s="37">
        <f>ROUND(Tabla2[[#This Row],[Área ocupada (m²)]],2)</f>
        <v>4.49</v>
      </c>
      <c r="N229" s="37">
        <f>ROUND(Tabla2[[#This Row],[Área techada (m²)]],2)</f>
        <v>4.49</v>
      </c>
      <c r="O229" s="52">
        <f>ROUND(Tabla2[[#This Row],[Área techada (m²)4]]*0.15,2)</f>
        <v>0.67</v>
      </c>
      <c r="P229" s="52">
        <f>ROUND(Tabla2[[#This Row],[Área del terreno (m²)2]]*[1]DATA!$A$2,-2)</f>
        <v>200</v>
      </c>
      <c r="Q229" s="38" t="e">
        <f>+Tabla2[[#This Row],[Valor Comercial (US$)]]-Tabla2[[#This Row],[Valor del terreno (US$)]]</f>
        <v>#REF!</v>
      </c>
      <c r="R2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9" s="53" t="e">
        <f>ROUND(Tabla2[[#This Row],[Valor Comercial (US$)]]*0.8,-2)</f>
        <v>#REF!</v>
      </c>
      <c r="T229" s="53">
        <f>IF($H$6=$G$5,R229,ROUND(Tabla2[[#This Row],[Área techada (m²)4]]*[1]DATA!$B$2*1.15,-2))</f>
        <v>2300</v>
      </c>
      <c r="U229" s="6">
        <f t="shared" si="3"/>
        <v>3.5</v>
      </c>
      <c r="V229" s="39">
        <f>ROUND(Tabla2[[#This Row],[Valor del terreno (US$)]]*Tabla2[[#This Row],[Tipo de Cambio]],-2)</f>
        <v>700</v>
      </c>
      <c r="W229" s="39" t="e">
        <f>Tabla2[[#This Row],[Valor Comercial (S/.)]]-Tabla2[[#This Row],[Valor del terreno (S/.)]]</f>
        <v>#REF!</v>
      </c>
      <c r="X229" s="39" t="e">
        <f>ROUND(Tabla2[[#This Row],[Valor Comercial (US$)]]*Tabla2[[#This Row],[Tipo de Cambio]],-2)</f>
        <v>#REF!</v>
      </c>
      <c r="Y229" s="39" t="e">
        <f>ROUND(Tabla2[[#This Row],[Valor Realización (US$)]]*Tabla2[[#This Row],[Tipo de Cambio]],-2)</f>
        <v>#REF!</v>
      </c>
      <c r="Z229" s="39">
        <f>+ROUND(Tabla2[[#This Row],[Importe Asegurable (US$)]]*Tabla2[[#This Row],[Tipo de Cambio]],-2)</f>
        <v>8100</v>
      </c>
      <c r="AA229" s="40"/>
      <c r="AB229" s="2" t="e">
        <f>+Tabla2[[#This Row],[Valor Comercial (US$)]]/Tabla2[[#This Row],[Área techada (m²)4]]</f>
        <v>#REF!</v>
      </c>
      <c r="AC2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9" s="61" t="s">
        <v>47</v>
      </c>
      <c r="AE229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29" s="43" t="e">
        <f>_xlfn.XLOOKUP(Tabla2[[#This Row],[VISTA]],[1]!Table1[Clase],[1]!Table1[VUE (USD)],0,0,1)</f>
        <v>#REF!</v>
      </c>
      <c r="AG229" s="55" t="e">
        <f>+Tabla2[[#This Row],[Valor Comercial (S/.)]]/Tabla2[[#This Row],[Valor de Venta]]-1</f>
        <v>#REF!</v>
      </c>
    </row>
    <row r="230" spans="1:33" s="1" customFormat="1" ht="15" customHeight="1" x14ac:dyDescent="0.25">
      <c r="A230" s="60" t="s">
        <v>49</v>
      </c>
      <c r="B230" s="14" t="s">
        <v>56</v>
      </c>
      <c r="C230" s="11">
        <v>-2</v>
      </c>
      <c r="D230" s="15"/>
      <c r="E230" s="15"/>
      <c r="F230" s="51">
        <f>ROUND(Tabla2[[#This Row],[Área ocupada (m²)]]/20*1.4,2)</f>
        <v>0.31</v>
      </c>
      <c r="G230" s="46">
        <v>4.49</v>
      </c>
      <c r="H230" s="46">
        <v>4.49</v>
      </c>
      <c r="I230" s="51">
        <f>ROUND(Tabla2[[#This Row],[Área techada (m²)]]*0.15,2)</f>
        <v>0.67</v>
      </c>
      <c r="J230" s="47" t="s">
        <v>30</v>
      </c>
      <c r="K230" s="48">
        <v>5000</v>
      </c>
      <c r="L230" s="51">
        <f>ROUND(Tabla2[[#This Row],[Área ocupada (m²)3]]/20*1.4,2)</f>
        <v>0.31</v>
      </c>
      <c r="M230" s="37">
        <f>ROUND(Tabla2[[#This Row],[Área ocupada (m²)]],2)</f>
        <v>4.49</v>
      </c>
      <c r="N230" s="37">
        <f>ROUND(Tabla2[[#This Row],[Área techada (m²)]],2)</f>
        <v>4.49</v>
      </c>
      <c r="O230" s="52">
        <f>ROUND(Tabla2[[#This Row],[Área techada (m²)4]]*0.15,2)</f>
        <v>0.67</v>
      </c>
      <c r="P230" s="52">
        <f>ROUND(Tabla2[[#This Row],[Área del terreno (m²)2]]*[1]DATA!$A$2,-2)</f>
        <v>200</v>
      </c>
      <c r="Q230" s="38" t="e">
        <f>+Tabla2[[#This Row],[Valor Comercial (US$)]]-Tabla2[[#This Row],[Valor del terreno (US$)]]</f>
        <v>#REF!</v>
      </c>
      <c r="R2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0" s="53" t="e">
        <f>ROUND(Tabla2[[#This Row],[Valor Comercial (US$)]]*0.8,-2)</f>
        <v>#REF!</v>
      </c>
      <c r="T230" s="53">
        <f>IF($H$6=$G$5,R230,ROUND(Tabla2[[#This Row],[Área techada (m²)4]]*[1]DATA!$B$2*1.15,-2))</f>
        <v>2300</v>
      </c>
      <c r="U230" s="6">
        <f t="shared" si="3"/>
        <v>3.5</v>
      </c>
      <c r="V230" s="39">
        <f>ROUND(Tabla2[[#This Row],[Valor del terreno (US$)]]*Tabla2[[#This Row],[Tipo de Cambio]],-2)</f>
        <v>700</v>
      </c>
      <c r="W230" s="39" t="e">
        <f>Tabla2[[#This Row],[Valor Comercial (S/.)]]-Tabla2[[#This Row],[Valor del terreno (S/.)]]</f>
        <v>#REF!</v>
      </c>
      <c r="X230" s="39" t="e">
        <f>ROUND(Tabla2[[#This Row],[Valor Comercial (US$)]]*Tabla2[[#This Row],[Tipo de Cambio]],-2)</f>
        <v>#REF!</v>
      </c>
      <c r="Y230" s="39" t="e">
        <f>ROUND(Tabla2[[#This Row],[Valor Realización (US$)]]*Tabla2[[#This Row],[Tipo de Cambio]],-2)</f>
        <v>#REF!</v>
      </c>
      <c r="Z230" s="39">
        <f>+ROUND(Tabla2[[#This Row],[Importe Asegurable (US$)]]*Tabla2[[#This Row],[Tipo de Cambio]],-2)</f>
        <v>8100</v>
      </c>
      <c r="AA230" s="40"/>
      <c r="AB230" s="2" t="e">
        <f>+Tabla2[[#This Row],[Valor Comercial (US$)]]/Tabla2[[#This Row],[Área techada (m²)4]]</f>
        <v>#REF!</v>
      </c>
      <c r="AC2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0" s="61" t="s">
        <v>47</v>
      </c>
      <c r="AE230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30" s="43" t="e">
        <f>_xlfn.XLOOKUP(Tabla2[[#This Row],[VISTA]],[1]!Table1[Clase],[1]!Table1[VUE (USD)],0,0,1)</f>
        <v>#REF!</v>
      </c>
      <c r="AG230" s="55" t="e">
        <f>+Tabla2[[#This Row],[Valor Comercial (S/.)]]/Tabla2[[#This Row],[Valor de Venta]]-1</f>
        <v>#REF!</v>
      </c>
    </row>
    <row r="231" spans="1:33" s="1" customFormat="1" ht="15" customHeight="1" x14ac:dyDescent="0.25">
      <c r="A231" s="60" t="s">
        <v>49</v>
      </c>
      <c r="B231" s="14" t="s">
        <v>55</v>
      </c>
      <c r="C231" s="11">
        <v>-2</v>
      </c>
      <c r="D231" s="15"/>
      <c r="E231" s="15"/>
      <c r="F231" s="51">
        <f>ROUND(Tabla2[[#This Row],[Área ocupada (m²)]]/20*1.4,2)</f>
        <v>0.44</v>
      </c>
      <c r="G231" s="46">
        <v>6.24</v>
      </c>
      <c r="H231" s="46">
        <v>6.24</v>
      </c>
      <c r="I231" s="51">
        <f>ROUND(Tabla2[[#This Row],[Área techada (m²)]]*0.15,2)</f>
        <v>0.94</v>
      </c>
      <c r="J231" s="47" t="s">
        <v>30</v>
      </c>
      <c r="K231" s="48">
        <v>5500</v>
      </c>
      <c r="L231" s="51">
        <f>ROUND(Tabla2[[#This Row],[Área ocupada (m²)3]]/20*1.4,2)</f>
        <v>0.44</v>
      </c>
      <c r="M231" s="37">
        <f>ROUND(Tabla2[[#This Row],[Área ocupada (m²)]],2)</f>
        <v>6.24</v>
      </c>
      <c r="N231" s="37">
        <f>ROUND(Tabla2[[#This Row],[Área techada (m²)]],2)</f>
        <v>6.24</v>
      </c>
      <c r="O231" s="52">
        <f>ROUND(Tabla2[[#This Row],[Área techada (m²)4]]*0.15,2)</f>
        <v>0.94</v>
      </c>
      <c r="P231" s="52">
        <f>ROUND(Tabla2[[#This Row],[Área del terreno (m²)2]]*[1]DATA!$A$2,-2)</f>
        <v>300</v>
      </c>
      <c r="Q231" s="38" t="e">
        <f>+Tabla2[[#This Row],[Valor Comercial (US$)]]-Tabla2[[#This Row],[Valor del terreno (US$)]]</f>
        <v>#REF!</v>
      </c>
      <c r="R2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1" s="53" t="e">
        <f>ROUND(Tabla2[[#This Row],[Valor Comercial (US$)]]*0.8,-2)</f>
        <v>#REF!</v>
      </c>
      <c r="T231" s="53">
        <f>IF($H$6=$G$5,R231,ROUND(Tabla2[[#This Row],[Área techada (m²)4]]*[1]DATA!$B$2*1.15,-2))</f>
        <v>3200</v>
      </c>
      <c r="U231" s="6">
        <f t="shared" si="3"/>
        <v>3.5</v>
      </c>
      <c r="V231" s="39">
        <f>ROUND(Tabla2[[#This Row],[Valor del terreno (US$)]]*Tabla2[[#This Row],[Tipo de Cambio]],-2)</f>
        <v>1100</v>
      </c>
      <c r="W231" s="39" t="e">
        <f>Tabla2[[#This Row],[Valor Comercial (S/.)]]-Tabla2[[#This Row],[Valor del terreno (S/.)]]</f>
        <v>#REF!</v>
      </c>
      <c r="X231" s="39" t="e">
        <f>ROUND(Tabla2[[#This Row],[Valor Comercial (US$)]]*Tabla2[[#This Row],[Tipo de Cambio]],-2)</f>
        <v>#REF!</v>
      </c>
      <c r="Y231" s="39" t="e">
        <f>ROUND(Tabla2[[#This Row],[Valor Realización (US$)]]*Tabla2[[#This Row],[Tipo de Cambio]],-2)</f>
        <v>#REF!</v>
      </c>
      <c r="Z231" s="39">
        <f>+ROUND(Tabla2[[#This Row],[Importe Asegurable (US$)]]*Tabla2[[#This Row],[Tipo de Cambio]],-2)</f>
        <v>11200</v>
      </c>
      <c r="AA231" s="40"/>
      <c r="AB231" s="2" t="e">
        <f>+Tabla2[[#This Row],[Valor Comercial (US$)]]/Tabla2[[#This Row],[Área techada (m²)4]]</f>
        <v>#REF!</v>
      </c>
      <c r="AC2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1" s="61" t="s">
        <v>47</v>
      </c>
      <c r="AE231" s="54">
        <f>IF(Tabla2[[#This Row],[Moneda]]="Soles",Tabla2[[#This Row],[Valor de Venta]]/Tabla2[[#This Row],[Área techada (m²)]]/Tabla2[[#This Row],[Tipo de Cambio]],Tabla2[[#This Row],[Valor de Venta]]/Tabla2[[#This Row],[Área techada (m²)]])</f>
        <v>251.83150183150181</v>
      </c>
      <c r="AF231" s="43" t="e">
        <f>_xlfn.XLOOKUP(Tabla2[[#This Row],[VISTA]],[1]!Table1[Clase],[1]!Table1[VUE (USD)],0,0,1)</f>
        <v>#REF!</v>
      </c>
      <c r="AG231" s="55" t="e">
        <f>+Tabla2[[#This Row],[Valor Comercial (S/.)]]/Tabla2[[#This Row],[Valor de Venta]]-1</f>
        <v>#REF!</v>
      </c>
    </row>
    <row r="232" spans="1:33" s="1" customFormat="1" ht="15" customHeight="1" x14ac:dyDescent="0.25">
      <c r="A232" s="60" t="s">
        <v>49</v>
      </c>
      <c r="B232" s="14" t="s">
        <v>54</v>
      </c>
      <c r="C232" s="11">
        <v>-2</v>
      </c>
      <c r="D232" s="15"/>
      <c r="E232" s="15"/>
      <c r="F232" s="51">
        <f>ROUND(Tabla2[[#This Row],[Área ocupada (m²)]]/20*1.4,2)</f>
        <v>0.22</v>
      </c>
      <c r="G232" s="46">
        <v>3.21</v>
      </c>
      <c r="H232" s="46">
        <v>3.21</v>
      </c>
      <c r="I232" s="51">
        <f>ROUND(Tabla2[[#This Row],[Área techada (m²)]]*0.15,2)</f>
        <v>0.48</v>
      </c>
      <c r="J232" s="47" t="s">
        <v>30</v>
      </c>
      <c r="K232" s="48">
        <v>5000</v>
      </c>
      <c r="L232" s="51">
        <f>ROUND(Tabla2[[#This Row],[Área ocupada (m²)3]]/20*1.4,2)</f>
        <v>0.22</v>
      </c>
      <c r="M232" s="37">
        <f>ROUND(Tabla2[[#This Row],[Área ocupada (m²)]],2)</f>
        <v>3.21</v>
      </c>
      <c r="N232" s="37">
        <f>ROUND(Tabla2[[#This Row],[Área techada (m²)]],2)</f>
        <v>3.21</v>
      </c>
      <c r="O232" s="52">
        <f>ROUND(Tabla2[[#This Row],[Área techada (m²)4]]*0.15,2)</f>
        <v>0.48</v>
      </c>
      <c r="P232" s="52">
        <f>ROUND(Tabla2[[#This Row],[Área del terreno (m²)2]]*[1]DATA!$A$2,-2)</f>
        <v>200</v>
      </c>
      <c r="Q232" s="38" t="e">
        <f>+Tabla2[[#This Row],[Valor Comercial (US$)]]-Tabla2[[#This Row],[Valor del terreno (US$)]]</f>
        <v>#REF!</v>
      </c>
      <c r="R2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2" s="53" t="e">
        <f>ROUND(Tabla2[[#This Row],[Valor Comercial (US$)]]*0.8,-2)</f>
        <v>#REF!</v>
      </c>
      <c r="T232" s="53">
        <f>IF($H$6=$G$5,R232,ROUND(Tabla2[[#This Row],[Área techada (m²)4]]*[1]DATA!$B$2*1.15,-2))</f>
        <v>1700</v>
      </c>
      <c r="U232" s="6">
        <f t="shared" si="3"/>
        <v>3.5</v>
      </c>
      <c r="V232" s="39">
        <f>ROUND(Tabla2[[#This Row],[Valor del terreno (US$)]]*Tabla2[[#This Row],[Tipo de Cambio]],-2)</f>
        <v>700</v>
      </c>
      <c r="W232" s="39" t="e">
        <f>Tabla2[[#This Row],[Valor Comercial (S/.)]]-Tabla2[[#This Row],[Valor del terreno (S/.)]]</f>
        <v>#REF!</v>
      </c>
      <c r="X232" s="39" t="e">
        <f>ROUND(Tabla2[[#This Row],[Valor Comercial (US$)]]*Tabla2[[#This Row],[Tipo de Cambio]],-2)</f>
        <v>#REF!</v>
      </c>
      <c r="Y232" s="39" t="e">
        <f>ROUND(Tabla2[[#This Row],[Valor Realización (US$)]]*Tabla2[[#This Row],[Tipo de Cambio]],-2)</f>
        <v>#REF!</v>
      </c>
      <c r="Z232" s="39">
        <f>+ROUND(Tabla2[[#This Row],[Importe Asegurable (US$)]]*Tabla2[[#This Row],[Tipo de Cambio]],-2)</f>
        <v>6000</v>
      </c>
      <c r="AA232" s="40"/>
      <c r="AB232" s="2" t="e">
        <f>+Tabla2[[#This Row],[Valor Comercial (US$)]]/Tabla2[[#This Row],[Área techada (m²)4]]</f>
        <v>#REF!</v>
      </c>
      <c r="AC2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2" s="61" t="s">
        <v>47</v>
      </c>
      <c r="AE232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2" s="43" t="e">
        <f>_xlfn.XLOOKUP(Tabla2[[#This Row],[VISTA]],[1]!Table1[Clase],[1]!Table1[VUE (USD)],0,0,1)</f>
        <v>#REF!</v>
      </c>
      <c r="AG232" s="55" t="e">
        <f>+Tabla2[[#This Row],[Valor Comercial (S/.)]]/Tabla2[[#This Row],[Valor de Venta]]-1</f>
        <v>#REF!</v>
      </c>
    </row>
    <row r="233" spans="1:33" s="1" customFormat="1" ht="15" customHeight="1" x14ac:dyDescent="0.25">
      <c r="A233" s="60" t="s">
        <v>49</v>
      </c>
      <c r="B233" s="14" t="s">
        <v>53</v>
      </c>
      <c r="C233" s="11">
        <v>-2</v>
      </c>
      <c r="D233" s="15"/>
      <c r="E233" s="15"/>
      <c r="F233" s="51">
        <f>ROUND(Tabla2[[#This Row],[Área ocupada (m²)]]/20*1.4,2)</f>
        <v>0.22</v>
      </c>
      <c r="G233" s="46">
        <v>3.21</v>
      </c>
      <c r="H233" s="46">
        <v>3.21</v>
      </c>
      <c r="I233" s="51">
        <f>ROUND(Tabla2[[#This Row],[Área techada (m²)]]*0.15,2)</f>
        <v>0.48</v>
      </c>
      <c r="J233" s="47" t="s">
        <v>30</v>
      </c>
      <c r="K233" s="48">
        <v>5000</v>
      </c>
      <c r="L233" s="51">
        <f>ROUND(Tabla2[[#This Row],[Área ocupada (m²)3]]/20*1.4,2)</f>
        <v>0.22</v>
      </c>
      <c r="M233" s="37">
        <f>ROUND(Tabla2[[#This Row],[Área ocupada (m²)]],2)</f>
        <v>3.21</v>
      </c>
      <c r="N233" s="37">
        <f>ROUND(Tabla2[[#This Row],[Área techada (m²)]],2)</f>
        <v>3.21</v>
      </c>
      <c r="O233" s="52">
        <f>ROUND(Tabla2[[#This Row],[Área techada (m²)4]]*0.15,2)</f>
        <v>0.48</v>
      </c>
      <c r="P233" s="52">
        <f>ROUND(Tabla2[[#This Row],[Área del terreno (m²)2]]*[1]DATA!$A$2,-2)</f>
        <v>200</v>
      </c>
      <c r="Q233" s="38" t="e">
        <f>+Tabla2[[#This Row],[Valor Comercial (US$)]]-Tabla2[[#This Row],[Valor del terreno (US$)]]</f>
        <v>#REF!</v>
      </c>
      <c r="R2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3" s="53" t="e">
        <f>ROUND(Tabla2[[#This Row],[Valor Comercial (US$)]]*0.8,-2)</f>
        <v>#REF!</v>
      </c>
      <c r="T233" s="53">
        <f>IF($H$6=$G$5,R233,ROUND(Tabla2[[#This Row],[Área techada (m²)4]]*[1]DATA!$B$2*1.15,-2))</f>
        <v>1700</v>
      </c>
      <c r="U233" s="6">
        <f t="shared" si="3"/>
        <v>3.5</v>
      </c>
      <c r="V233" s="39">
        <f>ROUND(Tabla2[[#This Row],[Valor del terreno (US$)]]*Tabla2[[#This Row],[Tipo de Cambio]],-2)</f>
        <v>700</v>
      </c>
      <c r="W233" s="39" t="e">
        <f>Tabla2[[#This Row],[Valor Comercial (S/.)]]-Tabla2[[#This Row],[Valor del terreno (S/.)]]</f>
        <v>#REF!</v>
      </c>
      <c r="X233" s="39" t="e">
        <f>ROUND(Tabla2[[#This Row],[Valor Comercial (US$)]]*Tabla2[[#This Row],[Tipo de Cambio]],-2)</f>
        <v>#REF!</v>
      </c>
      <c r="Y233" s="39" t="e">
        <f>ROUND(Tabla2[[#This Row],[Valor Realización (US$)]]*Tabla2[[#This Row],[Tipo de Cambio]],-2)</f>
        <v>#REF!</v>
      </c>
      <c r="Z233" s="39">
        <f>+ROUND(Tabla2[[#This Row],[Importe Asegurable (US$)]]*Tabla2[[#This Row],[Tipo de Cambio]],-2)</f>
        <v>6000</v>
      </c>
      <c r="AA233" s="40"/>
      <c r="AB233" s="2" t="e">
        <f>+Tabla2[[#This Row],[Valor Comercial (US$)]]/Tabla2[[#This Row],[Área techada (m²)4]]</f>
        <v>#REF!</v>
      </c>
      <c r="AC2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3" s="61" t="s">
        <v>47</v>
      </c>
      <c r="AE233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3" s="43" t="e">
        <f>_xlfn.XLOOKUP(Tabla2[[#This Row],[VISTA]],[1]!Table1[Clase],[1]!Table1[VUE (USD)],0,0,1)</f>
        <v>#REF!</v>
      </c>
      <c r="AG233" s="55" t="e">
        <f>+Tabla2[[#This Row],[Valor Comercial (S/.)]]/Tabla2[[#This Row],[Valor de Venta]]-1</f>
        <v>#REF!</v>
      </c>
    </row>
    <row r="234" spans="1:33" s="1" customFormat="1" ht="15" customHeight="1" x14ac:dyDescent="0.25">
      <c r="A234" s="60" t="s">
        <v>49</v>
      </c>
      <c r="B234" s="14" t="s">
        <v>52</v>
      </c>
      <c r="C234" s="11">
        <v>-2</v>
      </c>
      <c r="D234" s="15"/>
      <c r="E234" s="15"/>
      <c r="F234" s="51">
        <f>ROUND(Tabla2[[#This Row],[Área ocupada (m²)]]/20*1.4,2)</f>
        <v>0.32</v>
      </c>
      <c r="G234" s="46">
        <v>4.58</v>
      </c>
      <c r="H234" s="46">
        <v>4.58</v>
      </c>
      <c r="I234" s="51">
        <f>ROUND(Tabla2[[#This Row],[Área techada (m²)]]*0.15,2)</f>
        <v>0.69</v>
      </c>
      <c r="J234" s="47" t="s">
        <v>30</v>
      </c>
      <c r="K234" s="48">
        <v>5000</v>
      </c>
      <c r="L234" s="51">
        <f>ROUND(Tabla2[[#This Row],[Área ocupada (m²)3]]/20*1.4,2)</f>
        <v>0.32</v>
      </c>
      <c r="M234" s="37">
        <f>ROUND(Tabla2[[#This Row],[Área ocupada (m²)]],2)</f>
        <v>4.58</v>
      </c>
      <c r="N234" s="37">
        <f>ROUND(Tabla2[[#This Row],[Área techada (m²)]],2)</f>
        <v>4.58</v>
      </c>
      <c r="O234" s="52">
        <f>ROUND(Tabla2[[#This Row],[Área techada (m²)4]]*0.15,2)</f>
        <v>0.69</v>
      </c>
      <c r="P234" s="52">
        <f>ROUND(Tabla2[[#This Row],[Área del terreno (m²)2]]*[1]DATA!$A$2,-2)</f>
        <v>200</v>
      </c>
      <c r="Q234" s="38" t="e">
        <f>+Tabla2[[#This Row],[Valor Comercial (US$)]]-Tabla2[[#This Row],[Valor del terreno (US$)]]</f>
        <v>#REF!</v>
      </c>
      <c r="R2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4" s="53" t="e">
        <f>ROUND(Tabla2[[#This Row],[Valor Comercial (US$)]]*0.8,-2)</f>
        <v>#REF!</v>
      </c>
      <c r="T234" s="53">
        <f>IF($H$6=$G$5,R234,ROUND(Tabla2[[#This Row],[Área techada (m²)4]]*[1]DATA!$B$2*1.15,-2))</f>
        <v>2400</v>
      </c>
      <c r="U234" s="6">
        <f t="shared" si="3"/>
        <v>3.5</v>
      </c>
      <c r="V234" s="39">
        <f>ROUND(Tabla2[[#This Row],[Valor del terreno (US$)]]*Tabla2[[#This Row],[Tipo de Cambio]],-2)</f>
        <v>700</v>
      </c>
      <c r="W234" s="39" t="e">
        <f>Tabla2[[#This Row],[Valor Comercial (S/.)]]-Tabla2[[#This Row],[Valor del terreno (S/.)]]</f>
        <v>#REF!</v>
      </c>
      <c r="X234" s="39" t="e">
        <f>ROUND(Tabla2[[#This Row],[Valor Comercial (US$)]]*Tabla2[[#This Row],[Tipo de Cambio]],-2)</f>
        <v>#REF!</v>
      </c>
      <c r="Y234" s="39" t="e">
        <f>ROUND(Tabla2[[#This Row],[Valor Realización (US$)]]*Tabla2[[#This Row],[Tipo de Cambio]],-2)</f>
        <v>#REF!</v>
      </c>
      <c r="Z234" s="39">
        <f>+ROUND(Tabla2[[#This Row],[Importe Asegurable (US$)]]*Tabla2[[#This Row],[Tipo de Cambio]],-2)</f>
        <v>8400</v>
      </c>
      <c r="AA234" s="40"/>
      <c r="AB234" s="2" t="e">
        <f>+Tabla2[[#This Row],[Valor Comercial (US$)]]/Tabla2[[#This Row],[Área techada (m²)4]]</f>
        <v>#REF!</v>
      </c>
      <c r="AC2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4" s="61" t="s">
        <v>47</v>
      </c>
      <c r="AE234" s="54">
        <f>IF(Tabla2[[#This Row],[Moneda]]="Soles",Tabla2[[#This Row],[Valor de Venta]]/Tabla2[[#This Row],[Área techada (m²)]]/Tabla2[[#This Row],[Tipo de Cambio]],Tabla2[[#This Row],[Valor de Venta]]/Tabla2[[#This Row],[Área techada (m²)]])</f>
        <v>311.91515907673113</v>
      </c>
      <c r="AF234" s="43" t="e">
        <f>_xlfn.XLOOKUP(Tabla2[[#This Row],[VISTA]],[1]!Table1[Clase],[1]!Table1[VUE (USD)],0,0,1)</f>
        <v>#REF!</v>
      </c>
      <c r="AG234" s="55" t="e">
        <f>+Tabla2[[#This Row],[Valor Comercial (S/.)]]/Tabla2[[#This Row],[Valor de Venta]]-1</f>
        <v>#REF!</v>
      </c>
    </row>
    <row r="235" spans="1:33" s="1" customFormat="1" ht="15" customHeight="1" x14ac:dyDescent="0.25">
      <c r="A235" s="60" t="s">
        <v>49</v>
      </c>
      <c r="B235" s="14" t="s">
        <v>51</v>
      </c>
      <c r="C235" s="11">
        <v>-3</v>
      </c>
      <c r="D235" s="15"/>
      <c r="E235" s="15"/>
      <c r="F235" s="51">
        <f>ROUND(Tabla2[[#This Row],[Área ocupada (m²)]]/20*1.4,2)</f>
        <v>0.52</v>
      </c>
      <c r="G235" s="46">
        <v>7.37</v>
      </c>
      <c r="H235" s="46">
        <v>7.37</v>
      </c>
      <c r="I235" s="51">
        <f>ROUND(Tabla2[[#This Row],[Área techada (m²)]]*0.15,2)</f>
        <v>1.1100000000000001</v>
      </c>
      <c r="J235" s="47" t="s">
        <v>30</v>
      </c>
      <c r="K235" s="48">
        <v>17000</v>
      </c>
      <c r="L235" s="51">
        <f>ROUND(Tabla2[[#This Row],[Área ocupada (m²)3]]/20*1.4,2)</f>
        <v>0.52</v>
      </c>
      <c r="M235" s="37">
        <f>ROUND(Tabla2[[#This Row],[Área ocupada (m²)]],2)</f>
        <v>7.37</v>
      </c>
      <c r="N235" s="37">
        <f>ROUND(Tabla2[[#This Row],[Área techada (m²)]],2)</f>
        <v>7.37</v>
      </c>
      <c r="O235" s="52">
        <f>ROUND(Tabla2[[#This Row],[Área techada (m²)4]]*0.15,2)</f>
        <v>1.1100000000000001</v>
      </c>
      <c r="P235" s="52">
        <f>ROUND(Tabla2[[#This Row],[Área del terreno (m²)2]]*[1]DATA!$A$2,-2)</f>
        <v>400</v>
      </c>
      <c r="Q235" s="38" t="e">
        <f>+Tabla2[[#This Row],[Valor Comercial (US$)]]-Tabla2[[#This Row],[Valor del terreno (US$)]]</f>
        <v>#REF!</v>
      </c>
      <c r="R2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5" s="53" t="e">
        <f>ROUND(Tabla2[[#This Row],[Valor Comercial (US$)]]*0.8,-2)</f>
        <v>#REF!</v>
      </c>
      <c r="T235" s="53">
        <f>IF($H$6=$G$5,R235,ROUND(Tabla2[[#This Row],[Área techada (m²)4]]*[1]DATA!$B$2*1.15,-2))</f>
        <v>3800</v>
      </c>
      <c r="U235" s="6">
        <f t="shared" si="3"/>
        <v>3.5</v>
      </c>
      <c r="V235" s="39">
        <f>ROUND(Tabla2[[#This Row],[Valor del terreno (US$)]]*Tabla2[[#This Row],[Tipo de Cambio]],-2)</f>
        <v>1400</v>
      </c>
      <c r="W235" s="39" t="e">
        <f>Tabla2[[#This Row],[Valor Comercial (S/.)]]-Tabla2[[#This Row],[Valor del terreno (S/.)]]</f>
        <v>#REF!</v>
      </c>
      <c r="X235" s="39" t="e">
        <f>ROUND(Tabla2[[#This Row],[Valor Comercial (US$)]]*Tabla2[[#This Row],[Tipo de Cambio]],-2)</f>
        <v>#REF!</v>
      </c>
      <c r="Y235" s="39" t="e">
        <f>ROUND(Tabla2[[#This Row],[Valor Realización (US$)]]*Tabla2[[#This Row],[Tipo de Cambio]],-2)</f>
        <v>#REF!</v>
      </c>
      <c r="Z235" s="39">
        <f>+ROUND(Tabla2[[#This Row],[Importe Asegurable (US$)]]*Tabla2[[#This Row],[Tipo de Cambio]],-2)</f>
        <v>13300</v>
      </c>
      <c r="AA235" s="40"/>
      <c r="AB235" s="2" t="e">
        <f>+Tabla2[[#This Row],[Valor Comercial (US$)]]/Tabla2[[#This Row],[Área techada (m²)4]]</f>
        <v>#REF!</v>
      </c>
      <c r="AC2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5" s="61" t="s">
        <v>47</v>
      </c>
      <c r="AE235" s="54">
        <f>IF(Tabla2[[#This Row],[Moneda]]="Soles",Tabla2[[#This Row],[Valor de Venta]]/Tabla2[[#This Row],[Área techada (m²)]]/Tabla2[[#This Row],[Tipo de Cambio]],Tabla2[[#This Row],[Valor de Venta]]/Tabla2[[#This Row],[Área techada (m²)]])</f>
        <v>659.04245008722614</v>
      </c>
      <c r="AF235" s="43" t="e">
        <f>_xlfn.XLOOKUP(Tabla2[[#This Row],[VISTA]],[1]!Table1[Clase],[1]!Table1[VUE (USD)],0,0,1)</f>
        <v>#REF!</v>
      </c>
      <c r="AG235" s="55" t="e">
        <f>+Tabla2[[#This Row],[Valor Comercial (S/.)]]/Tabla2[[#This Row],[Valor de Venta]]-1</f>
        <v>#REF!</v>
      </c>
    </row>
    <row r="236" spans="1:33" s="1" customFormat="1" ht="15" customHeight="1" x14ac:dyDescent="0.25">
      <c r="A236" s="60" t="s">
        <v>49</v>
      </c>
      <c r="B236" s="14" t="s">
        <v>50</v>
      </c>
      <c r="C236" s="11">
        <v>-3</v>
      </c>
      <c r="D236" s="15"/>
      <c r="E236" s="15"/>
      <c r="F236" s="51">
        <f>ROUND(Tabla2[[#This Row],[Área ocupada (m²)]]/20*1.4,2)</f>
        <v>0.44</v>
      </c>
      <c r="G236" s="46">
        <v>6.24</v>
      </c>
      <c r="H236" s="46">
        <v>6.24</v>
      </c>
      <c r="I236" s="51">
        <f>ROUND(Tabla2[[#This Row],[Área techada (m²)]]*0.15,2)</f>
        <v>0.94</v>
      </c>
      <c r="J236" s="47" t="s">
        <v>30</v>
      </c>
      <c r="K236" s="48">
        <v>5000</v>
      </c>
      <c r="L236" s="51">
        <f>ROUND(Tabla2[[#This Row],[Área ocupada (m²)3]]/20*1.4,2)</f>
        <v>0.44</v>
      </c>
      <c r="M236" s="37">
        <f>ROUND(Tabla2[[#This Row],[Área ocupada (m²)]],2)</f>
        <v>6.24</v>
      </c>
      <c r="N236" s="37">
        <f>ROUND(Tabla2[[#This Row],[Área techada (m²)]],2)</f>
        <v>6.24</v>
      </c>
      <c r="O236" s="52">
        <f>ROUND(Tabla2[[#This Row],[Área techada (m²)4]]*0.15,2)</f>
        <v>0.94</v>
      </c>
      <c r="P236" s="52">
        <f>ROUND(Tabla2[[#This Row],[Área del terreno (m²)2]]*[1]DATA!$A$2,-2)</f>
        <v>300</v>
      </c>
      <c r="Q236" s="38" t="e">
        <f>+Tabla2[[#This Row],[Valor Comercial (US$)]]-Tabla2[[#This Row],[Valor del terreno (US$)]]</f>
        <v>#REF!</v>
      </c>
      <c r="R2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6" s="53" t="e">
        <f>ROUND(Tabla2[[#This Row],[Valor Comercial (US$)]]*0.8,-2)</f>
        <v>#REF!</v>
      </c>
      <c r="T236" s="53">
        <f>IF($H$6=$G$5,R236,ROUND(Tabla2[[#This Row],[Área techada (m²)4]]*[1]DATA!$B$2*1.15,-2))</f>
        <v>3200</v>
      </c>
      <c r="U236" s="6">
        <f t="shared" si="3"/>
        <v>3.5</v>
      </c>
      <c r="V236" s="39">
        <f>ROUND(Tabla2[[#This Row],[Valor del terreno (US$)]]*Tabla2[[#This Row],[Tipo de Cambio]],-2)</f>
        <v>1100</v>
      </c>
      <c r="W236" s="39" t="e">
        <f>Tabla2[[#This Row],[Valor Comercial (S/.)]]-Tabla2[[#This Row],[Valor del terreno (S/.)]]</f>
        <v>#REF!</v>
      </c>
      <c r="X236" s="39" t="e">
        <f>ROUND(Tabla2[[#This Row],[Valor Comercial (US$)]]*Tabla2[[#This Row],[Tipo de Cambio]],-2)</f>
        <v>#REF!</v>
      </c>
      <c r="Y236" s="39" t="e">
        <f>ROUND(Tabla2[[#This Row],[Valor Realización (US$)]]*Tabla2[[#This Row],[Tipo de Cambio]],-2)</f>
        <v>#REF!</v>
      </c>
      <c r="Z236" s="39">
        <f>+ROUND(Tabla2[[#This Row],[Importe Asegurable (US$)]]*Tabla2[[#This Row],[Tipo de Cambio]],-2)</f>
        <v>11200</v>
      </c>
      <c r="AA236" s="40"/>
      <c r="AB236" s="2" t="e">
        <f>+Tabla2[[#This Row],[Valor Comercial (US$)]]/Tabla2[[#This Row],[Área techada (m²)4]]</f>
        <v>#REF!</v>
      </c>
      <c r="AC2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6" s="61" t="s">
        <v>47</v>
      </c>
      <c r="AE236" s="54">
        <f>IF(Tabla2[[#This Row],[Moneda]]="Soles",Tabla2[[#This Row],[Valor de Venta]]/Tabla2[[#This Row],[Área techada (m²)]]/Tabla2[[#This Row],[Tipo de Cambio]],Tabla2[[#This Row],[Valor de Venta]]/Tabla2[[#This Row],[Área techada (m²)]])</f>
        <v>228.93772893772893</v>
      </c>
      <c r="AF236" s="43" t="e">
        <f>_xlfn.XLOOKUP(Tabla2[[#This Row],[VISTA]],[1]!Table1[Clase],[1]!Table1[VUE (USD)],0,0,1)</f>
        <v>#REF!</v>
      </c>
      <c r="AG236" s="55" t="e">
        <f>+Tabla2[[#This Row],[Valor Comercial (S/.)]]/Tabla2[[#This Row],[Valor de Venta]]-1</f>
        <v>#REF!</v>
      </c>
    </row>
    <row r="237" spans="1:33" s="1" customFormat="1" ht="15" customHeight="1" x14ac:dyDescent="0.25">
      <c r="A237" s="60" t="s">
        <v>49</v>
      </c>
      <c r="B237" s="14" t="s">
        <v>48</v>
      </c>
      <c r="C237" s="11">
        <v>-3</v>
      </c>
      <c r="D237" s="15"/>
      <c r="E237" s="15"/>
      <c r="F237" s="51">
        <f>ROUND(Tabla2[[#This Row],[Área ocupada (m²)]]/20*1.4,2)</f>
        <v>0.22</v>
      </c>
      <c r="G237" s="46">
        <v>3.21</v>
      </c>
      <c r="H237" s="46">
        <v>3.21</v>
      </c>
      <c r="I237" s="51">
        <f>ROUND(Tabla2[[#This Row],[Área techada (m²)]]*0.15,2)</f>
        <v>0.48</v>
      </c>
      <c r="J237" s="47" t="s">
        <v>30</v>
      </c>
      <c r="K237" s="48">
        <v>5000</v>
      </c>
      <c r="L237" s="51">
        <f>ROUND(Tabla2[[#This Row],[Área ocupada (m²)3]]/20*1.4,2)</f>
        <v>0.22</v>
      </c>
      <c r="M237" s="37">
        <f>ROUND(Tabla2[[#This Row],[Área ocupada (m²)]],2)</f>
        <v>3.21</v>
      </c>
      <c r="N237" s="37">
        <f>ROUND(Tabla2[[#This Row],[Área techada (m²)]],2)</f>
        <v>3.21</v>
      </c>
      <c r="O237" s="52">
        <f>ROUND(Tabla2[[#This Row],[Área techada (m²)4]]*0.15,2)</f>
        <v>0.48</v>
      </c>
      <c r="P237" s="52">
        <f>ROUND(Tabla2[[#This Row],[Área del terreno (m²)2]]*[1]DATA!$A$2,-2)</f>
        <v>200</v>
      </c>
      <c r="Q237" s="38" t="e">
        <f>+Tabla2[[#This Row],[Valor Comercial (US$)]]-Tabla2[[#This Row],[Valor del terreno (US$)]]</f>
        <v>#REF!</v>
      </c>
      <c r="R2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7" s="53" t="e">
        <f>ROUND(Tabla2[[#This Row],[Valor Comercial (US$)]]*0.8,-2)</f>
        <v>#REF!</v>
      </c>
      <c r="T237" s="53">
        <f>IF($H$6=$G$5,R237,ROUND(Tabla2[[#This Row],[Área techada (m²)4]]*[1]DATA!$B$2*1.15,-2))</f>
        <v>1700</v>
      </c>
      <c r="U237" s="6">
        <f t="shared" si="3"/>
        <v>3.5</v>
      </c>
      <c r="V237" s="39">
        <f>ROUND(Tabla2[[#This Row],[Valor del terreno (US$)]]*Tabla2[[#This Row],[Tipo de Cambio]],-2)</f>
        <v>700</v>
      </c>
      <c r="W237" s="39" t="e">
        <f>Tabla2[[#This Row],[Valor Comercial (S/.)]]-Tabla2[[#This Row],[Valor del terreno (S/.)]]</f>
        <v>#REF!</v>
      </c>
      <c r="X237" s="39" t="e">
        <f>ROUND(Tabla2[[#This Row],[Valor Comercial (US$)]]*Tabla2[[#This Row],[Tipo de Cambio]],-2)</f>
        <v>#REF!</v>
      </c>
      <c r="Y237" s="39" t="e">
        <f>ROUND(Tabla2[[#This Row],[Valor Realización (US$)]]*Tabla2[[#This Row],[Tipo de Cambio]],-2)</f>
        <v>#REF!</v>
      </c>
      <c r="Z237" s="39">
        <f>+ROUND(Tabla2[[#This Row],[Importe Asegurable (US$)]]*Tabla2[[#This Row],[Tipo de Cambio]],-2)</f>
        <v>6000</v>
      </c>
      <c r="AA237" s="40"/>
      <c r="AB237" s="2" t="e">
        <f>+Tabla2[[#This Row],[Valor Comercial (US$)]]/Tabla2[[#This Row],[Área techada (m²)4]]</f>
        <v>#REF!</v>
      </c>
      <c r="AC2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7" s="61" t="s">
        <v>47</v>
      </c>
      <c r="AE237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7" s="43" t="e">
        <f>_xlfn.XLOOKUP(Tabla2[[#This Row],[VISTA]],[1]!Table1[Clase],[1]!Table1[VUE (USD)],0,0,1)</f>
        <v>#REF!</v>
      </c>
      <c r="AG237" s="55" t="e">
        <f>+Tabla2[[#This Row],[Valor Comercial (S/.)]]/Tabla2[[#This Row],[Valor de Venta]]-1</f>
        <v>#REF!</v>
      </c>
    </row>
    <row r="238" spans="1:33" ht="12.75" x14ac:dyDescent="0.2">
      <c r="F238" s="62">
        <v>750</v>
      </c>
      <c r="G238" s="5">
        <f>SUM(G12:G237)</f>
        <v>11104.429999999998</v>
      </c>
      <c r="H238" s="5">
        <f>SUM(H12:H237)</f>
        <v>11104.429999999998</v>
      </c>
      <c r="I238" s="5">
        <f>SUM(I12:I237)</f>
        <v>1666.0799999999983</v>
      </c>
      <c r="J238" s="29"/>
      <c r="K238" s="22"/>
      <c r="L238" s="28"/>
    </row>
    <row r="239" spans="1:33" ht="15" customHeight="1" x14ac:dyDescent="0.2">
      <c r="F239" s="22"/>
      <c r="G239" s="22"/>
      <c r="H239" s="22"/>
      <c r="I239" s="22"/>
      <c r="J239" s="23"/>
    </row>
    <row r="240" spans="1:33" ht="15" customHeight="1" x14ac:dyDescent="0.2">
      <c r="B240" s="24" t="s">
        <v>19</v>
      </c>
      <c r="C240" s="25"/>
      <c r="D240" s="79" t="s">
        <v>20</v>
      </c>
      <c r="E240" s="80"/>
      <c r="G240" s="21"/>
      <c r="AB240" s="16"/>
    </row>
    <row r="241" spans="1:28" ht="12.75" x14ac:dyDescent="0.2">
      <c r="C241" s="26"/>
      <c r="D241" s="82" t="s">
        <v>21</v>
      </c>
      <c r="E241" s="83"/>
      <c r="AB241" s="16"/>
    </row>
    <row r="242" spans="1:28" ht="15" customHeight="1" x14ac:dyDescent="0.2">
      <c r="AB242" s="16"/>
    </row>
    <row r="243" spans="1:28" ht="15" customHeight="1" x14ac:dyDescent="0.2">
      <c r="A243" s="70" t="s">
        <v>22</v>
      </c>
      <c r="B243" s="70"/>
      <c r="C243" s="71" t="s">
        <v>84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16"/>
    </row>
    <row r="244" spans="1:28" ht="15" customHeight="1" x14ac:dyDescent="0.2">
      <c r="C244" s="71" t="s">
        <v>23</v>
      </c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16"/>
    </row>
    <row r="245" spans="1:28" ht="15" customHeight="1" x14ac:dyDescent="0.2">
      <c r="C245" s="72" t="s">
        <v>24</v>
      </c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16"/>
    </row>
    <row r="246" spans="1:28" ht="15" customHeight="1" x14ac:dyDescent="0.2">
      <c r="C246" s="71" t="s">
        <v>25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16"/>
    </row>
    <row r="247" spans="1:28" ht="15" customHeight="1" x14ac:dyDescent="0.2">
      <c r="C247" s="71" t="s">
        <v>26</v>
      </c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16"/>
    </row>
  </sheetData>
  <sortState xmlns:xlrd2="http://schemas.microsoft.com/office/spreadsheetml/2017/richdata2" ref="A237:AD268">
    <sortCondition ref="E239:E268"/>
    <sortCondition ref="A239:A268"/>
    <sortCondition ref="D239:D268"/>
  </sortState>
  <mergeCells count="16">
    <mergeCell ref="C246:AA246"/>
    <mergeCell ref="C247:AA247"/>
    <mergeCell ref="D3:E3"/>
    <mergeCell ref="D4:E4"/>
    <mergeCell ref="D5:E5"/>
    <mergeCell ref="D6:E6"/>
    <mergeCell ref="D241:E241"/>
    <mergeCell ref="D7:E7"/>
    <mergeCell ref="D8:E8"/>
    <mergeCell ref="A243:B243"/>
    <mergeCell ref="C243:AA243"/>
    <mergeCell ref="C244:AA244"/>
    <mergeCell ref="C245:AA245"/>
    <mergeCell ref="L10:AA10"/>
    <mergeCell ref="F10:K10"/>
    <mergeCell ref="D240:E240"/>
  </mergeCells>
  <conditionalFormatting sqref="B12:I12 K12:AG12">
    <cfRule type="expression" dxfId="47" priority="13">
      <formula>$AA12&lt;&gt;""</formula>
    </cfRule>
  </conditionalFormatting>
  <conditionalFormatting sqref="K13:S237 B13:I237 AG13:AG237 U13:AE237">
    <cfRule type="expression" dxfId="46" priority="12">
      <formula>$AA13&lt;&gt;""</formula>
    </cfRule>
  </conditionalFormatting>
  <conditionalFormatting sqref="J12">
    <cfRule type="expression" dxfId="45" priority="11">
      <formula>#REF!&gt;0</formula>
    </cfRule>
  </conditionalFormatting>
  <conditionalFormatting sqref="J13:J237">
    <cfRule type="expression" dxfId="44" priority="10">
      <formula>#REF!&gt;0</formula>
    </cfRule>
  </conditionalFormatting>
  <conditionalFormatting sqref="A12">
    <cfRule type="expression" dxfId="43" priority="9">
      <formula>#REF!&gt;0</formula>
    </cfRule>
  </conditionalFormatting>
  <conditionalFormatting sqref="A13:A171">
    <cfRule type="expression" dxfId="42" priority="8">
      <formula>#REF!&gt;0</formula>
    </cfRule>
  </conditionalFormatting>
  <conditionalFormatting sqref="A172">
    <cfRule type="expression" dxfId="41" priority="7">
      <formula>#REF!&gt;0</formula>
    </cfRule>
  </conditionalFormatting>
  <conditionalFormatting sqref="A173:A225">
    <cfRule type="expression" dxfId="40" priority="6">
      <formula>#REF!&gt;0</formula>
    </cfRule>
  </conditionalFormatting>
  <conditionalFormatting sqref="A226">
    <cfRule type="expression" dxfId="39" priority="5">
      <formula>#REF!&gt;0</formula>
    </cfRule>
  </conditionalFormatting>
  <conditionalFormatting sqref="A227:A237">
    <cfRule type="expression" dxfId="38" priority="4">
      <formula>#REF!&gt;0</formula>
    </cfRule>
  </conditionalFormatting>
  <conditionalFormatting sqref="AF13:AF237">
    <cfRule type="expression" dxfId="37" priority="2">
      <formula>$AA13&lt;&gt;""</formula>
    </cfRule>
  </conditionalFormatting>
  <conditionalFormatting sqref="T13:T237">
    <cfRule type="expression" dxfId="36" priority="1">
      <formula>$AA13&lt;&gt;""</formula>
    </cfRule>
  </conditionalFormatting>
  <dataValidations count="3">
    <dataValidation type="list" allowBlank="1" showInputMessage="1" showErrorMessage="1" sqref="AD12:AD237" xr:uid="{00000000-0002-0000-0000-000000000000}">
      <formula1>Vista</formula1>
    </dataValidation>
    <dataValidation type="list" allowBlank="1" showInputMessage="1" showErrorMessage="1" sqref="J12:J237" xr:uid="{3BC4B2A4-CCF3-408E-9E07-9F7FF9112236}">
      <formula1>"Soles,Dólares"</formula1>
    </dataValidation>
    <dataValidation type="list" allowBlank="1" showInputMessage="1" showErrorMessage="1" sqref="A12:A237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4" fitToHeight="0" orientation="landscape" r:id="rId1"/>
  <headerFooter scaleWithDoc="0">
    <oddHeader>&amp;L&amp;G&amp;R&amp;"Verdana,Normal"&amp;8&amp;K00-024Página &amp;P de &amp;N</oddHead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2020-10-27T19:42:14Z</dcterms:modified>
</cp:coreProperties>
</file>