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20" windowWidth="12000" windowHeight="5505" firstSheet="2" activeTab="2"/>
  </x:bookViews>
  <x:sheets>
    <x:sheet name="Plantcare income" sheetId="25" state="hidden" r:id="rId1"/>
    <x:sheet name="IT income" sheetId="26" state="hidden" r:id="rId2"/>
    <x:sheet name="RDI" sheetId="9" r:id="rId3"/>
    <x:sheet name="lo km bcea leave" sheetId="51" state="hidden" r:id="rId4"/>
    <x:sheet name="Oortyd" sheetId="50" state="hidden" r:id="rId5"/>
    <x:sheet name="Salarisse soos April na verhogi" sheetId="39" state="hidden" r:id="rId6"/>
    <x:sheet name="Salarisse ou begroting" sheetId="12" state="hidden" r:id="rId7"/>
    <x:sheet name="STASIE BEGROTING" sheetId="43" state="hidden" r:id="rId8"/>
  </x:sheets>
  <x:externalReferences>
    <x:externalReference r:id="rId9"/>
  </x:externalReferences>
  <x:definedNames>
    <x:definedName name="_xlnm.Print_Area" localSheetId="1">'IT income'!$A$1:$AB$178</x:definedName>
    <x:definedName name="_xlnm.Print_Area" localSheetId="0">'Plantcare income'!$A$10:$C$19</x:definedName>
    <x:definedName name="_xlnm.Print_Area" localSheetId="2">RDI!$A$1:$AC$126</x:definedName>
    <x:definedName name="_xlnm.Print_Area" localSheetId="6">'Salarisse ou begroting'!$A$1:$Q$169</x:definedName>
    <x:definedName name="_xlnm.Print_Area" localSheetId="7">'STASIE BEGROTING'!$A$37:$AY$71</x:definedName>
    <x:definedName name="_xlnm.Print_Titles" localSheetId="0">'Plantcare income'!$A:$A,'Plantcare income'!$1:$2</x:definedName>
    <x:definedName name="Retained_Earnings">[1]Date_Lup!$D$24</x:definedName>
    <x:definedName name="SelectedDate">#REF!</x:definedName>
  </x:definedNames>
  <x:calcPr calcId="145621" calcOnSave="0"/>
</x:workbook>
</file>

<file path=xl/calcChain.xml><?xml version="1.0" encoding="utf-8"?>
<calcChain xmlns="http://schemas.openxmlformats.org/spreadsheetml/2006/main">
  <c r="AC123" i="9" l="1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10" i="9"/>
  <c r="AC109" i="9"/>
  <c r="AC108" i="9"/>
  <c r="AC107" i="9"/>
  <c r="AC106" i="9"/>
  <c r="AC105" i="9"/>
  <c r="AC104" i="9"/>
  <c r="AC103" i="9"/>
  <c r="AC102" i="9"/>
  <c r="AC101" i="9"/>
  <c r="AC100" i="9"/>
  <c r="AC99" i="9"/>
  <c r="AC98" i="9"/>
  <c r="AC97" i="9"/>
  <c r="AC96" i="9"/>
  <c r="AC95" i="9"/>
  <c r="AC94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4" i="9"/>
  <c r="AC13" i="9"/>
  <c r="AC12" i="9"/>
  <c r="AC11" i="9"/>
  <c r="AC10" i="9"/>
  <c r="AC9" i="9"/>
  <c r="AC5" i="9"/>
  <c r="AC4" i="9"/>
  <c r="AC155" i="9" l="1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8" i="9"/>
  <c r="AC127" i="9"/>
  <c r="AC126" i="9"/>
  <c r="AC125" i="9"/>
  <c r="AC8" i="9"/>
  <c r="AC6" i="9"/>
  <c r="C99" i="9" l="1"/>
  <c r="AF15" i="9" l="1"/>
  <c r="AF81" i="9" l="1"/>
  <c r="C4" i="25" l="1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E4" i="25"/>
  <c r="C5" i="25"/>
  <c r="D5" i="25"/>
  <c r="E5" i="25"/>
  <c r="F5" i="25"/>
  <c r="G5" i="25"/>
  <c r="H5" i="25"/>
  <c r="I5" i="25"/>
  <c r="J5" i="25"/>
  <c r="AB5" i="25" s="1"/>
  <c r="K5" i="25"/>
  <c r="L5" i="25"/>
  <c r="M5" i="25"/>
  <c r="N5" i="25"/>
  <c r="N6" i="25" s="1"/>
  <c r="O5" i="25"/>
  <c r="P5" i="25"/>
  <c r="Q5" i="25"/>
  <c r="R5" i="25"/>
  <c r="R6" i="25" s="1"/>
  <c r="S5" i="25"/>
  <c r="T5" i="25"/>
  <c r="U5" i="25"/>
  <c r="V5" i="25"/>
  <c r="V6" i="25" s="1"/>
  <c r="W5" i="25"/>
  <c r="X5" i="25"/>
  <c r="Y5" i="25"/>
  <c r="Z5" i="25"/>
  <c r="Z6" i="25" s="1"/>
  <c r="AE5" i="25"/>
  <c r="C6" i="25"/>
  <c r="D6" i="25"/>
  <c r="E6" i="25"/>
  <c r="F6" i="25"/>
  <c r="G6" i="25"/>
  <c r="H6" i="25"/>
  <c r="I6" i="25"/>
  <c r="K6" i="25"/>
  <c r="L6" i="25"/>
  <c r="M6" i="25"/>
  <c r="O6" i="25"/>
  <c r="P6" i="25"/>
  <c r="Q6" i="25"/>
  <c r="S6" i="25"/>
  <c r="T6" i="25"/>
  <c r="U6" i="25"/>
  <c r="W6" i="25"/>
  <c r="X6" i="25"/>
  <c r="Y6" i="25"/>
  <c r="AE6" i="25"/>
  <c r="AC39" i="25"/>
  <c r="AA40" i="25"/>
  <c r="AB40" i="25"/>
  <c r="AC40" i="25"/>
  <c r="AA41" i="25"/>
  <c r="AB41" i="25"/>
  <c r="AC41" i="25"/>
  <c r="AA43" i="25"/>
  <c r="AB43" i="25"/>
  <c r="AC43" i="25"/>
  <c r="AA44" i="25"/>
  <c r="AB44" i="25"/>
  <c r="AC44" i="25"/>
  <c r="AA45" i="25"/>
  <c r="AB45" i="25"/>
  <c r="AC45" i="25"/>
  <c r="AA46" i="25"/>
  <c r="AB46" i="25"/>
  <c r="AC46" i="25"/>
  <c r="AA47" i="25"/>
  <c r="AB47" i="25"/>
  <c r="AC47" i="25"/>
  <c r="AA48" i="25"/>
  <c r="AB48" i="25"/>
  <c r="AC48" i="25"/>
  <c r="AA49" i="25"/>
  <c r="AB49" i="25"/>
  <c r="AC49" i="25"/>
  <c r="AA50" i="25"/>
  <c r="AB50" i="25"/>
  <c r="AC50" i="25"/>
  <c r="AA51" i="25"/>
  <c r="AB51" i="25"/>
  <c r="AC51" i="25"/>
  <c r="AA52" i="25"/>
  <c r="AB52" i="25"/>
  <c r="AC52" i="25"/>
  <c r="AA53" i="25"/>
  <c r="AB53" i="25"/>
  <c r="AC53" i="25"/>
  <c r="AA54" i="25"/>
  <c r="AB54" i="25"/>
  <c r="AC54" i="25"/>
  <c r="AA55" i="25"/>
  <c r="AB55" i="25"/>
  <c r="AC55" i="25"/>
  <c r="AA56" i="25"/>
  <c r="AB56" i="25"/>
  <c r="AC56" i="25"/>
  <c r="AA57" i="25"/>
  <c r="AB57" i="25"/>
  <c r="AC57" i="25"/>
  <c r="AA58" i="25"/>
  <c r="AB58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B4" i="25" l="1"/>
  <c r="AB6" i="25" s="1"/>
  <c r="J6" i="25"/>
  <c r="AC5" i="25"/>
  <c r="AA4" i="25"/>
  <c r="AC4" i="25"/>
  <c r="AA5" i="25"/>
  <c r="AC6" i="25" l="1"/>
  <c r="AA6" i="25"/>
  <c r="AC88" i="26" l="1"/>
  <c r="AB88" i="26"/>
  <c r="AA88" i="26"/>
  <c r="AC87" i="26"/>
  <c r="AB87" i="26"/>
  <c r="AA87" i="26"/>
  <c r="AC86" i="26"/>
  <c r="AB86" i="26"/>
  <c r="AA86" i="26"/>
  <c r="AC85" i="26"/>
  <c r="AB85" i="26"/>
  <c r="AA85" i="26"/>
  <c r="AC84" i="26"/>
  <c r="AB84" i="26"/>
  <c r="AA84" i="26"/>
  <c r="AC83" i="26"/>
  <c r="AB83" i="26"/>
  <c r="AA83" i="26"/>
  <c r="AC82" i="26"/>
  <c r="AB82" i="26"/>
  <c r="AA82" i="26"/>
  <c r="AC81" i="26"/>
  <c r="AB81" i="26"/>
  <c r="AA81" i="26"/>
  <c r="AC80" i="26"/>
  <c r="AB80" i="26"/>
  <c r="AA80" i="26"/>
  <c r="AC79" i="26"/>
  <c r="AB79" i="26"/>
  <c r="AA79" i="26"/>
  <c r="AC78" i="26"/>
  <c r="AB78" i="26"/>
  <c r="AA78" i="26"/>
  <c r="AC77" i="26"/>
  <c r="AB77" i="26"/>
  <c r="AA77" i="26"/>
  <c r="AC76" i="26"/>
  <c r="AB76" i="26"/>
  <c r="AA76" i="26"/>
  <c r="AC75" i="26"/>
  <c r="AB75" i="26"/>
  <c r="AA75" i="26"/>
  <c r="AC74" i="26"/>
  <c r="AB74" i="26"/>
  <c r="AA74" i="26"/>
  <c r="AC73" i="26"/>
  <c r="AB73" i="26"/>
  <c r="AA73" i="26"/>
  <c r="AC72" i="26"/>
  <c r="AB72" i="26"/>
  <c r="AA72" i="26"/>
  <c r="AC71" i="26"/>
  <c r="AB71" i="26"/>
  <c r="AA71" i="26"/>
  <c r="AC70" i="26"/>
  <c r="AB70" i="26"/>
  <c r="AA70" i="26"/>
  <c r="AC69" i="26"/>
  <c r="AB69" i="26"/>
  <c r="AA69" i="26"/>
  <c r="AC68" i="26"/>
  <c r="AB68" i="26"/>
  <c r="AA68" i="26"/>
  <c r="AC67" i="26"/>
  <c r="AB67" i="26"/>
  <c r="AA67" i="26"/>
  <c r="AC66" i="26"/>
  <c r="AB66" i="26"/>
  <c r="AA66" i="26"/>
  <c r="AC65" i="26"/>
  <c r="AB65" i="26"/>
  <c r="AA65" i="26"/>
  <c r="AC64" i="26"/>
  <c r="AB64" i="26"/>
  <c r="AA64" i="26"/>
  <c r="AC63" i="26"/>
  <c r="AB63" i="26"/>
  <c r="AA63" i="26"/>
  <c r="AC62" i="26"/>
  <c r="AB62" i="26"/>
  <c r="AA62" i="26"/>
  <c r="AC61" i="26"/>
  <c r="AB61" i="26"/>
  <c r="AA61" i="26"/>
  <c r="AC60" i="26"/>
  <c r="AB60" i="26"/>
  <c r="AA60" i="26"/>
  <c r="AC59" i="26"/>
  <c r="AB59" i="26"/>
  <c r="AA59" i="26"/>
  <c r="AC58" i="26"/>
  <c r="AB58" i="26"/>
  <c r="AA58" i="26"/>
  <c r="AC57" i="26"/>
  <c r="AB57" i="26"/>
  <c r="AA57" i="26"/>
  <c r="AC56" i="26"/>
  <c r="AB56" i="26"/>
  <c r="AA56" i="26"/>
  <c r="AC55" i="26"/>
  <c r="AB55" i="26"/>
  <c r="AA55" i="26"/>
  <c r="AC54" i="26"/>
  <c r="AB54" i="26"/>
  <c r="AA54" i="26"/>
  <c r="AC53" i="26"/>
  <c r="AB53" i="26"/>
  <c r="AA53" i="26"/>
  <c r="AC52" i="26"/>
  <c r="AB52" i="26"/>
  <c r="AA52" i="26"/>
  <c r="AC51" i="26"/>
  <c r="AB51" i="26"/>
  <c r="AA51" i="26"/>
  <c r="AC50" i="26"/>
  <c r="AB50" i="26"/>
  <c r="AA50" i="26"/>
  <c r="AC49" i="26"/>
  <c r="AB49" i="26"/>
  <c r="AA49" i="26"/>
  <c r="AC48" i="26"/>
  <c r="AB48" i="26"/>
  <c r="AA48" i="26"/>
  <c r="AC47" i="26"/>
  <c r="AB47" i="26"/>
  <c r="AA47" i="26"/>
  <c r="AC46" i="26"/>
  <c r="AB46" i="26"/>
  <c r="AA46" i="26"/>
  <c r="AC45" i="26"/>
  <c r="AB45" i="26"/>
  <c r="AA45" i="26"/>
  <c r="AC44" i="26"/>
  <c r="AB44" i="26"/>
  <c r="AA44" i="26"/>
  <c r="AC43" i="26"/>
  <c r="AB43" i="26"/>
  <c r="AA43" i="26"/>
  <c r="AC42" i="26"/>
  <c r="AB42" i="26"/>
  <c r="AA42" i="26"/>
  <c r="AC41" i="26"/>
  <c r="AB41" i="26"/>
  <c r="AA41" i="26"/>
  <c r="AC40" i="26"/>
  <c r="AB40" i="26"/>
  <c r="AA40" i="26"/>
  <c r="AC39" i="26"/>
  <c r="AB39" i="26"/>
  <c r="AA39" i="26"/>
  <c r="AC38" i="26"/>
  <c r="AB38" i="26"/>
  <c r="AA38" i="26"/>
  <c r="AC37" i="26"/>
  <c r="AB37" i="26"/>
  <c r="AA37" i="26"/>
  <c r="AC36" i="26"/>
  <c r="AB36" i="26"/>
  <c r="AA36" i="26"/>
  <c r="AC35" i="26"/>
  <c r="AB35" i="26"/>
  <c r="AA35" i="26"/>
  <c r="AC34" i="26"/>
  <c r="AB34" i="26"/>
  <c r="AA34" i="26"/>
  <c r="AC33" i="26"/>
  <c r="AB33" i="26"/>
  <c r="AA33" i="26"/>
  <c r="AC32" i="26"/>
  <c r="AB32" i="26"/>
  <c r="AA32" i="26"/>
  <c r="AC31" i="26"/>
  <c r="AB31" i="26"/>
  <c r="AA31" i="26"/>
  <c r="AC30" i="26"/>
  <c r="AB30" i="26"/>
  <c r="AA30" i="26"/>
  <c r="AC29" i="26"/>
  <c r="AB29" i="26"/>
  <c r="AA29" i="26"/>
  <c r="AC28" i="26"/>
  <c r="AB28" i="26"/>
  <c r="AA28" i="26"/>
  <c r="AC27" i="26"/>
  <c r="AB27" i="26"/>
  <c r="AA27" i="26"/>
  <c r="AC26" i="26"/>
  <c r="AB26" i="26"/>
  <c r="AA26" i="26"/>
  <c r="AC25" i="26"/>
  <c r="AB25" i="26"/>
  <c r="AA25" i="26"/>
  <c r="AC24" i="26"/>
  <c r="AB24" i="26"/>
  <c r="AA24" i="26"/>
  <c r="AC23" i="26"/>
  <c r="AB23" i="26"/>
  <c r="AA23" i="26"/>
  <c r="AC22" i="26"/>
  <c r="AB22" i="26"/>
  <c r="AA22" i="26"/>
  <c r="AC21" i="26"/>
  <c r="AB21" i="26"/>
  <c r="AA21" i="26"/>
  <c r="AC20" i="26"/>
  <c r="AB20" i="26"/>
  <c r="AA20" i="26"/>
  <c r="AC19" i="26"/>
  <c r="AB19" i="26"/>
  <c r="AA19" i="26"/>
  <c r="AC18" i="26"/>
  <c r="AB18" i="26"/>
  <c r="AA18" i="26"/>
  <c r="AC17" i="26"/>
  <c r="AB17" i="26"/>
  <c r="AA17" i="26"/>
  <c r="AC16" i="26"/>
  <c r="AB16" i="26"/>
  <c r="AA16" i="26"/>
  <c r="AC15" i="26"/>
  <c r="AB15" i="26"/>
  <c r="AA15" i="26"/>
  <c r="AC14" i="26"/>
  <c r="AB14" i="26"/>
  <c r="AA14" i="26"/>
  <c r="AC13" i="26"/>
  <c r="AB13" i="26"/>
  <c r="AA13" i="26"/>
  <c r="AC12" i="26"/>
  <c r="AB12" i="26"/>
  <c r="AA12" i="26"/>
  <c r="AC11" i="26"/>
  <c r="AB11" i="26"/>
  <c r="AA11" i="26"/>
  <c r="AC10" i="26"/>
  <c r="AB10" i="26"/>
  <c r="AA10" i="26"/>
  <c r="AC9" i="26"/>
  <c r="AB9" i="26"/>
  <c r="AA9" i="26"/>
  <c r="AE15" i="9" l="1"/>
  <c r="AC15" i="9" l="1"/>
  <c r="AC81" i="9" s="1"/>
  <c r="AE8" i="9" l="1"/>
  <c r="AE6" i="9"/>
  <c r="F88" i="50" l="1"/>
  <c r="E88" i="50"/>
  <c r="D88" i="50"/>
  <c r="F77" i="50"/>
  <c r="E77" i="50"/>
  <c r="D77" i="50"/>
  <c r="D76" i="50" l="1"/>
  <c r="E76" i="50"/>
  <c r="F76" i="50"/>
  <c r="O28" i="51" l="1"/>
  <c r="N28" i="51"/>
  <c r="M28" i="51"/>
  <c r="L28" i="51"/>
  <c r="K28" i="51"/>
  <c r="J28" i="51"/>
  <c r="I28" i="51"/>
  <c r="H28" i="51"/>
  <c r="G28" i="51"/>
  <c r="F28" i="51"/>
  <c r="E28" i="51"/>
  <c r="D28" i="51"/>
  <c r="P26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P11" i="51"/>
  <c r="P10" i="51"/>
  <c r="P9" i="51"/>
  <c r="P25" i="51"/>
  <c r="P24" i="51"/>
  <c r="P23" i="51"/>
  <c r="P8" i="51"/>
  <c r="P7" i="51"/>
  <c r="P6" i="51"/>
  <c r="P5" i="51"/>
  <c r="P33" i="51"/>
  <c r="G58" i="50"/>
  <c r="G57" i="50"/>
  <c r="H57" i="50" s="1"/>
  <c r="G54" i="50"/>
  <c r="H54" i="50" s="1"/>
  <c r="G53" i="50"/>
  <c r="H53" i="50" s="1"/>
  <c r="G52" i="50"/>
  <c r="H52" i="50" s="1"/>
  <c r="G51" i="50"/>
  <c r="H51" i="50" s="1"/>
  <c r="G50" i="50"/>
  <c r="H50" i="50" s="1"/>
  <c r="G49" i="50"/>
  <c r="H49" i="50" s="1"/>
  <c r="H75" i="50"/>
  <c r="H68" i="50"/>
  <c r="G152" i="50"/>
  <c r="H152" i="50" s="1"/>
  <c r="G151" i="50"/>
  <c r="H151" i="50" s="1"/>
  <c r="G150" i="50"/>
  <c r="H150" i="50" s="1"/>
  <c r="G149" i="50"/>
  <c r="H149" i="50" s="1"/>
  <c r="G148" i="50"/>
  <c r="H148" i="50" s="1"/>
  <c r="G147" i="50"/>
  <c r="H147" i="50" s="1"/>
  <c r="G146" i="50"/>
  <c r="G144" i="50"/>
  <c r="G143" i="50"/>
  <c r="G142" i="50"/>
  <c r="G139" i="50"/>
  <c r="H139" i="50" s="1"/>
  <c r="G138" i="50"/>
  <c r="H138" i="50" s="1"/>
  <c r="G137" i="50"/>
  <c r="H137" i="50" s="1"/>
  <c r="G136" i="50"/>
  <c r="H136" i="50" s="1"/>
  <c r="G135" i="50"/>
  <c r="H135" i="50" s="1"/>
  <c r="G134" i="50"/>
  <c r="H134" i="50" s="1"/>
  <c r="G133" i="50"/>
  <c r="H133" i="50" s="1"/>
  <c r="G132" i="50"/>
  <c r="H132" i="50" s="1"/>
  <c r="G131" i="50"/>
  <c r="H131" i="50" s="1"/>
  <c r="G87" i="50"/>
  <c r="H87" i="50" s="1"/>
  <c r="G130" i="50"/>
  <c r="H130" i="50" s="1"/>
  <c r="G129" i="50"/>
  <c r="H129" i="50" s="1"/>
  <c r="G128" i="50"/>
  <c r="H128" i="50" s="1"/>
  <c r="G127" i="50"/>
  <c r="H127" i="50" s="1"/>
  <c r="G86" i="50"/>
  <c r="H86" i="50" s="1"/>
  <c r="G126" i="50"/>
  <c r="H126" i="50" s="1"/>
  <c r="G125" i="50"/>
  <c r="H125" i="50" s="1"/>
  <c r="G124" i="50"/>
  <c r="H124" i="50" s="1"/>
  <c r="G123" i="50"/>
  <c r="H123" i="50" s="1"/>
  <c r="G85" i="50"/>
  <c r="H85" i="50" s="1"/>
  <c r="G122" i="50"/>
  <c r="H122" i="50" s="1"/>
  <c r="G121" i="50"/>
  <c r="H121" i="50" s="1"/>
  <c r="G120" i="50"/>
  <c r="H120" i="50" s="1"/>
  <c r="G119" i="50"/>
  <c r="H119" i="50" s="1"/>
  <c r="G118" i="50"/>
  <c r="H118" i="50" s="1"/>
  <c r="G117" i="50"/>
  <c r="H117" i="50" s="1"/>
  <c r="G116" i="50"/>
  <c r="H116" i="50" s="1"/>
  <c r="G115" i="50"/>
  <c r="H115" i="50" s="1"/>
  <c r="G114" i="50"/>
  <c r="H114" i="50" s="1"/>
  <c r="G84" i="50"/>
  <c r="H84" i="50" s="1"/>
  <c r="G113" i="50"/>
  <c r="H113" i="50" s="1"/>
  <c r="G112" i="50"/>
  <c r="H112" i="50" s="1"/>
  <c r="G83" i="50"/>
  <c r="H83" i="50" s="1"/>
  <c r="G111" i="50"/>
  <c r="H111" i="50" s="1"/>
  <c r="G110" i="50"/>
  <c r="H110" i="50" s="1"/>
  <c r="G109" i="50"/>
  <c r="H109" i="50" s="1"/>
  <c r="G108" i="50"/>
  <c r="H108" i="50" s="1"/>
  <c r="G82" i="50"/>
  <c r="H82" i="50" s="1"/>
  <c r="G81" i="50"/>
  <c r="H81" i="50" s="1"/>
  <c r="G80" i="50"/>
  <c r="H80" i="50" s="1"/>
  <c r="G79" i="50"/>
  <c r="H79" i="50" s="1"/>
  <c r="G107" i="50"/>
  <c r="H107" i="50" s="1"/>
  <c r="G106" i="50"/>
  <c r="H106" i="50" s="1"/>
  <c r="G78" i="50"/>
  <c r="G105" i="50"/>
  <c r="H105" i="50" s="1"/>
  <c r="G104" i="50"/>
  <c r="H104" i="50" s="1"/>
  <c r="G103" i="50"/>
  <c r="H103" i="50" s="1"/>
  <c r="G102" i="50"/>
  <c r="H102" i="50" s="1"/>
  <c r="G101" i="50"/>
  <c r="H101" i="50" s="1"/>
  <c r="G100" i="50"/>
  <c r="H100" i="50" s="1"/>
  <c r="G99" i="50"/>
  <c r="H99" i="50" s="1"/>
  <c r="G98" i="50"/>
  <c r="H98" i="50" s="1"/>
  <c r="G97" i="50"/>
  <c r="H97" i="50" s="1"/>
  <c r="G96" i="50"/>
  <c r="H96" i="50" s="1"/>
  <c r="G95" i="50"/>
  <c r="H95" i="50" s="1"/>
  <c r="G94" i="50"/>
  <c r="H94" i="50" s="1"/>
  <c r="G93" i="50"/>
  <c r="H93" i="50" s="1"/>
  <c r="G92" i="50"/>
  <c r="H92" i="50" s="1"/>
  <c r="G91" i="50"/>
  <c r="H91" i="50" s="1"/>
  <c r="G90" i="50"/>
  <c r="G74" i="50"/>
  <c r="H74" i="50" s="1"/>
  <c r="G73" i="50"/>
  <c r="H73" i="50" s="1"/>
  <c r="G72" i="50"/>
  <c r="H72" i="50" s="1"/>
  <c r="G71" i="50"/>
  <c r="H71" i="50" s="1"/>
  <c r="G70" i="50"/>
  <c r="H70" i="50" s="1"/>
  <c r="G67" i="50"/>
  <c r="H67" i="50" s="1"/>
  <c r="G66" i="50"/>
  <c r="H66" i="50" s="1"/>
  <c r="G65" i="50"/>
  <c r="G64" i="50"/>
  <c r="H64" i="50" s="1"/>
  <c r="G63" i="50"/>
  <c r="H63" i="50" s="1"/>
  <c r="G47" i="50"/>
  <c r="H47" i="50" s="1"/>
  <c r="G46" i="50"/>
  <c r="H46" i="50" s="1"/>
  <c r="G45" i="50"/>
  <c r="H45" i="50" s="1"/>
  <c r="G44" i="50"/>
  <c r="H44" i="50" s="1"/>
  <c r="G43" i="50"/>
  <c r="H43" i="50" s="1"/>
  <c r="G42" i="50"/>
  <c r="H42" i="50" s="1"/>
  <c r="G41" i="50"/>
  <c r="H41" i="50" s="1"/>
  <c r="G40" i="50"/>
  <c r="H40" i="50" s="1"/>
  <c r="G39" i="50"/>
  <c r="H39" i="50" s="1"/>
  <c r="G38" i="50"/>
  <c r="H38" i="50" s="1"/>
  <c r="G37" i="50"/>
  <c r="H37" i="50" s="1"/>
  <c r="G36" i="50"/>
  <c r="H36" i="50" s="1"/>
  <c r="G35" i="50"/>
  <c r="H35" i="50" s="1"/>
  <c r="G34" i="50"/>
  <c r="G32" i="50"/>
  <c r="H32" i="50" s="1"/>
  <c r="G31" i="50"/>
  <c r="H31" i="50" s="1"/>
  <c r="G30" i="50"/>
  <c r="H30" i="50" s="1"/>
  <c r="G29" i="50"/>
  <c r="H29" i="50" s="1"/>
  <c r="G28" i="50"/>
  <c r="H28" i="50" s="1"/>
  <c r="G27" i="50"/>
  <c r="H27" i="50" s="1"/>
  <c r="G26" i="50"/>
  <c r="H26" i="50" s="1"/>
  <c r="G25" i="50"/>
  <c r="H25" i="50" s="1"/>
  <c r="G24" i="50"/>
  <c r="H24" i="50" s="1"/>
  <c r="G23" i="50"/>
  <c r="H23" i="50" s="1"/>
  <c r="G22" i="50"/>
  <c r="H22" i="50" s="1"/>
  <c r="G21" i="50"/>
  <c r="H21" i="50" s="1"/>
  <c r="G20" i="50"/>
  <c r="H20" i="50" s="1"/>
  <c r="G19" i="50"/>
  <c r="H19" i="50" s="1"/>
  <c r="G18" i="50"/>
  <c r="H18" i="50" s="1"/>
  <c r="G17" i="50"/>
  <c r="H17" i="50" s="1"/>
  <c r="G16" i="50"/>
  <c r="H16" i="50" s="1"/>
  <c r="G15" i="50"/>
  <c r="H15" i="50" s="1"/>
  <c r="G14" i="50"/>
  <c r="H14" i="50" s="1"/>
  <c r="G13" i="50"/>
  <c r="H13" i="50" s="1"/>
  <c r="G12" i="50"/>
  <c r="H12" i="50" s="1"/>
  <c r="H153" i="50"/>
  <c r="H5" i="50"/>
  <c r="G153" i="50"/>
  <c r="G5" i="50"/>
  <c r="F153" i="50"/>
  <c r="E153" i="50"/>
  <c r="D153" i="50"/>
  <c r="F145" i="50"/>
  <c r="E145" i="50"/>
  <c r="D145" i="50"/>
  <c r="F141" i="50"/>
  <c r="E141" i="50"/>
  <c r="D141" i="50"/>
  <c r="F69" i="50"/>
  <c r="E69" i="50"/>
  <c r="D69" i="50"/>
  <c r="F62" i="50"/>
  <c r="E62" i="50"/>
  <c r="D62" i="50"/>
  <c r="F59" i="50"/>
  <c r="E59" i="50"/>
  <c r="D59" i="50"/>
  <c r="F55" i="50"/>
  <c r="E55" i="50"/>
  <c r="D55" i="50"/>
  <c r="F33" i="50"/>
  <c r="E33" i="50"/>
  <c r="D33" i="50"/>
  <c r="F11" i="50"/>
  <c r="E11" i="50"/>
  <c r="D11" i="50"/>
  <c r="F5" i="50"/>
  <c r="E5" i="50"/>
  <c r="D5" i="50"/>
  <c r="G141" i="50" l="1"/>
  <c r="G55" i="50"/>
  <c r="H90" i="50"/>
  <c r="H88" i="50" s="1"/>
  <c r="G88" i="50"/>
  <c r="H78" i="50"/>
  <c r="H77" i="50" s="1"/>
  <c r="G77" i="50"/>
  <c r="P28" i="51"/>
  <c r="P13" i="51"/>
  <c r="P29" i="51"/>
  <c r="P14" i="51"/>
  <c r="G33" i="50"/>
  <c r="G145" i="50"/>
  <c r="G62" i="50"/>
  <c r="F48" i="50"/>
  <c r="F157" i="50" s="1"/>
  <c r="F161" i="50" s="1"/>
  <c r="G69" i="50"/>
  <c r="G59" i="50"/>
  <c r="H142" i="50"/>
  <c r="H141" i="50" s="1"/>
  <c r="H34" i="50"/>
  <c r="H33" i="50" s="1"/>
  <c r="H65" i="50"/>
  <c r="H62" i="50" s="1"/>
  <c r="H69" i="50"/>
  <c r="H146" i="50"/>
  <c r="H145" i="50" s="1"/>
  <c r="H58" i="50"/>
  <c r="H59" i="50" s="1"/>
  <c r="H55" i="50"/>
  <c r="H11" i="50"/>
  <c r="G11" i="50"/>
  <c r="D48" i="50"/>
  <c r="D157" i="50" s="1"/>
  <c r="D161" i="50" s="1"/>
  <c r="E48" i="50"/>
  <c r="E157" i="50" s="1"/>
  <c r="E161" i="50" s="1"/>
  <c r="G48" i="50" l="1"/>
  <c r="G76" i="50"/>
  <c r="H76" i="50"/>
  <c r="G157" i="50"/>
  <c r="G161" i="50" s="1"/>
  <c r="H48" i="50"/>
  <c r="H157" i="50" l="1"/>
  <c r="H161" i="50" s="1"/>
  <c r="AC177" i="26" l="1"/>
  <c r="AC176" i="26"/>
  <c r="AC175" i="26"/>
  <c r="AC174" i="26"/>
  <c r="AC173" i="26"/>
  <c r="AC172" i="26"/>
  <c r="AC171" i="26"/>
  <c r="AC170" i="26"/>
  <c r="AC169" i="26"/>
  <c r="AC168" i="26"/>
  <c r="AC167" i="26"/>
  <c r="AC166" i="26"/>
  <c r="AC165" i="26"/>
  <c r="AC164" i="26"/>
  <c r="AC163" i="26"/>
  <c r="AC162" i="26"/>
  <c r="AC161" i="26"/>
  <c r="AC160" i="26"/>
  <c r="AC159" i="26"/>
  <c r="AC158" i="26"/>
  <c r="AC157" i="26"/>
  <c r="AC156" i="26"/>
  <c r="AC155" i="26"/>
  <c r="AC154" i="26"/>
  <c r="AC153" i="26"/>
  <c r="AC152" i="26"/>
  <c r="AC151" i="26"/>
  <c r="AC150" i="26"/>
  <c r="AC149" i="26"/>
  <c r="AC148" i="26"/>
  <c r="AC147" i="26"/>
  <c r="AC146" i="26"/>
  <c r="AC145" i="26"/>
  <c r="AC144" i="26"/>
  <c r="AC143" i="26"/>
  <c r="AC142" i="26"/>
  <c r="AC141" i="26"/>
  <c r="AC140" i="26"/>
  <c r="AC139" i="26"/>
  <c r="AC138" i="26"/>
  <c r="AC137" i="26"/>
  <c r="AC136" i="26"/>
  <c r="AC135" i="26"/>
  <c r="AC134" i="26"/>
  <c r="AC133" i="26"/>
  <c r="AC132" i="26"/>
  <c r="AC131" i="26"/>
  <c r="AC130" i="26"/>
  <c r="AC129" i="26"/>
  <c r="AC128" i="26"/>
  <c r="AC127" i="26"/>
  <c r="AC126" i="26"/>
  <c r="AC125" i="26"/>
  <c r="AC124" i="26"/>
  <c r="AC123" i="26"/>
  <c r="AC122" i="26"/>
  <c r="AC121" i="26"/>
  <c r="AC120" i="26"/>
  <c r="AC119" i="26"/>
  <c r="AC118" i="26"/>
  <c r="AC117" i="26"/>
  <c r="AC116" i="26"/>
  <c r="AC115" i="26"/>
  <c r="AC114" i="26"/>
  <c r="AC113" i="26"/>
  <c r="AC112" i="26"/>
  <c r="AC111" i="26"/>
  <c r="AC110" i="26"/>
  <c r="AC109" i="26"/>
  <c r="AC108" i="26"/>
  <c r="AC107" i="26"/>
  <c r="AC106" i="26"/>
  <c r="AC105" i="26"/>
  <c r="AC104" i="26"/>
  <c r="AC103" i="26"/>
  <c r="AC102" i="26"/>
  <c r="AC101" i="26"/>
  <c r="AC100" i="26"/>
  <c r="AC99" i="26"/>
  <c r="AC98" i="26"/>
  <c r="AC97" i="26"/>
  <c r="AC96" i="26"/>
  <c r="AC95" i="26"/>
  <c r="AC8" i="26"/>
  <c r="AA23" i="9" l="1"/>
  <c r="AD79" i="9" l="1"/>
  <c r="AD78" i="9"/>
  <c r="AD23" i="9"/>
  <c r="AD14" i="9"/>
  <c r="AA28" i="9" l="1"/>
  <c r="AD28" i="9" s="1"/>
  <c r="AA49" i="9" l="1"/>
  <c r="AA48" i="9"/>
  <c r="AD48" i="9" s="1"/>
  <c r="AD49" i="9" l="1"/>
  <c r="AB114" i="9" l="1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77" i="9"/>
  <c r="AB34" i="9"/>
  <c r="AB33" i="9"/>
  <c r="AB54" i="9"/>
  <c r="AB32" i="9"/>
  <c r="AB58" i="9"/>
  <c r="AB65" i="9"/>
  <c r="AB28" i="9"/>
  <c r="AB27" i="9"/>
  <c r="AB61" i="9"/>
  <c r="AB46" i="9"/>
  <c r="AB31" i="9"/>
  <c r="AB26" i="9"/>
  <c r="AB22" i="9"/>
  <c r="AB23" i="9"/>
  <c r="AB30" i="9"/>
  <c r="AB44" i="9"/>
  <c r="AB50" i="9"/>
  <c r="AB49" i="9"/>
  <c r="AB48" i="9"/>
  <c r="AB47" i="9"/>
  <c r="AB69" i="9"/>
  <c r="AB60" i="9"/>
  <c r="AB37" i="9"/>
  <c r="AB35" i="9"/>
  <c r="AB36" i="9"/>
  <c r="AB38" i="9"/>
  <c r="AB72" i="9"/>
  <c r="AB74" i="9"/>
  <c r="AB70" i="9"/>
  <c r="AB63" i="9"/>
  <c r="AB64" i="9"/>
  <c r="AB45" i="9"/>
  <c r="AB67" i="9"/>
  <c r="AB66" i="9"/>
  <c r="AB19" i="9"/>
  <c r="AB40" i="9"/>
  <c r="AB41" i="9"/>
  <c r="AB43" i="9"/>
  <c r="AB42" i="9"/>
  <c r="AB56" i="9"/>
  <c r="AB73" i="9"/>
  <c r="AB51" i="9"/>
  <c r="AB52" i="9"/>
  <c r="AB25" i="9"/>
  <c r="AB59" i="9"/>
  <c r="AB57" i="9"/>
  <c r="AB76" i="9"/>
  <c r="AB71" i="9"/>
  <c r="AB62" i="9"/>
  <c r="AB75" i="9"/>
  <c r="AB13" i="9"/>
  <c r="AB12" i="9"/>
  <c r="AB11" i="9"/>
  <c r="AB10" i="9"/>
  <c r="AB9" i="9"/>
  <c r="AB8" i="9" l="1"/>
  <c r="AB124" i="9"/>
  <c r="E82" i="43"/>
  <c r="E81" i="43"/>
  <c r="E80" i="43"/>
  <c r="K82" i="43"/>
  <c r="K81" i="43"/>
  <c r="K80" i="43"/>
  <c r="K78" i="43"/>
  <c r="K77" i="43"/>
  <c r="K76" i="43"/>
  <c r="L78" i="43" s="1"/>
  <c r="E78" i="43"/>
  <c r="E79" i="43" s="1"/>
  <c r="AY70" i="43"/>
  <c r="AY69" i="43"/>
  <c r="AY68" i="43"/>
  <c r="AY67" i="43"/>
  <c r="AW66" i="43"/>
  <c r="AV66" i="43"/>
  <c r="AU66" i="43"/>
  <c r="AT66" i="43"/>
  <c r="AS66" i="43"/>
  <c r="AR66" i="43"/>
  <c r="AQ66" i="43"/>
  <c r="AP66" i="43"/>
  <c r="AO66" i="43"/>
  <c r="AN66" i="43"/>
  <c r="AM66" i="43"/>
  <c r="AL66" i="43"/>
  <c r="AK66" i="43"/>
  <c r="AJ66" i="43"/>
  <c r="AI66" i="43"/>
  <c r="AH66" i="43"/>
  <c r="AG66" i="43"/>
  <c r="AF66" i="43"/>
  <c r="AE66" i="43"/>
  <c r="AD66" i="43"/>
  <c r="AC66" i="43"/>
  <c r="AB66" i="43"/>
  <c r="AA66" i="43"/>
  <c r="Z66" i="43"/>
  <c r="Z73" i="43" s="1"/>
  <c r="Y66" i="43"/>
  <c r="X66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B66" i="43"/>
  <c r="AY65" i="43"/>
  <c r="AY64" i="43"/>
  <c r="AY63" i="43"/>
  <c r="AY62" i="43"/>
  <c r="AY61" i="43"/>
  <c r="AY60" i="43"/>
  <c r="AY59" i="43"/>
  <c r="AY58" i="43"/>
  <c r="AY57" i="43"/>
  <c r="AY56" i="43"/>
  <c r="AY55" i="43"/>
  <c r="AY54" i="43"/>
  <c r="AY53" i="43"/>
  <c r="AY52" i="43"/>
  <c r="AY51" i="43"/>
  <c r="AY50" i="43"/>
  <c r="AY49" i="43"/>
  <c r="AY48" i="43"/>
  <c r="AY47" i="43"/>
  <c r="AY46" i="43"/>
  <c r="AY45" i="43"/>
  <c r="AY44" i="43"/>
  <c r="AY43" i="43"/>
  <c r="AY42" i="43"/>
  <c r="AY41" i="43"/>
  <c r="AY39" i="43"/>
  <c r="AY34" i="43"/>
  <c r="AY33" i="43"/>
  <c r="AY32" i="43"/>
  <c r="AY31" i="43"/>
  <c r="AW30" i="43"/>
  <c r="AV30" i="43"/>
  <c r="AU30" i="43"/>
  <c r="AT30" i="43"/>
  <c r="AS30" i="43"/>
  <c r="AR30" i="43"/>
  <c r="AQ30" i="43"/>
  <c r="AP30" i="43"/>
  <c r="AO30" i="43"/>
  <c r="AN30" i="43"/>
  <c r="AM30" i="43"/>
  <c r="AL30" i="43"/>
  <c r="AK30" i="43"/>
  <c r="AJ30" i="43"/>
  <c r="AI30" i="43"/>
  <c r="AH30" i="43"/>
  <c r="AG30" i="43"/>
  <c r="AF30" i="43"/>
  <c r="AE30" i="43"/>
  <c r="AD30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B30" i="43"/>
  <c r="AY29" i="43"/>
  <c r="AY28" i="43"/>
  <c r="AY27" i="43"/>
  <c r="AY26" i="43"/>
  <c r="AY25" i="43"/>
  <c r="AY24" i="43"/>
  <c r="AY23" i="43"/>
  <c r="AY22" i="43"/>
  <c r="AY21" i="43"/>
  <c r="AY20" i="43"/>
  <c r="AY19" i="43"/>
  <c r="AY18" i="43"/>
  <c r="AY17" i="43"/>
  <c r="AY16" i="43"/>
  <c r="AY15" i="43"/>
  <c r="AY14" i="43"/>
  <c r="AY13" i="43"/>
  <c r="AY12" i="43"/>
  <c r="AY11" i="43"/>
  <c r="AY10" i="43"/>
  <c r="AY9" i="43"/>
  <c r="AY8" i="43"/>
  <c r="AY7" i="43"/>
  <c r="AY6" i="43"/>
  <c r="AY5" i="43"/>
  <c r="AY3" i="43"/>
  <c r="L82" i="43" l="1"/>
  <c r="E83" i="43"/>
  <c r="AY30" i="43"/>
  <c r="AY66" i="43"/>
  <c r="X15" i="9" l="1"/>
  <c r="V15" i="9"/>
  <c r="T15" i="9"/>
  <c r="P15" i="9"/>
  <c r="L15" i="9"/>
  <c r="R15" i="9"/>
  <c r="N15" i="9"/>
  <c r="J15" i="9"/>
  <c r="C15" i="9" l="1"/>
  <c r="H15" i="9"/>
  <c r="M15" i="9"/>
  <c r="S15" i="9"/>
  <c r="I15" i="9"/>
  <c r="K15" i="9"/>
  <c r="U15" i="9"/>
  <c r="Y15" i="9"/>
  <c r="E15" i="9"/>
  <c r="O15" i="9"/>
  <c r="G15" i="9"/>
  <c r="Q15" i="9"/>
  <c r="W15" i="9"/>
  <c r="Z15" i="9"/>
  <c r="AH107" i="39" l="1"/>
  <c r="AG107" i="39"/>
  <c r="AF107" i="39"/>
  <c r="AH99" i="39"/>
  <c r="AG99" i="39"/>
  <c r="AF99" i="39"/>
  <c r="AH98" i="39"/>
  <c r="AG98" i="39"/>
  <c r="AF98" i="39"/>
  <c r="AH97" i="39"/>
  <c r="AG97" i="39"/>
  <c r="AF97" i="39"/>
  <c r="AH96" i="39"/>
  <c r="AG96" i="39"/>
  <c r="AF96" i="39"/>
  <c r="AF100" i="39" s="1"/>
  <c r="AF111" i="39" s="1"/>
  <c r="K99" i="39"/>
  <c r="K98" i="39"/>
  <c r="K97" i="39"/>
  <c r="K96" i="39"/>
  <c r="E96" i="39"/>
  <c r="E92" i="39"/>
  <c r="E98" i="39"/>
  <c r="E99" i="39"/>
  <c r="E97" i="39"/>
  <c r="AH100" i="39" l="1"/>
  <c r="AH111" i="39" s="1"/>
  <c r="E100" i="39"/>
  <c r="E102" i="39" s="1"/>
  <c r="K100" i="39"/>
  <c r="K102" i="39" s="1"/>
  <c r="AG100" i="39"/>
  <c r="AG111" i="39" s="1"/>
  <c r="F83" i="39" l="1"/>
  <c r="N83" i="39" s="1"/>
  <c r="F81" i="39"/>
  <c r="F70" i="39"/>
  <c r="F69" i="39"/>
  <c r="F68" i="39"/>
  <c r="L68" i="39" s="1"/>
  <c r="F60" i="39"/>
  <c r="F44" i="39"/>
  <c r="F28" i="39"/>
  <c r="L28" i="39" s="1"/>
  <c r="G28" i="39" s="1"/>
  <c r="H28" i="39" s="1"/>
  <c r="J28" i="39" s="1"/>
  <c r="F27" i="39"/>
  <c r="M27" i="39" s="1"/>
  <c r="F13" i="39"/>
  <c r="I92" i="39"/>
  <c r="K92" i="39"/>
  <c r="G88" i="39"/>
  <c r="G86" i="39"/>
  <c r="G82" i="39"/>
  <c r="M81" i="39"/>
  <c r="L81" i="39"/>
  <c r="G81" i="39" s="1"/>
  <c r="H81" i="39" s="1"/>
  <c r="J81" i="39" s="1"/>
  <c r="G71" i="39"/>
  <c r="G67" i="39"/>
  <c r="G63" i="39"/>
  <c r="G59" i="39"/>
  <c r="G50" i="39"/>
  <c r="G48" i="39"/>
  <c r="G45" i="39"/>
  <c r="M28" i="39"/>
  <c r="G11" i="39"/>
  <c r="G10" i="39"/>
  <c r="N81" i="39"/>
  <c r="N70" i="39"/>
  <c r="O70" i="39" s="1"/>
  <c r="P70" i="39" s="1"/>
  <c r="N69" i="39"/>
  <c r="O69" i="39" s="1"/>
  <c r="P69" i="39" s="1"/>
  <c r="N60" i="39"/>
  <c r="O60" i="39" s="1"/>
  <c r="P60" i="39" s="1"/>
  <c r="N44" i="39"/>
  <c r="O44" i="39" s="1"/>
  <c r="P44" i="39" s="1"/>
  <c r="N28" i="39"/>
  <c r="N13" i="39"/>
  <c r="O13" i="39" s="1"/>
  <c r="P13" i="39" s="1"/>
  <c r="L90" i="39"/>
  <c r="L89" i="39"/>
  <c r="G89" i="39" s="1"/>
  <c r="L87" i="39"/>
  <c r="G87" i="39" s="1"/>
  <c r="L85" i="39"/>
  <c r="G85" i="39" s="1"/>
  <c r="L83" i="39"/>
  <c r="L79" i="39"/>
  <c r="G79" i="39" s="1"/>
  <c r="L77" i="39"/>
  <c r="G77" i="39" s="1"/>
  <c r="L75" i="39"/>
  <c r="G75" i="39" s="1"/>
  <c r="L73" i="39"/>
  <c r="G73" i="39" s="1"/>
  <c r="L72" i="39"/>
  <c r="G72" i="39" s="1"/>
  <c r="L70" i="39"/>
  <c r="G70" i="39" s="1"/>
  <c r="H70" i="39" s="1"/>
  <c r="J70" i="39" s="1"/>
  <c r="L69" i="39"/>
  <c r="G69" i="39" s="1"/>
  <c r="H69" i="39" s="1"/>
  <c r="J69" i="39" s="1"/>
  <c r="L66" i="39"/>
  <c r="G66" i="39" s="1"/>
  <c r="L62" i="39"/>
  <c r="G62" i="39" s="1"/>
  <c r="L61" i="39"/>
  <c r="G61" i="39" s="1"/>
  <c r="L60" i="39"/>
  <c r="G60" i="39" s="1"/>
  <c r="L57" i="39"/>
  <c r="G57" i="39" s="1"/>
  <c r="L56" i="39"/>
  <c r="G56" i="39" s="1"/>
  <c r="L55" i="39"/>
  <c r="G55" i="39" s="1"/>
  <c r="L54" i="39"/>
  <c r="G54" i="39" s="1"/>
  <c r="L52" i="39"/>
  <c r="G52" i="39" s="1"/>
  <c r="L51" i="39"/>
  <c r="G51" i="39" s="1"/>
  <c r="L47" i="39"/>
  <c r="G47" i="39" s="1"/>
  <c r="L46" i="39"/>
  <c r="G46" i="39" s="1"/>
  <c r="L44" i="39"/>
  <c r="G44" i="39" s="1"/>
  <c r="H44" i="39" s="1"/>
  <c r="J44" i="39" s="1"/>
  <c r="L43" i="39"/>
  <c r="G43" i="39" s="1"/>
  <c r="L42" i="39"/>
  <c r="G42" i="39" s="1"/>
  <c r="L41" i="39"/>
  <c r="G41" i="39" s="1"/>
  <c r="L39" i="39"/>
  <c r="G39" i="39" s="1"/>
  <c r="L38" i="39"/>
  <c r="G38" i="39" s="1"/>
  <c r="L37" i="39"/>
  <c r="G37" i="39" s="1"/>
  <c r="L35" i="39"/>
  <c r="G35" i="39" s="1"/>
  <c r="L34" i="39"/>
  <c r="G34" i="39" s="1"/>
  <c r="L33" i="39"/>
  <c r="G33" i="39" s="1"/>
  <c r="L32" i="39"/>
  <c r="G32" i="39" s="1"/>
  <c r="L31" i="39"/>
  <c r="G31" i="39" s="1"/>
  <c r="L30" i="39"/>
  <c r="G30" i="39" s="1"/>
  <c r="L29" i="39"/>
  <c r="G29" i="39" s="1"/>
  <c r="L25" i="39"/>
  <c r="G25" i="39" s="1"/>
  <c r="L24" i="39"/>
  <c r="G24" i="39" s="1"/>
  <c r="L23" i="39"/>
  <c r="G23" i="39" s="1"/>
  <c r="L22" i="39"/>
  <c r="G22" i="39" s="1"/>
  <c r="L21" i="39"/>
  <c r="G21" i="39" s="1"/>
  <c r="L20" i="39"/>
  <c r="G20" i="39" s="1"/>
  <c r="L19" i="39"/>
  <c r="G19" i="39" s="1"/>
  <c r="L17" i="39"/>
  <c r="G17" i="39" s="1"/>
  <c r="L16" i="39"/>
  <c r="G16" i="39" s="1"/>
  <c r="L15" i="39"/>
  <c r="G15" i="39" s="1"/>
  <c r="L14" i="39"/>
  <c r="G14" i="39" s="1"/>
  <c r="L13" i="39"/>
  <c r="G13" i="39" s="1"/>
  <c r="H13" i="39" s="1"/>
  <c r="J13" i="39" s="1"/>
  <c r="L9" i="39"/>
  <c r="G9" i="39" s="1"/>
  <c r="L8" i="39"/>
  <c r="G8" i="39" s="1"/>
  <c r="L6" i="39"/>
  <c r="G6" i="39" s="1"/>
  <c r="L5" i="39"/>
  <c r="G5" i="39" s="1"/>
  <c r="C93" i="39"/>
  <c r="D92" i="39"/>
  <c r="C90" i="39"/>
  <c r="F90" i="39" s="1"/>
  <c r="N90" i="39" s="1"/>
  <c r="C89" i="39"/>
  <c r="F89" i="39" s="1"/>
  <c r="N89" i="39" s="1"/>
  <c r="O89" i="39" s="1"/>
  <c r="P89" i="39" s="1"/>
  <c r="C88" i="39"/>
  <c r="F88" i="39" s="1"/>
  <c r="N88" i="39" s="1"/>
  <c r="O88" i="39" s="1"/>
  <c r="P88" i="39" s="1"/>
  <c r="C87" i="39"/>
  <c r="F87" i="39" s="1"/>
  <c r="N87" i="39" s="1"/>
  <c r="O87" i="39" s="1"/>
  <c r="P87" i="39" s="1"/>
  <c r="C86" i="39"/>
  <c r="F86" i="39" s="1"/>
  <c r="N86" i="39" s="1"/>
  <c r="C85" i="39"/>
  <c r="F85" i="39" s="1"/>
  <c r="N85" i="39" s="1"/>
  <c r="O85" i="39" s="1"/>
  <c r="P85" i="39" s="1"/>
  <c r="C84" i="39"/>
  <c r="F84" i="39" s="1"/>
  <c r="C82" i="39"/>
  <c r="F82" i="39" s="1"/>
  <c r="N82" i="39" s="1"/>
  <c r="O82" i="39" s="1"/>
  <c r="P82" i="39" s="1"/>
  <c r="C80" i="39"/>
  <c r="F80" i="39" s="1"/>
  <c r="C79" i="39"/>
  <c r="F79" i="39" s="1"/>
  <c r="N79" i="39" s="1"/>
  <c r="O79" i="39" s="1"/>
  <c r="P79" i="39" s="1"/>
  <c r="C78" i="39"/>
  <c r="F78" i="39" s="1"/>
  <c r="C77" i="39"/>
  <c r="F77" i="39" s="1"/>
  <c r="N77" i="39" s="1"/>
  <c r="O77" i="39" s="1"/>
  <c r="P77" i="39" s="1"/>
  <c r="C76" i="39"/>
  <c r="F76" i="39" s="1"/>
  <c r="C75" i="39"/>
  <c r="F75" i="39" s="1"/>
  <c r="N75" i="39" s="1"/>
  <c r="O75" i="39" s="1"/>
  <c r="P75" i="39" s="1"/>
  <c r="C74" i="39"/>
  <c r="F74" i="39" s="1"/>
  <c r="C73" i="39"/>
  <c r="F73" i="39" s="1"/>
  <c r="N73" i="39" s="1"/>
  <c r="O73" i="39" s="1"/>
  <c r="P73" i="39" s="1"/>
  <c r="C72" i="39"/>
  <c r="F72" i="39" s="1"/>
  <c r="N72" i="39" s="1"/>
  <c r="O72" i="39" s="1"/>
  <c r="P72" i="39" s="1"/>
  <c r="C71" i="39"/>
  <c r="F71" i="39" s="1"/>
  <c r="N71" i="39" s="1"/>
  <c r="O71" i="39" s="1"/>
  <c r="P71" i="39" s="1"/>
  <c r="C67" i="39"/>
  <c r="F67" i="39" s="1"/>
  <c r="N67" i="39" s="1"/>
  <c r="O67" i="39" s="1"/>
  <c r="P67" i="39" s="1"/>
  <c r="C66" i="39"/>
  <c r="F66" i="39" s="1"/>
  <c r="N66" i="39" s="1"/>
  <c r="O66" i="39" s="1"/>
  <c r="P66" i="39" s="1"/>
  <c r="C65" i="39"/>
  <c r="F65" i="39" s="1"/>
  <c r="C64" i="39"/>
  <c r="F64" i="39" s="1"/>
  <c r="C63" i="39"/>
  <c r="F63" i="39" s="1"/>
  <c r="N63" i="39" s="1"/>
  <c r="O63" i="39" s="1"/>
  <c r="P63" i="39" s="1"/>
  <c r="C62" i="39"/>
  <c r="F62" i="39" s="1"/>
  <c r="N62" i="39" s="1"/>
  <c r="O62" i="39" s="1"/>
  <c r="P62" i="39" s="1"/>
  <c r="C61" i="39"/>
  <c r="F61" i="39" s="1"/>
  <c r="N61" i="39" s="1"/>
  <c r="O61" i="39" s="1"/>
  <c r="P61" i="39" s="1"/>
  <c r="C59" i="39"/>
  <c r="F59" i="39" s="1"/>
  <c r="N59" i="39" s="1"/>
  <c r="O59" i="39" s="1"/>
  <c r="P59" i="39" s="1"/>
  <c r="C58" i="39"/>
  <c r="F58" i="39" s="1"/>
  <c r="C57" i="39"/>
  <c r="F57" i="39" s="1"/>
  <c r="N57" i="39" s="1"/>
  <c r="O57" i="39" s="1"/>
  <c r="P57" i="39" s="1"/>
  <c r="C56" i="39"/>
  <c r="F56" i="39" s="1"/>
  <c r="N56" i="39" s="1"/>
  <c r="O56" i="39" s="1"/>
  <c r="P56" i="39" s="1"/>
  <c r="C55" i="39"/>
  <c r="F55" i="39" s="1"/>
  <c r="N55" i="39" s="1"/>
  <c r="O55" i="39" s="1"/>
  <c r="P55" i="39" s="1"/>
  <c r="C54" i="39"/>
  <c r="F54" i="39" s="1"/>
  <c r="N54" i="39" s="1"/>
  <c r="O54" i="39" s="1"/>
  <c r="P54" i="39" s="1"/>
  <c r="C53" i="39"/>
  <c r="F53" i="39" s="1"/>
  <c r="C52" i="39"/>
  <c r="F52" i="39" s="1"/>
  <c r="N52" i="39" s="1"/>
  <c r="O52" i="39" s="1"/>
  <c r="P52" i="39" s="1"/>
  <c r="C51" i="39"/>
  <c r="F51" i="39" s="1"/>
  <c r="N51" i="39" s="1"/>
  <c r="O51" i="39" s="1"/>
  <c r="P51" i="39" s="1"/>
  <c r="C50" i="39"/>
  <c r="F50" i="39" s="1"/>
  <c r="N50" i="39" s="1"/>
  <c r="O50" i="39" s="1"/>
  <c r="P50" i="39" s="1"/>
  <c r="C49" i="39"/>
  <c r="F49" i="39" s="1"/>
  <c r="C48" i="39"/>
  <c r="F48" i="39" s="1"/>
  <c r="N48" i="39" s="1"/>
  <c r="O48" i="39" s="1"/>
  <c r="P48" i="39" s="1"/>
  <c r="C47" i="39"/>
  <c r="F47" i="39" s="1"/>
  <c r="N47" i="39" s="1"/>
  <c r="O47" i="39" s="1"/>
  <c r="P47" i="39" s="1"/>
  <c r="C46" i="39"/>
  <c r="F46" i="39" s="1"/>
  <c r="N46" i="39" s="1"/>
  <c r="O46" i="39" s="1"/>
  <c r="P46" i="39" s="1"/>
  <c r="C45" i="39"/>
  <c r="F45" i="39" s="1"/>
  <c r="N45" i="39" s="1"/>
  <c r="O45" i="39" s="1"/>
  <c r="P45" i="39" s="1"/>
  <c r="C43" i="39"/>
  <c r="F43" i="39" s="1"/>
  <c r="N43" i="39" s="1"/>
  <c r="O43" i="39" s="1"/>
  <c r="P43" i="39" s="1"/>
  <c r="C42" i="39"/>
  <c r="F42" i="39" s="1"/>
  <c r="N42" i="39" s="1"/>
  <c r="O42" i="39" s="1"/>
  <c r="P42" i="39" s="1"/>
  <c r="C41" i="39"/>
  <c r="F41" i="39" s="1"/>
  <c r="N41" i="39" s="1"/>
  <c r="O41" i="39" s="1"/>
  <c r="P41" i="39" s="1"/>
  <c r="C40" i="39"/>
  <c r="F40" i="39" s="1"/>
  <c r="C39" i="39"/>
  <c r="F39" i="39" s="1"/>
  <c r="N39" i="39" s="1"/>
  <c r="O39" i="39" s="1"/>
  <c r="P39" i="39" s="1"/>
  <c r="C38" i="39"/>
  <c r="F38" i="39" s="1"/>
  <c r="N38" i="39" s="1"/>
  <c r="O38" i="39" s="1"/>
  <c r="P38" i="39" s="1"/>
  <c r="C37" i="39"/>
  <c r="F37" i="39" s="1"/>
  <c r="N37" i="39" s="1"/>
  <c r="O37" i="39" s="1"/>
  <c r="P37" i="39" s="1"/>
  <c r="C36" i="39"/>
  <c r="F36" i="39" s="1"/>
  <c r="C35" i="39"/>
  <c r="F35" i="39" s="1"/>
  <c r="N35" i="39" s="1"/>
  <c r="O35" i="39" s="1"/>
  <c r="P35" i="39" s="1"/>
  <c r="C34" i="39"/>
  <c r="F34" i="39" s="1"/>
  <c r="C33" i="39"/>
  <c r="F33" i="39" s="1"/>
  <c r="N33" i="39" s="1"/>
  <c r="O33" i="39" s="1"/>
  <c r="P33" i="39" s="1"/>
  <c r="C32" i="39"/>
  <c r="F32" i="39" s="1"/>
  <c r="N32" i="39" s="1"/>
  <c r="O32" i="39" s="1"/>
  <c r="P32" i="39" s="1"/>
  <c r="C31" i="39"/>
  <c r="F31" i="39" s="1"/>
  <c r="N31" i="39" s="1"/>
  <c r="O31" i="39" s="1"/>
  <c r="P31" i="39" s="1"/>
  <c r="C30" i="39"/>
  <c r="F30" i="39" s="1"/>
  <c r="N30" i="39" s="1"/>
  <c r="O30" i="39" s="1"/>
  <c r="P30" i="39" s="1"/>
  <c r="C29" i="39"/>
  <c r="F29" i="39" s="1"/>
  <c r="N29" i="39" s="1"/>
  <c r="O29" i="39" s="1"/>
  <c r="P29" i="39" s="1"/>
  <c r="C26" i="39"/>
  <c r="F26" i="39" s="1"/>
  <c r="C25" i="39"/>
  <c r="F25" i="39" s="1"/>
  <c r="N25" i="39" s="1"/>
  <c r="O25" i="39" s="1"/>
  <c r="P25" i="39" s="1"/>
  <c r="C24" i="39"/>
  <c r="F24" i="39" s="1"/>
  <c r="N24" i="39" s="1"/>
  <c r="O24" i="39" s="1"/>
  <c r="P24" i="39" s="1"/>
  <c r="C23" i="39"/>
  <c r="F23" i="39" s="1"/>
  <c r="N23" i="39" s="1"/>
  <c r="O23" i="39" s="1"/>
  <c r="P23" i="39" s="1"/>
  <c r="C22" i="39"/>
  <c r="F22" i="39" s="1"/>
  <c r="N22" i="39" s="1"/>
  <c r="O22" i="39" s="1"/>
  <c r="P22" i="39" s="1"/>
  <c r="C21" i="39"/>
  <c r="F21" i="39" s="1"/>
  <c r="N21" i="39" s="1"/>
  <c r="O21" i="39" s="1"/>
  <c r="P21" i="39" s="1"/>
  <c r="C20" i="39"/>
  <c r="F20" i="39" s="1"/>
  <c r="N20" i="39" s="1"/>
  <c r="O20" i="39" s="1"/>
  <c r="P20" i="39" s="1"/>
  <c r="C19" i="39"/>
  <c r="F19" i="39" s="1"/>
  <c r="N19" i="39" s="1"/>
  <c r="O19" i="39" s="1"/>
  <c r="P19" i="39" s="1"/>
  <c r="C18" i="39"/>
  <c r="F18" i="39" s="1"/>
  <c r="C17" i="39"/>
  <c r="F17" i="39" s="1"/>
  <c r="N17" i="39" s="1"/>
  <c r="O17" i="39" s="1"/>
  <c r="P17" i="39" s="1"/>
  <c r="C16" i="39"/>
  <c r="F16" i="39" s="1"/>
  <c r="N16" i="39" s="1"/>
  <c r="O16" i="39" s="1"/>
  <c r="P16" i="39" s="1"/>
  <c r="C15" i="39"/>
  <c r="F15" i="39" s="1"/>
  <c r="N15" i="39" s="1"/>
  <c r="O15" i="39" s="1"/>
  <c r="P15" i="39" s="1"/>
  <c r="C14" i="39"/>
  <c r="F14" i="39" s="1"/>
  <c r="N14" i="39" s="1"/>
  <c r="O14" i="39" s="1"/>
  <c r="P14" i="39" s="1"/>
  <c r="C12" i="39"/>
  <c r="F12" i="39" s="1"/>
  <c r="C11" i="39"/>
  <c r="F11" i="39" s="1"/>
  <c r="N11" i="39" s="1"/>
  <c r="O11" i="39" s="1"/>
  <c r="P11" i="39" s="1"/>
  <c r="C10" i="39"/>
  <c r="F10" i="39" s="1"/>
  <c r="N10" i="39" s="1"/>
  <c r="O10" i="39" s="1"/>
  <c r="P10" i="39" s="1"/>
  <c r="C9" i="39"/>
  <c r="F9" i="39" s="1"/>
  <c r="N9" i="39" s="1"/>
  <c r="O9" i="39" s="1"/>
  <c r="P9" i="39" s="1"/>
  <c r="C8" i="39"/>
  <c r="F8" i="39" s="1"/>
  <c r="N8" i="39" s="1"/>
  <c r="O8" i="39" s="1"/>
  <c r="P8" i="39" s="1"/>
  <c r="C7" i="39"/>
  <c r="F7" i="39" s="1"/>
  <c r="C6" i="39"/>
  <c r="F6" i="39" s="1"/>
  <c r="N6" i="39" s="1"/>
  <c r="O6" i="39" s="1"/>
  <c r="P6" i="39" s="1"/>
  <c r="C5" i="39"/>
  <c r="F5" i="39" s="1"/>
  <c r="AC139" i="39"/>
  <c r="AB135" i="39"/>
  <c r="AA135" i="39"/>
  <c r="Z135" i="39"/>
  <c r="Y135" i="39"/>
  <c r="V135" i="39"/>
  <c r="T135" i="39"/>
  <c r="S135" i="39"/>
  <c r="R135" i="39"/>
  <c r="Q135" i="39"/>
  <c r="AC133" i="39"/>
  <c r="AC132" i="39"/>
  <c r="AC131" i="39" s="1"/>
  <c r="AB131" i="39"/>
  <c r="AA131" i="39"/>
  <c r="Z131" i="39"/>
  <c r="Y131" i="39"/>
  <c r="X131" i="39"/>
  <c r="W131" i="39"/>
  <c r="V131" i="39"/>
  <c r="U131" i="39"/>
  <c r="T131" i="39"/>
  <c r="S131" i="39"/>
  <c r="R131" i="39"/>
  <c r="Q131" i="39"/>
  <c r="AC129" i="39"/>
  <c r="AC128" i="39"/>
  <c r="AC127" i="39"/>
  <c r="AC126" i="39"/>
  <c r="AC125" i="39"/>
  <c r="AC124" i="39"/>
  <c r="AC123" i="39"/>
  <c r="AC69" i="39"/>
  <c r="AB67" i="39"/>
  <c r="AA67" i="39"/>
  <c r="Z67" i="39"/>
  <c r="Y67" i="39"/>
  <c r="V67" i="39"/>
  <c r="T67" i="39"/>
  <c r="S67" i="39"/>
  <c r="R67" i="39"/>
  <c r="Q67" i="39"/>
  <c r="AC63" i="39"/>
  <c r="AB60" i="39"/>
  <c r="AA60" i="39"/>
  <c r="Z60" i="39"/>
  <c r="Y60" i="39"/>
  <c r="V60" i="39"/>
  <c r="T60" i="39"/>
  <c r="S60" i="39"/>
  <c r="R60" i="39"/>
  <c r="Q60" i="39"/>
  <c r="AB54" i="39"/>
  <c r="AA54" i="39"/>
  <c r="Z54" i="39"/>
  <c r="Y54" i="39"/>
  <c r="V54" i="39"/>
  <c r="T54" i="39"/>
  <c r="S54" i="39"/>
  <c r="R54" i="39"/>
  <c r="Q54" i="39"/>
  <c r="AC45" i="39"/>
  <c r="AC44" i="39" s="1"/>
  <c r="AB44" i="39"/>
  <c r="AA44" i="39"/>
  <c r="Z44" i="39"/>
  <c r="Y44" i="39"/>
  <c r="X44" i="39"/>
  <c r="W44" i="39"/>
  <c r="V44" i="39"/>
  <c r="U44" i="39"/>
  <c r="T44" i="39"/>
  <c r="S44" i="39"/>
  <c r="R44" i="39"/>
  <c r="Q44" i="39"/>
  <c r="AB31" i="39"/>
  <c r="AA31" i="39"/>
  <c r="Z31" i="39"/>
  <c r="Y31" i="39"/>
  <c r="V31" i="39"/>
  <c r="T31" i="39"/>
  <c r="S31" i="39"/>
  <c r="R31" i="39"/>
  <c r="Q31" i="39"/>
  <c r="AB13" i="39"/>
  <c r="AA13" i="39"/>
  <c r="Z13" i="39"/>
  <c r="Y13" i="39"/>
  <c r="V13" i="39"/>
  <c r="T13" i="39"/>
  <c r="S13" i="39"/>
  <c r="R13" i="39"/>
  <c r="Q13" i="39"/>
  <c r="AC9" i="39"/>
  <c r="AC6" i="39"/>
  <c r="AB5" i="39"/>
  <c r="AB143" i="39" s="1"/>
  <c r="AA5" i="39"/>
  <c r="AA143" i="39" s="1"/>
  <c r="Z5" i="39"/>
  <c r="Z143" i="39" s="1"/>
  <c r="Y5" i="39"/>
  <c r="Y143" i="39" s="1"/>
  <c r="V5" i="39"/>
  <c r="V143" i="39" s="1"/>
  <c r="T5" i="39"/>
  <c r="T143" i="39" s="1"/>
  <c r="S5" i="39"/>
  <c r="S143" i="39" s="1"/>
  <c r="R5" i="39"/>
  <c r="R143" i="39" s="1"/>
  <c r="Q5" i="39"/>
  <c r="Q143" i="39" s="1"/>
  <c r="L27" i="39" l="1"/>
  <c r="G27" i="39" s="1"/>
  <c r="H27" i="39" s="1"/>
  <c r="J27" i="39" s="1"/>
  <c r="N27" i="39"/>
  <c r="N68" i="39"/>
  <c r="M68" i="39"/>
  <c r="M99" i="39" s="1"/>
  <c r="L12" i="39"/>
  <c r="G12" i="39" s="1"/>
  <c r="H12" i="39" s="1"/>
  <c r="J12" i="39" s="1"/>
  <c r="M12" i="39"/>
  <c r="N12" i="39"/>
  <c r="M65" i="39"/>
  <c r="L65" i="39"/>
  <c r="G65" i="39" s="1"/>
  <c r="H65" i="39" s="1"/>
  <c r="J65" i="39" s="1"/>
  <c r="N65" i="39"/>
  <c r="L76" i="39"/>
  <c r="G76" i="39" s="1"/>
  <c r="H76" i="39" s="1"/>
  <c r="J76" i="39" s="1"/>
  <c r="N76" i="39"/>
  <c r="M76" i="39"/>
  <c r="L80" i="39"/>
  <c r="M80" i="39"/>
  <c r="N80" i="39"/>
  <c r="O86" i="39"/>
  <c r="P86" i="39" s="1"/>
  <c r="O90" i="39"/>
  <c r="P90" i="39" s="1"/>
  <c r="H6" i="39"/>
  <c r="J6" i="39" s="1"/>
  <c r="H14" i="39"/>
  <c r="J14" i="39" s="1"/>
  <c r="H19" i="39"/>
  <c r="J19" i="39" s="1"/>
  <c r="H23" i="39"/>
  <c r="J23" i="39" s="1"/>
  <c r="H30" i="39"/>
  <c r="J30" i="39" s="1"/>
  <c r="H39" i="39"/>
  <c r="J39" i="39" s="1"/>
  <c r="H52" i="39"/>
  <c r="J52" i="39" s="1"/>
  <c r="H57" i="39"/>
  <c r="J57" i="39" s="1"/>
  <c r="H66" i="39"/>
  <c r="J66" i="39" s="1"/>
  <c r="H73" i="39"/>
  <c r="J73" i="39" s="1"/>
  <c r="N5" i="39"/>
  <c r="F92" i="39"/>
  <c r="H5" i="39"/>
  <c r="J5" i="39" s="1"/>
  <c r="L18" i="39"/>
  <c r="G18" i="39" s="1"/>
  <c r="H18" i="39" s="1"/>
  <c r="J18" i="39" s="1"/>
  <c r="N18" i="39"/>
  <c r="M18" i="39"/>
  <c r="L26" i="39"/>
  <c r="G26" i="39" s="1"/>
  <c r="H26" i="39" s="1"/>
  <c r="J26" i="39" s="1"/>
  <c r="M26" i="39"/>
  <c r="N26" i="39"/>
  <c r="L36" i="39"/>
  <c r="G36" i="39" s="1"/>
  <c r="H36" i="39" s="1"/>
  <c r="J36" i="39" s="1"/>
  <c r="N36" i="39"/>
  <c r="M36" i="39"/>
  <c r="L40" i="39"/>
  <c r="G40" i="39" s="1"/>
  <c r="H40" i="39" s="1"/>
  <c r="J40" i="39" s="1"/>
  <c r="N40" i="39"/>
  <c r="M40" i="39"/>
  <c r="M49" i="39"/>
  <c r="L49" i="39"/>
  <c r="G49" i="39" s="1"/>
  <c r="H49" i="39" s="1"/>
  <c r="J49" i="39" s="1"/>
  <c r="N49" i="39"/>
  <c r="M53" i="39"/>
  <c r="L53" i="39"/>
  <c r="G53" i="39" s="1"/>
  <c r="H53" i="39" s="1"/>
  <c r="J53" i="39" s="1"/>
  <c r="N53" i="39"/>
  <c r="H15" i="39"/>
  <c r="J15" i="39" s="1"/>
  <c r="H31" i="39"/>
  <c r="J31" i="39" s="1"/>
  <c r="H35" i="39"/>
  <c r="J35" i="39" s="1"/>
  <c r="H41" i="39"/>
  <c r="J41" i="39" s="1"/>
  <c r="H75" i="39"/>
  <c r="J75" i="39" s="1"/>
  <c r="H85" i="39"/>
  <c r="J85" i="39" s="1"/>
  <c r="L58" i="39"/>
  <c r="G58" i="39" s="1"/>
  <c r="H58" i="39" s="1"/>
  <c r="J58" i="39" s="1"/>
  <c r="M58" i="39"/>
  <c r="N58" i="39"/>
  <c r="L74" i="39"/>
  <c r="G74" i="39" s="1"/>
  <c r="H74" i="39" s="1"/>
  <c r="J74" i="39" s="1"/>
  <c r="N74" i="39"/>
  <c r="M74" i="39"/>
  <c r="L78" i="39"/>
  <c r="G78" i="39" s="1"/>
  <c r="H78" i="39" s="1"/>
  <c r="J78" i="39" s="1"/>
  <c r="M78" i="39"/>
  <c r="N78" i="39"/>
  <c r="L84" i="39"/>
  <c r="G84" i="39" s="1"/>
  <c r="H84" i="39" s="1"/>
  <c r="J84" i="39" s="1"/>
  <c r="M84" i="39"/>
  <c r="N84" i="39"/>
  <c r="H9" i="39"/>
  <c r="J9" i="39" s="1"/>
  <c r="H16" i="39"/>
  <c r="J16" i="39" s="1"/>
  <c r="H21" i="39"/>
  <c r="J21" i="39" s="1"/>
  <c r="H25" i="39"/>
  <c r="J25" i="39" s="1"/>
  <c r="H32" i="39"/>
  <c r="J32" i="39" s="1"/>
  <c r="H37" i="39"/>
  <c r="J37" i="39" s="1"/>
  <c r="H42" i="39"/>
  <c r="J42" i="39" s="1"/>
  <c r="H47" i="39"/>
  <c r="J47" i="39" s="1"/>
  <c r="H55" i="39"/>
  <c r="J55" i="39" s="1"/>
  <c r="H61" i="39"/>
  <c r="J61" i="39" s="1"/>
  <c r="H77" i="39"/>
  <c r="J77" i="39" s="1"/>
  <c r="H87" i="39"/>
  <c r="J87" i="39" s="1"/>
  <c r="M7" i="39"/>
  <c r="L7" i="39"/>
  <c r="G7" i="39" s="1"/>
  <c r="H7" i="39" s="1"/>
  <c r="J7" i="39" s="1"/>
  <c r="N7" i="39"/>
  <c r="L64" i="39"/>
  <c r="G64" i="39" s="1"/>
  <c r="H64" i="39" s="1"/>
  <c r="J64" i="39" s="1"/>
  <c r="N64" i="39"/>
  <c r="M64" i="39"/>
  <c r="M97" i="39" s="1"/>
  <c r="H17" i="39"/>
  <c r="J17" i="39" s="1"/>
  <c r="H29" i="39"/>
  <c r="J29" i="39" s="1"/>
  <c r="H33" i="39"/>
  <c r="J33" i="39" s="1"/>
  <c r="H43" i="39"/>
  <c r="J43" i="39" s="1"/>
  <c r="H51" i="39"/>
  <c r="J51" i="39" s="1"/>
  <c r="H79" i="39"/>
  <c r="J79" i="39" s="1"/>
  <c r="H89" i="39"/>
  <c r="J89" i="39" s="1"/>
  <c r="C92" i="39"/>
  <c r="L97" i="39"/>
  <c r="H59" i="39"/>
  <c r="J59" i="39" s="1"/>
  <c r="H34" i="39"/>
  <c r="J34" i="39" s="1"/>
  <c r="N34" i="39"/>
  <c r="O34" i="39" s="1"/>
  <c r="P34" i="39" s="1"/>
  <c r="H11" i="39"/>
  <c r="J11" i="39" s="1"/>
  <c r="O81" i="39"/>
  <c r="P81" i="39" s="1"/>
  <c r="O83" i="39"/>
  <c r="P83" i="39" s="1"/>
  <c r="H63" i="39"/>
  <c r="J63" i="39" s="1"/>
  <c r="H71" i="39"/>
  <c r="J71" i="39" s="1"/>
  <c r="G68" i="39"/>
  <c r="H68" i="39" s="1"/>
  <c r="J68" i="39" s="1"/>
  <c r="L99" i="39"/>
  <c r="N99" i="39"/>
  <c r="O27" i="39"/>
  <c r="P27" i="39" s="1"/>
  <c r="H45" i="39"/>
  <c r="J45" i="39" s="1"/>
  <c r="H67" i="39"/>
  <c r="J67" i="39" s="1"/>
  <c r="G83" i="39"/>
  <c r="H83" i="39" s="1"/>
  <c r="J83" i="39" s="1"/>
  <c r="G90" i="39"/>
  <c r="H90" i="39" s="1"/>
  <c r="J90" i="39" s="1"/>
  <c r="AB18" i="9"/>
  <c r="O28" i="39"/>
  <c r="P28" i="39" s="1"/>
  <c r="O78" i="39"/>
  <c r="P78" i="39" s="1"/>
  <c r="O12" i="39"/>
  <c r="P12" i="39" s="1"/>
  <c r="O26" i="39"/>
  <c r="P26" i="39" s="1"/>
  <c r="O36" i="39"/>
  <c r="P36" i="39" s="1"/>
  <c r="O58" i="39"/>
  <c r="P58" i="39" s="1"/>
  <c r="O68" i="39"/>
  <c r="P68" i="39" s="1"/>
  <c r="O76" i="39"/>
  <c r="P76" i="39" s="1"/>
  <c r="O80" i="39"/>
  <c r="P80" i="39" s="1"/>
  <c r="O18" i="39"/>
  <c r="P18" i="39" s="1"/>
  <c r="O40" i="39"/>
  <c r="P40" i="39" s="1"/>
  <c r="O64" i="39"/>
  <c r="P64" i="39" s="1"/>
  <c r="O74" i="39"/>
  <c r="P74" i="39" s="1"/>
  <c r="O84" i="39"/>
  <c r="P84" i="39" s="1"/>
  <c r="N92" i="39"/>
  <c r="H10" i="39"/>
  <c r="J10" i="39" s="1"/>
  <c r="H48" i="39"/>
  <c r="J48" i="39" s="1"/>
  <c r="H50" i="39"/>
  <c r="J50" i="39" s="1"/>
  <c r="H82" i="39"/>
  <c r="J82" i="39" s="1"/>
  <c r="H86" i="39"/>
  <c r="J86" i="39" s="1"/>
  <c r="H88" i="39"/>
  <c r="J88" i="39" s="1"/>
  <c r="H8" i="39"/>
  <c r="J8" i="39" s="1"/>
  <c r="H20" i="39"/>
  <c r="J20" i="39" s="1"/>
  <c r="H22" i="39"/>
  <c r="J22" i="39" s="1"/>
  <c r="H24" i="39"/>
  <c r="J24" i="39" s="1"/>
  <c r="H38" i="39"/>
  <c r="J38" i="39" s="1"/>
  <c r="H46" i="39"/>
  <c r="J46" i="39" s="1"/>
  <c r="H54" i="39"/>
  <c r="J54" i="39" s="1"/>
  <c r="H56" i="39"/>
  <c r="J56" i="39" s="1"/>
  <c r="H60" i="39"/>
  <c r="J60" i="39" s="1"/>
  <c r="H62" i="39"/>
  <c r="J62" i="39" s="1"/>
  <c r="H72" i="39"/>
  <c r="J72" i="39" s="1"/>
  <c r="O5" i="39"/>
  <c r="P5" i="39" s="1"/>
  <c r="M92" i="39"/>
  <c r="L92" i="39"/>
  <c r="AC15" i="39"/>
  <c r="AC17" i="39"/>
  <c r="AC19" i="39"/>
  <c r="AC21" i="39"/>
  <c r="AC22" i="39"/>
  <c r="AC24" i="39"/>
  <c r="AC26" i="39"/>
  <c r="AC34" i="39"/>
  <c r="X60" i="39"/>
  <c r="U60" i="39"/>
  <c r="W5" i="39"/>
  <c r="AC35" i="39"/>
  <c r="AC37" i="39"/>
  <c r="AC40" i="39"/>
  <c r="X54" i="39"/>
  <c r="U54" i="39"/>
  <c r="AC55" i="39"/>
  <c r="AC57" i="39"/>
  <c r="AC61" i="39"/>
  <c r="AC68" i="39"/>
  <c r="AC70" i="39"/>
  <c r="AC72" i="39"/>
  <c r="AC74" i="39"/>
  <c r="AC76" i="39"/>
  <c r="AC79" i="39"/>
  <c r="AC81" i="39"/>
  <c r="AC83" i="39"/>
  <c r="AC36" i="39"/>
  <c r="AC38" i="39"/>
  <c r="AC56" i="39"/>
  <c r="AC62" i="39"/>
  <c r="AC71" i="39"/>
  <c r="AC73" i="39"/>
  <c r="AC75" i="39"/>
  <c r="AC77" i="39"/>
  <c r="AC80" i="39"/>
  <c r="AC82" i="39"/>
  <c r="AC84" i="39"/>
  <c r="AC88" i="39"/>
  <c r="AC90" i="39"/>
  <c r="AC92" i="39"/>
  <c r="AC94" i="39"/>
  <c r="AC98" i="39"/>
  <c r="AC100" i="39"/>
  <c r="AC102" i="39"/>
  <c r="AC104" i="39"/>
  <c r="AC106" i="39"/>
  <c r="AC108" i="39"/>
  <c r="AC110" i="39"/>
  <c r="AC112" i="39"/>
  <c r="AC115" i="39"/>
  <c r="AC117" i="39"/>
  <c r="AC120" i="39"/>
  <c r="AC137" i="39"/>
  <c r="AC89" i="39"/>
  <c r="AC93" i="39"/>
  <c r="AC97" i="39"/>
  <c r="AC99" i="39"/>
  <c r="N96" i="39" l="1"/>
  <c r="O65" i="39"/>
  <c r="P65" i="39" s="1"/>
  <c r="L98" i="39"/>
  <c r="N98" i="39"/>
  <c r="N97" i="39"/>
  <c r="O7" i="39"/>
  <c r="O49" i="39"/>
  <c r="P49" i="39" s="1"/>
  <c r="M96" i="39"/>
  <c r="O53" i="39"/>
  <c r="P53" i="39" s="1"/>
  <c r="G80" i="39"/>
  <c r="L96" i="39"/>
  <c r="L100" i="39" s="1"/>
  <c r="M98" i="39"/>
  <c r="AC116" i="39"/>
  <c r="AC111" i="39"/>
  <c r="AC107" i="39"/>
  <c r="AC103" i="39"/>
  <c r="AC138" i="39"/>
  <c r="AC95" i="39"/>
  <c r="AC91" i="39"/>
  <c r="AC85" i="39"/>
  <c r="AC60" i="39"/>
  <c r="AC54" i="39"/>
  <c r="U67" i="39"/>
  <c r="W13" i="39"/>
  <c r="U31" i="39"/>
  <c r="X31" i="39"/>
  <c r="X13" i="39"/>
  <c r="U13" i="39"/>
  <c r="X5" i="39"/>
  <c r="U5" i="39"/>
  <c r="AC33" i="39"/>
  <c r="AC25" i="39"/>
  <c r="AC20" i="39"/>
  <c r="AC16" i="39"/>
  <c r="AC23" i="39"/>
  <c r="AC18" i="39"/>
  <c r="AC14" i="39"/>
  <c r="AC7" i="39"/>
  <c r="U135" i="39"/>
  <c r="X135" i="39"/>
  <c r="W135" i="39"/>
  <c r="AC136" i="39"/>
  <c r="AC118" i="39"/>
  <c r="AC114" i="39"/>
  <c r="AC87" i="39"/>
  <c r="AC119" i="39"/>
  <c r="AC109" i="39"/>
  <c r="AC105" i="39"/>
  <c r="AC101" i="39"/>
  <c r="AC86" i="39"/>
  <c r="W67" i="39"/>
  <c r="W60" i="39"/>
  <c r="W54" i="39"/>
  <c r="X67" i="39"/>
  <c r="W31" i="39"/>
  <c r="AC32" i="39"/>
  <c r="AC135" i="39" l="1"/>
  <c r="N100" i="39"/>
  <c r="N102" i="39" s="1"/>
  <c r="AC67" i="39"/>
  <c r="H80" i="39"/>
  <c r="G92" i="39"/>
  <c r="P7" i="39"/>
  <c r="P92" i="39" s="1"/>
  <c r="O92" i="39"/>
  <c r="AC31" i="39"/>
  <c r="M100" i="39"/>
  <c r="M102" i="39" s="1"/>
  <c r="W143" i="39"/>
  <c r="AC13" i="39"/>
  <c r="X143" i="39"/>
  <c r="AC5" i="39"/>
  <c r="U143" i="39"/>
  <c r="AC143" i="39" s="1"/>
  <c r="AC144" i="39" l="1"/>
  <c r="J80" i="39"/>
  <c r="J92" i="39" s="1"/>
  <c r="H92" i="39"/>
  <c r="J93" i="39" s="1"/>
  <c r="P47" i="12" l="1"/>
  <c r="O57" i="12" l="1"/>
  <c r="O55" i="12"/>
  <c r="N57" i="12"/>
  <c r="N55" i="12"/>
  <c r="M57" i="12"/>
  <c r="M55" i="12"/>
  <c r="L57" i="12"/>
  <c r="L55" i="12"/>
  <c r="K57" i="12"/>
  <c r="K55" i="12"/>
  <c r="J57" i="12"/>
  <c r="J55" i="12"/>
  <c r="I57" i="12"/>
  <c r="I55" i="12"/>
  <c r="H57" i="12"/>
  <c r="H55" i="12"/>
  <c r="G57" i="12"/>
  <c r="G55" i="12"/>
  <c r="F57" i="12"/>
  <c r="F55" i="12"/>
  <c r="E57" i="12"/>
  <c r="E55" i="12"/>
  <c r="P8" i="12" l="1"/>
  <c r="D57" i="12"/>
  <c r="D55" i="12"/>
  <c r="F15" i="9" l="1"/>
  <c r="D15" i="9" l="1"/>
  <c r="AB29" i="9"/>
  <c r="AA50" i="9" l="1"/>
  <c r="AE81" i="9" l="1"/>
  <c r="AD50" i="9"/>
  <c r="O155" i="12" l="1"/>
  <c r="N155" i="12"/>
  <c r="M155" i="12"/>
  <c r="L155" i="12"/>
  <c r="K155" i="12"/>
  <c r="J155" i="12"/>
  <c r="I155" i="12"/>
  <c r="H155" i="12"/>
  <c r="G155" i="12"/>
  <c r="F155" i="12"/>
  <c r="E155" i="12"/>
  <c r="D155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O5" i="12"/>
  <c r="N5" i="12"/>
  <c r="M5" i="12"/>
  <c r="L5" i="12"/>
  <c r="K5" i="12"/>
  <c r="J5" i="12"/>
  <c r="I5" i="12"/>
  <c r="H5" i="12"/>
  <c r="G5" i="12"/>
  <c r="F5" i="12"/>
  <c r="E5" i="12"/>
  <c r="D5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AA17" i="9"/>
  <c r="P138" i="12"/>
  <c r="P137" i="12"/>
  <c r="P131" i="12"/>
  <c r="P110" i="12"/>
  <c r="P97" i="12"/>
  <c r="P92" i="12"/>
  <c r="P79" i="12"/>
  <c r="P28" i="12"/>
  <c r="P163" i="12" l="1"/>
  <c r="AD17" i="9"/>
  <c r="AB17" i="9"/>
  <c r="P165" i="12"/>
  <c r="P11" i="12"/>
  <c r="P159" i="12"/>
  <c r="P158" i="12"/>
  <c r="P157" i="12"/>
  <c r="P153" i="12"/>
  <c r="P152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P145" i="12"/>
  <c r="P144" i="12"/>
  <c r="P143" i="12"/>
  <c r="P142" i="12"/>
  <c r="P141" i="12"/>
  <c r="P136" i="12"/>
  <c r="P135" i="12"/>
  <c r="P134" i="12"/>
  <c r="P133" i="12"/>
  <c r="P132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6" i="12"/>
  <c r="P95" i="12"/>
  <c r="P94" i="12"/>
  <c r="P93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8" i="12"/>
  <c r="P77" i="12"/>
  <c r="P76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P69" i="12"/>
  <c r="P68" i="12"/>
  <c r="P64" i="12"/>
  <c r="P63" i="12"/>
  <c r="P62" i="12"/>
  <c r="P52" i="12"/>
  <c r="P51" i="12" s="1"/>
  <c r="O51" i="12"/>
  <c r="N51" i="12"/>
  <c r="M51" i="12"/>
  <c r="L51" i="12"/>
  <c r="K51" i="12"/>
  <c r="J51" i="12"/>
  <c r="I51" i="12"/>
  <c r="H51" i="12"/>
  <c r="G51" i="12"/>
  <c r="F51" i="12"/>
  <c r="E51" i="12"/>
  <c r="D51" i="12"/>
  <c r="P9" i="12"/>
  <c r="P48" i="12"/>
  <c r="P70" i="12"/>
  <c r="P160" i="12"/>
  <c r="P147" i="12"/>
  <c r="P42" i="12"/>
  <c r="P40" i="12"/>
  <c r="P39" i="12"/>
  <c r="P38" i="12"/>
  <c r="P36" i="12"/>
  <c r="P35" i="12"/>
  <c r="P34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 s="1"/>
  <c r="P10" i="12"/>
  <c r="P7" i="12"/>
  <c r="P6" i="12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77" i="9"/>
  <c r="AD77" i="9" s="1"/>
  <c r="AA34" i="9"/>
  <c r="AD34" i="9" s="1"/>
  <c r="AA33" i="9"/>
  <c r="AD33" i="9" s="1"/>
  <c r="AA54" i="9"/>
  <c r="AD54" i="9" s="1"/>
  <c r="AA32" i="9"/>
  <c r="AD32" i="9" s="1"/>
  <c r="AA58" i="9"/>
  <c r="AD58" i="9" s="1"/>
  <c r="AA65" i="9"/>
  <c r="AD65" i="9" s="1"/>
  <c r="AA27" i="9"/>
  <c r="AD27" i="9" s="1"/>
  <c r="AA29" i="9"/>
  <c r="AD29" i="9" s="1"/>
  <c r="AA61" i="9"/>
  <c r="AD61" i="9" s="1"/>
  <c r="AA46" i="9"/>
  <c r="AD46" i="9" s="1"/>
  <c r="AA31" i="9"/>
  <c r="AD31" i="9" s="1"/>
  <c r="AA26" i="9"/>
  <c r="AD26" i="9" s="1"/>
  <c r="AA22" i="9"/>
  <c r="AD22" i="9" s="1"/>
  <c r="AA21" i="9"/>
  <c r="AA20" i="9"/>
  <c r="AA18" i="9"/>
  <c r="AD18" i="9" s="1"/>
  <c r="AA44" i="9"/>
  <c r="AD44" i="9" s="1"/>
  <c r="AA47" i="9"/>
  <c r="AD47" i="9" s="1"/>
  <c r="AA69" i="9"/>
  <c r="AD69" i="9" s="1"/>
  <c r="AA60" i="9"/>
  <c r="AD60" i="9" s="1"/>
  <c r="AA37" i="9"/>
  <c r="AD37" i="9" s="1"/>
  <c r="AA35" i="9"/>
  <c r="AD35" i="9" s="1"/>
  <c r="AA36" i="9"/>
  <c r="AD36" i="9" s="1"/>
  <c r="AA38" i="9"/>
  <c r="AD38" i="9" s="1"/>
  <c r="AA72" i="9"/>
  <c r="AD72" i="9" s="1"/>
  <c r="AA74" i="9"/>
  <c r="AD74" i="9" s="1"/>
  <c r="AA70" i="9"/>
  <c r="AD70" i="9" s="1"/>
  <c r="AA63" i="9"/>
  <c r="AA64" i="9"/>
  <c r="AD64" i="9" s="1"/>
  <c r="AA45" i="9"/>
  <c r="AD45" i="9" s="1"/>
  <c r="AA67" i="9"/>
  <c r="AD67" i="9" s="1"/>
  <c r="AA66" i="9"/>
  <c r="AD66" i="9" s="1"/>
  <c r="AA19" i="9"/>
  <c r="AD19" i="9" s="1"/>
  <c r="AA40" i="9"/>
  <c r="AD40" i="9" s="1"/>
  <c r="AA41" i="9"/>
  <c r="AD41" i="9" s="1"/>
  <c r="AA43" i="9"/>
  <c r="AD43" i="9" s="1"/>
  <c r="AA42" i="9"/>
  <c r="AD42" i="9" s="1"/>
  <c r="AA56" i="9"/>
  <c r="AD56" i="9" s="1"/>
  <c r="AA73" i="9"/>
  <c r="AD73" i="9" s="1"/>
  <c r="AA51" i="9"/>
  <c r="AD51" i="9" s="1"/>
  <c r="AA52" i="9"/>
  <c r="AD52" i="9" s="1"/>
  <c r="AA25" i="9"/>
  <c r="AD25" i="9" s="1"/>
  <c r="AA59" i="9"/>
  <c r="AD59" i="9" s="1"/>
  <c r="AA57" i="9"/>
  <c r="AD57" i="9" s="1"/>
  <c r="AA76" i="9"/>
  <c r="AD76" i="9" s="1"/>
  <c r="AA71" i="9"/>
  <c r="AD71" i="9" s="1"/>
  <c r="AA62" i="9"/>
  <c r="AD62" i="9" s="1"/>
  <c r="AA75" i="9"/>
  <c r="AD75" i="9" s="1"/>
  <c r="AA13" i="9"/>
  <c r="AD13" i="9" s="1"/>
  <c r="AA12" i="9"/>
  <c r="AD12" i="9" s="1"/>
  <c r="AA11" i="9"/>
  <c r="AD11" i="9" s="1"/>
  <c r="AA10" i="9"/>
  <c r="AD10" i="9" s="1"/>
  <c r="AA9" i="9"/>
  <c r="AD9" i="9" s="1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B113" i="26"/>
  <c r="AA113" i="26"/>
  <c r="AB112" i="26"/>
  <c r="AA112" i="26"/>
  <c r="AB111" i="26"/>
  <c r="AA111" i="26"/>
  <c r="AB110" i="26"/>
  <c r="AA110" i="26"/>
  <c r="AB109" i="26"/>
  <c r="AA109" i="26"/>
  <c r="AB108" i="26"/>
  <c r="AA108" i="26"/>
  <c r="AB107" i="26"/>
  <c r="AA107" i="26"/>
  <c r="AB106" i="26"/>
  <c r="AA106" i="26"/>
  <c r="AB105" i="26"/>
  <c r="AA105" i="26"/>
  <c r="AB104" i="26"/>
  <c r="AA104" i="26"/>
  <c r="AB103" i="26"/>
  <c r="AA103" i="26"/>
  <c r="AB102" i="26"/>
  <c r="AA102" i="26"/>
  <c r="AB101" i="26"/>
  <c r="AA101" i="26"/>
  <c r="AB100" i="26"/>
  <c r="AA100" i="26"/>
  <c r="AB99" i="26"/>
  <c r="AA99" i="26"/>
  <c r="AB98" i="26"/>
  <c r="AA98" i="26"/>
  <c r="AB97" i="26"/>
  <c r="AA97" i="26"/>
  <c r="AB96" i="26"/>
  <c r="AA96" i="26"/>
  <c r="AB95" i="26"/>
  <c r="AA95" i="26"/>
  <c r="AB8" i="26"/>
  <c r="AA8" i="26"/>
  <c r="Z5" i="26"/>
  <c r="Z5" i="9" s="1"/>
  <c r="Y5" i="26"/>
  <c r="Y5" i="9" s="1"/>
  <c r="X5" i="26"/>
  <c r="X5" i="9" s="1"/>
  <c r="W5" i="26"/>
  <c r="W5" i="9" s="1"/>
  <c r="V5" i="26"/>
  <c r="V5" i="9" s="1"/>
  <c r="U5" i="26"/>
  <c r="U5" i="9" s="1"/>
  <c r="T5" i="26"/>
  <c r="T5" i="9" s="1"/>
  <c r="S5" i="26"/>
  <c r="S5" i="9" s="1"/>
  <c r="R5" i="26"/>
  <c r="R5" i="9" s="1"/>
  <c r="Q5" i="26"/>
  <c r="Q5" i="9" s="1"/>
  <c r="P5" i="26"/>
  <c r="P5" i="9" s="1"/>
  <c r="O5" i="26"/>
  <c r="O5" i="9" s="1"/>
  <c r="N5" i="26"/>
  <c r="N5" i="9" s="1"/>
  <c r="M5" i="26"/>
  <c r="M5" i="9" s="1"/>
  <c r="L5" i="26"/>
  <c r="L5" i="9" s="1"/>
  <c r="K5" i="26"/>
  <c r="K5" i="9" s="1"/>
  <c r="J5" i="26"/>
  <c r="J5" i="9" s="1"/>
  <c r="I5" i="26"/>
  <c r="H5" i="26"/>
  <c r="H5" i="9" s="1"/>
  <c r="G5" i="26"/>
  <c r="G5" i="9" s="1"/>
  <c r="F5" i="26"/>
  <c r="F5" i="9" s="1"/>
  <c r="E5" i="26"/>
  <c r="E5" i="9" s="1"/>
  <c r="D5" i="26"/>
  <c r="AC5" i="26" s="1"/>
  <c r="C5" i="26"/>
  <c r="C5" i="9" s="1"/>
  <c r="Z4" i="26"/>
  <c r="Z4" i="9" s="1"/>
  <c r="Y4" i="26"/>
  <c r="Y4" i="9" s="1"/>
  <c r="X4" i="26"/>
  <c r="X6" i="26" s="1"/>
  <c r="W4" i="26"/>
  <c r="W4" i="9" s="1"/>
  <c r="V4" i="26"/>
  <c r="V4" i="9" s="1"/>
  <c r="U4" i="26"/>
  <c r="U4" i="9" s="1"/>
  <c r="T4" i="26"/>
  <c r="T4" i="9" s="1"/>
  <c r="S4" i="26"/>
  <c r="S6" i="26" s="1"/>
  <c r="R4" i="26"/>
  <c r="R4" i="9" s="1"/>
  <c r="Q4" i="26"/>
  <c r="Q6" i="26" s="1"/>
  <c r="P4" i="26"/>
  <c r="P4" i="9" s="1"/>
  <c r="O4" i="26"/>
  <c r="O4" i="9" s="1"/>
  <c r="N4" i="26"/>
  <c r="N4" i="9" s="1"/>
  <c r="M4" i="26"/>
  <c r="M4" i="9" s="1"/>
  <c r="L4" i="26"/>
  <c r="L6" i="26" s="1"/>
  <c r="K4" i="26"/>
  <c r="K4" i="9" s="1"/>
  <c r="J4" i="26"/>
  <c r="J4" i="9" s="1"/>
  <c r="I4" i="26"/>
  <c r="I4" i="9" s="1"/>
  <c r="H4" i="26"/>
  <c r="H4" i="9" s="1"/>
  <c r="G4" i="26"/>
  <c r="F4" i="26"/>
  <c r="F4" i="9" s="1"/>
  <c r="E4" i="26"/>
  <c r="E4" i="9" s="1"/>
  <c r="D4" i="26"/>
  <c r="AC4" i="26" s="1"/>
  <c r="C4" i="26"/>
  <c r="C4" i="9" s="1"/>
  <c r="AC124" i="9" l="1"/>
  <c r="AC156" i="9" s="1"/>
  <c r="AD63" i="9"/>
  <c r="R6" i="9"/>
  <c r="J6" i="9"/>
  <c r="V6" i="9"/>
  <c r="P6" i="9"/>
  <c r="T6" i="9"/>
  <c r="N6" i="9"/>
  <c r="Z6" i="9"/>
  <c r="N6" i="26"/>
  <c r="T6" i="26"/>
  <c r="Y6" i="26"/>
  <c r="D4" i="9"/>
  <c r="L4" i="9"/>
  <c r="S4" i="9"/>
  <c r="X4" i="9"/>
  <c r="AA8" i="9"/>
  <c r="AB4" i="26"/>
  <c r="AB4" i="9" s="1"/>
  <c r="P6" i="26"/>
  <c r="V6" i="26"/>
  <c r="Z6" i="26"/>
  <c r="P155" i="12"/>
  <c r="J6" i="26"/>
  <c r="R6" i="26"/>
  <c r="W6" i="26"/>
  <c r="D5" i="9"/>
  <c r="AC6" i="26"/>
  <c r="U6" i="26"/>
  <c r="Q4" i="9"/>
  <c r="O6" i="26"/>
  <c r="M6" i="26"/>
  <c r="K6" i="26"/>
  <c r="I6" i="26"/>
  <c r="AA124" i="9"/>
  <c r="H6" i="26"/>
  <c r="I5" i="9"/>
  <c r="H6" i="9"/>
  <c r="D6" i="26"/>
  <c r="AB5" i="26"/>
  <c r="AB5" i="9" s="1"/>
  <c r="F6" i="26"/>
  <c r="F6" i="9"/>
  <c r="G6" i="26"/>
  <c r="AA5" i="26"/>
  <c r="AA5" i="9" s="1"/>
  <c r="G4" i="9"/>
  <c r="E6" i="26"/>
  <c r="H167" i="12"/>
  <c r="N167" i="12"/>
  <c r="J167" i="12"/>
  <c r="O167" i="12"/>
  <c r="K167" i="12"/>
  <c r="G167" i="12"/>
  <c r="L167" i="12"/>
  <c r="F167" i="12"/>
  <c r="M167" i="12"/>
  <c r="I167" i="12"/>
  <c r="E167" i="12"/>
  <c r="E6" i="9"/>
  <c r="E81" i="9" s="1"/>
  <c r="K6" i="9"/>
  <c r="K81" i="9" s="1"/>
  <c r="M6" i="9"/>
  <c r="M81" i="9" s="1"/>
  <c r="O6" i="9"/>
  <c r="O81" i="9" s="1"/>
  <c r="U6" i="9"/>
  <c r="W6" i="9"/>
  <c r="W81" i="9" s="1"/>
  <c r="Y6" i="9"/>
  <c r="Y81" i="9" s="1"/>
  <c r="P5" i="12"/>
  <c r="D167" i="12"/>
  <c r="C6" i="9"/>
  <c r="C81" i="9" s="1"/>
  <c r="AA4" i="26"/>
  <c r="C6" i="26"/>
  <c r="AI2" i="9"/>
  <c r="AK2" i="9"/>
  <c r="AM2" i="9"/>
  <c r="AO2" i="9"/>
  <c r="AQ2" i="9"/>
  <c r="AS2" i="9"/>
  <c r="AJ2" i="9"/>
  <c r="AL2" i="9"/>
  <c r="AN2" i="9"/>
  <c r="AP2" i="9"/>
  <c r="AT2" i="9"/>
  <c r="P46" i="12"/>
  <c r="P151" i="12"/>
  <c r="P37" i="12"/>
  <c r="P33" i="12" s="1"/>
  <c r="P67" i="12"/>
  <c r="P74" i="12"/>
  <c r="P61" i="12"/>
  <c r="G6" i="9" l="1"/>
  <c r="G81" i="9" s="1"/>
  <c r="Q6" i="9"/>
  <c r="Q81" i="9" s="1"/>
  <c r="D6" i="9"/>
  <c r="I6" i="9"/>
  <c r="I81" i="9" s="1"/>
  <c r="S6" i="9"/>
  <c r="S81" i="9" s="1"/>
  <c r="AD5" i="9"/>
  <c r="L6" i="9"/>
  <c r="AD8" i="9"/>
  <c r="X6" i="9"/>
  <c r="P168" i="12"/>
  <c r="AB6" i="9"/>
  <c r="AB6" i="26"/>
  <c r="AA4" i="9"/>
  <c r="AA6" i="26"/>
  <c r="P164" i="12"/>
  <c r="AD4" i="9" l="1"/>
  <c r="AA6" i="9"/>
  <c r="AD6" i="9" l="1"/>
  <c r="AI3" i="9" l="1"/>
  <c r="D81" i="9"/>
  <c r="P167" i="12" l="1"/>
  <c r="AD21" i="9" l="1"/>
  <c r="AB21" i="9"/>
  <c r="AD20" i="9" l="1"/>
  <c r="AB20" i="9"/>
  <c r="P81" i="9"/>
  <c r="AO3" i="9"/>
  <c r="X81" i="9"/>
  <c r="AS3" i="9"/>
  <c r="AQ3" i="9"/>
  <c r="T81" i="9"/>
  <c r="AJ3" i="9"/>
  <c r="F81" i="9"/>
  <c r="AR3" i="9"/>
  <c r="V81" i="9"/>
  <c r="L81" i="9"/>
  <c r="AM3" i="9"/>
  <c r="AT3" i="9"/>
  <c r="Z81" i="9"/>
  <c r="N81" i="9"/>
  <c r="AN3" i="9"/>
  <c r="AP3" i="9"/>
  <c r="R81" i="9"/>
  <c r="AL3" i="9"/>
  <c r="J81" i="9"/>
  <c r="AK3" i="9"/>
  <c r="H81" i="9"/>
  <c r="AB15" i="9" l="1"/>
  <c r="AB81" i="9" s="1"/>
  <c r="AA30" i="9" l="1"/>
  <c r="AA15" i="9" s="1"/>
  <c r="AD30" i="9" l="1"/>
  <c r="AD15" i="9" s="1"/>
  <c r="AA81" i="9" l="1"/>
  <c r="AD81" i="9" s="1"/>
  <c r="U81" i="9"/>
  <c r="AR2" i="9"/>
</calcChain>
</file>

<file path=xl/comments1.xml><?xml version="1.0" encoding="utf-8"?>
<comments xmlns="http://schemas.openxmlformats.org/spreadsheetml/2006/main">
  <authors>
    <author>Hanlie H. Cloete</author>
    <author>LocalAdmin</author>
  </authors>
  <commentList>
    <comment ref="B19" authorId="0">
      <text>
        <r>
          <rPr>
            <b/>
            <sz val="10"/>
            <color indexed="81"/>
            <rFont val="Tahoma"/>
            <family val="2"/>
          </rPr>
          <t>Hanlie H. Cloete:</t>
        </r>
        <r>
          <rPr>
            <sz val="10"/>
            <color indexed="81"/>
            <rFont val="Tahoma"/>
            <family val="2"/>
          </rPr>
          <t xml:space="preserve">
exl paye, uif, sdl</t>
        </r>
      </text>
    </comment>
    <comment ref="D27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Training on BV eLearning Platform</t>
        </r>
      </text>
    </comment>
    <comment ref="N27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Testing Course</t>
        </r>
      </text>
    </comment>
    <comment ref="B52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Backup devices included R72 000 / 12months
laptop batteries also included R3 000
</t>
        </r>
      </text>
    </comment>
    <comment ref="B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Incl 23" Flatscreens 13 * R2 700
2 Projectors @ R5000 each
28 UPS @ R1200 each
</t>
        </r>
      </text>
    </comment>
    <comment ref="H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14 Site UPS @ R1200
</t>
        </r>
      </text>
    </comment>
    <comment ref="I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Dishwasher</t>
        </r>
      </text>
    </comment>
    <comment ref="J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Projector
</t>
        </r>
      </text>
    </comment>
    <comment ref="N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14 Site UPS @ R1200
</t>
        </r>
      </text>
    </comment>
    <comment ref="P61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Projector
</t>
        </r>
      </text>
    </comment>
    <comment ref="C99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HP Probook Bartosh en Cobus Olivier</t>
        </r>
      </text>
    </comment>
    <comment ref="G99" authorId="1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HP Probook Dirk Burger</t>
        </r>
      </text>
    </comment>
  </commentList>
</comments>
</file>

<file path=xl/sharedStrings.xml><?xml version="1.0" encoding="utf-8"?>
<x:sst xmlns:x="http://schemas.openxmlformats.org/spreadsheetml/2006/main" count="1171" uniqueCount="452">
  <x:si>
    <x:t>Accounting Fees</x:t>
  </x:si>
  <x:si>
    <x:t>Bank Charges</x:t>
  </x:si>
  <x:si>
    <x:t>Actual</x:t>
  </x:si>
  <x:si>
    <x:t>Management Fees</x:t>
  </x:si>
  <x:si>
    <x:t xml:space="preserve"> </x:t>
  </x:si>
  <x:si>
    <x:t>Interest Received</x:t>
  </x:si>
  <x:si>
    <x:t>Bad Debts</x:t>
  </x:si>
  <x:si>
    <x:t>Cleaning</x:t>
  </x:si>
  <x:si>
    <x:t>Electricity &amp; Water</x:t>
  </x:si>
  <x:si>
    <x:t>Interest Paid</x:t>
  </x:si>
  <x:si>
    <x:t>Enterprise development</x:t>
  </x:si>
  <x:si>
    <x:t>Protective Clothing</x:t>
  </x:si>
  <x:si>
    <x:t>Repairs &amp; Maintenance</x:t>
  </x:si>
  <x:si>
    <x:t>Security</x:t>
  </x:si>
  <x:si>
    <x:t>Budget</x:t>
  </x:si>
  <x:si>
    <x:t>Advertising &amp; Promotions</x:t>
  </x:si>
  <x:si>
    <x:t>Audit Fees</x:t>
  </x:si>
  <x:si>
    <x:t>Compensation Commisioner</x:t>
  </x:si>
  <x:si>
    <x:t>Riaan Bester</x:t>
  </x:si>
  <x:si>
    <x:t>Lyuda</x:t>
  </x:si>
  <x:si>
    <x:t>Courier &amp; Postage</x:t>
  </x:si>
  <x:si>
    <x:t>Depr - Computer Equipm</x:t>
  </x:si>
  <x:si>
    <x:t>Depr - Software</x:t>
  </x:si>
  <x:si>
    <x:t>Directors Fees &amp; Remuneration</x:t>
  </x:si>
  <x:si>
    <x:t>Entertainment Expenses</x:t>
  </x:si>
  <x:si>
    <x:t>General Expenses - Gifts</x:t>
  </x:si>
  <x:si>
    <x:t>Insurance Prof Indemnity</x:t>
  </x:si>
  <x:si>
    <x:t>Legal Fees</x:t>
  </x:si>
  <x:si>
    <x:t>Motor Vehicle - Petrol &amp; Oil</x:t>
  </x:si>
  <x:si>
    <x:t>Motor Vehicle - Repairs &amp; Maint.</x:t>
  </x:si>
  <x:si>
    <x:t>Motor Vehicle - Toll &amp; Parking</x:t>
  </x:si>
  <x:si>
    <x:t>Motor Vehicle - Insurance &amp; Licence</x:t>
  </x:si>
  <x:si>
    <x:t>Printing &amp; Stationery</x:t>
  </x:si>
  <x:si>
    <x:t>Salaries</x:t>
  </x:si>
  <x:si>
    <x:t>PAYE</x:t>
  </x:si>
  <x:si>
    <x:t>UIF</x:t>
  </x:si>
  <x:si>
    <x:t>SDL</x:t>
  </x:si>
  <x:si>
    <x:t>Louis Fourie</x:t>
  </x:si>
  <x:si>
    <x:t>Dawie Huysamen</x:t>
  </x:si>
  <x:si>
    <x:t>Sjoeb du Plessis</x:t>
  </x:si>
  <x:si>
    <x:t>De Wet du Plessis</x:t>
  </x:si>
  <x:si>
    <x:t>Accommodation</x:t>
  </x:si>
  <x:si>
    <x:t>Discount Received for Cash</x:t>
  </x:si>
  <x:si>
    <x:t>Pft/Loss on Sale of Non Current Assets</x:t>
  </x:si>
  <x:si>
    <x:t>Bad Debts Recovered</x:t>
  </x:si>
  <x:si>
    <x:t>Sundry Income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</x:si>
  <x:si>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</x:si>
  <x:si>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</x:si>
  <x:si>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</x:si>
  <x:si>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</x:si>
  <x:si>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</x:si>
  <x:si>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</x:si>
  <x:si>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</x:si>
  <x:si>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</x:si>
  <x:si>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</x:si>
  <x:si>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February</x:t>
  </x:si>
  <x:si>
    <x:t>January 2013</x:t>
  </x:si>
  <x:si>
    <x:t>March 2012</x:t>
  </x:si>
  <x:si>
    <x:t>Sales - income</x:t>
  </x:si>
  <x:si>
    <x:t>YTD</x:t>
  </x:si>
  <x:si>
    <x:t>Other income</x:t>
  </x:si>
  <x:si>
    <x:t>Provident fund</x:t>
  </x:si>
  <x:si>
    <x:t>PROFIT / (LOSS)</x:t>
  </x:si>
  <x:si>
    <x:t>Dirk van Aarde</x:t>
  </x:si>
  <x:si>
    <x:t>DIREKTEURSVERGOEDING</x:t>
  </x:si>
  <x:si>
    <x:t>F Scheepers</x:t>
  </x:si>
  <x:si>
    <x:t>Pierre Viljoen</x:t>
  </x:si>
  <x:si>
    <x:t>Morne Ausmeier</x:t>
  </x:si>
  <x:si>
    <x:t>Cobus Olivier</x:t>
  </x:si>
  <x:si>
    <x:t>Jaco Beylefeld</x:t>
  </x:si>
  <x:si>
    <x:t>Thea van der Hoogt</x:t>
  </x:si>
  <x:si>
    <x:t>Christo Labuschagne</x:t>
  </x:si>
  <x:si>
    <x:t>Lionel Marais</x:t>
  </x:si>
  <x:si>
    <x:t>Hannelie Koch</x:t>
  </x:si>
  <x:si>
    <x:t>Andre Coetzer</x:t>
  </x:si>
  <x:si>
    <x:t>Gerrie van Eeden</x:t>
  </x:si>
  <x:si>
    <x:t>Louis van Rooyen</x:t>
  </x:si>
  <x:si>
    <x:t>Egann Tarr</x:t>
  </x:si>
  <x:si>
    <x:t>Trix Smit</x:t>
  </x:si>
  <x:si>
    <x:t>Melony van Wyk</x:t>
  </x:si>
  <x:si>
    <x:t>Ezra Zwane</x:t>
  </x:si>
  <x:si>
    <x:t>Teboho Methola</x:t>
  </x:si>
  <x:si>
    <x:t>Michelle Engelbrecht</x:t>
  </x:si>
  <x:si>
    <x:t>Hanlie Cloete</x:t>
  </x:si>
  <x:si>
    <x:t>Heidi</x:t>
  </x:si>
  <x:si>
    <x:t>Erik vd Linde (Tekniva)</x:t>
  </x:si>
  <x:si>
    <x:t>Hanlie Bezuidenhout</x:t>
  </x:si>
  <x:si>
    <x:t>Ansie Geldenhuys</x:t>
  </x:si>
  <x:si>
    <x:t>Yolande Stapelberg</x:t>
  </x:si>
  <x:si>
    <x:t>Janine Combrink</x:t>
  </x:si>
  <x:si>
    <x:t>Majuba</x:t>
  </x:si>
  <x:si>
    <x:t>Matimba</x:t>
  </x:si>
  <x:si>
    <x:t>Duvha</x:t>
  </x:si>
  <x:si>
    <x:t>Tutuka</x:t>
  </x:si>
  <x:si>
    <x:t>Matla</x:t>
  </x:si>
  <x:si>
    <x:t>Refentse Madiba</x:t>
  </x:si>
  <x:si>
    <x:t>Dirk Burger</x:t>
  </x:si>
  <x:si>
    <x:t>Kriel</x:t>
  </x:si>
  <x:si>
    <x:t>Lappies Labuschagne</x:t>
  </x:si>
  <x:si>
    <x:t>Daniel Mabina</x:t>
  </x:si>
  <x:si>
    <x:t>Grootvlei</x:t>
  </x:si>
  <x:si>
    <x:t>Camden</x:t>
  </x:si>
  <x:si>
    <x:t>Carel Buitendag</x:t>
  </x:si>
  <x:si>
    <x:t>Komati</x:t>
  </x:si>
  <x:si>
    <x:t>Morne Mocke</x:t>
  </x:si>
  <x:si>
    <x:t>Cloedette Doyle</x:t>
  </x:si>
  <x:si>
    <x:t>Kendal</x:t>
  </x:si>
  <x:si>
    <x:t>Stephan Lambrechts</x:t>
  </x:si>
  <x:si>
    <x:t>Wouter Swart</x:t>
  </x:si>
  <x:si>
    <x:t>Natasja Roberts</x:t>
  </x:si>
  <x:si>
    <x:t>Hendrina</x:t>
  </x:si>
  <x:si>
    <x:t>Hannes Nel</x:t>
  </x:si>
  <x:si>
    <x:t>Rhodesta Trollip</x:t>
  </x:si>
  <x:si>
    <x:t>Arnot</x:t>
  </x:si>
  <x:si>
    <x:t>Basil Forssman</x:t>
  </x:si>
  <x:si>
    <x:t>Gideon Beukes</x:t>
  </x:si>
  <x:si>
    <x:t>Goestav Coetzee</x:t>
  </x:si>
  <x:si>
    <x:t>Technicians/Draughtsmen</x:t>
  </x:si>
  <x:si>
    <x:t>Draughtsman 1 - TBA fixed term (Grootvlei setup)</x:t>
  </x:si>
  <x:si>
    <x:t>Draughtman 2 - to be appointed</x:t>
  </x:si>
  <x:si>
    <x:t>Draughtman 3 - to be appointed</x:t>
  </x:si>
  <x:si>
    <x:t>Draughtsman 4 - TBA fixed term (Matimba)</x:t>
  </x:si>
  <x:si>
    <x:t>Data Tech 2 - to be appointed</x:t>
  </x:si>
  <x:si>
    <x:t>Pacific Soft (Amanda)</x:t>
  </x:si>
  <x:si>
    <x:t>To be appointed - Marketing engineer</x:t>
  </x:si>
  <x:si>
    <x:t>To be appointed - Proposal engineer</x:t>
  </x:si>
  <x:si>
    <x:t>ADMIN</x:t>
  </x:si>
  <x:si>
    <x:t>IT &amp; TRAINING</x:t>
  </x:si>
  <x:si>
    <x:t>SAFETY</x:t>
  </x:si>
  <x:si>
    <x:t>PROJECT MANAGERS</x:t>
  </x:si>
  <x:si>
    <x:t>SITE</x:t>
  </x:si>
  <x:si>
    <x:t>TEKNIVA</x:t>
  </x:si>
  <x:si>
    <x:t>AMREX</x:t>
  </x:si>
  <x:si>
    <x:t>MARKETING</x:t>
  </x:si>
  <x:si>
    <x:t>TOTAL SALARIES</x:t>
  </x:si>
  <x:si>
    <x:t>Bertus van den Berg</x:t>
  </x:si>
  <x:si>
    <x:t>Elize van Eeden</x:t>
  </x:si>
  <x:si>
    <x:t>George Nkadimeng</x:t>
  </x:si>
  <x:si>
    <x:t>Hans  Rautenbach</x:t>
  </x:si>
  <x:si>
    <x:t>Jaco Tromp</x:t>
  </x:si>
  <x:si>
    <x:t>Jan-Hendrik Fourie</x:t>
  </x:si>
  <x:si>
    <x:t>Kabelo Motsugi</x:t>
  </x:si>
  <x:si>
    <x:t>Louwrens de Wet</x:t>
  </x:si>
  <x:si>
    <x:t>Marius du Preez</x:t>
  </x:si>
  <x:si>
    <x:t>Matthee  Pretorius</x:t>
  </x:si>
  <x:si>
    <x:t>Melissa Roodt</x:t>
  </x:si>
  <x:si>
    <x:t>Naude Blignaut Kendal</x:t>
  </x:si>
  <x:si>
    <x:t>Nicolene Thirion</x:t>
  </x:si>
  <x:si>
    <x:t>Paul Greyling</x:t>
  </x:si>
  <x:si>
    <x:t>Richardt  Reyneke</x:t>
  </x:si>
  <x:si>
    <x:t>Ronel van Heerden</x:t>
  </x:si>
  <x:si>
    <x:t>Sakhumzi Dambuza</x:t>
  </x:si>
  <x:si>
    <x:t>Sine Boqwana</x:t>
  </x:si>
  <x:si>
    <x:t>Tanya  Meyer</x:t>
  </x:si>
  <x:si>
    <x:t>Wilhelm du Toit  - 6mnde</x:t>
  </x:si>
  <x:si>
    <x:t>Rudolf Dreyer  - 6mnde</x:t>
  </x:si>
  <x:si>
    <x:t>Wynand Ellis  - 6mnde</x:t>
  </x:si>
  <x:si>
    <x:t>Consulting - other</x:t>
  </x:si>
  <x:si>
    <x:t>Subscriptions</x:t>
  </x:si>
  <x:si>
    <x:t>Study bursaries</x:t>
  </x:si>
  <x:si>
    <x:t>PLANT CARE</x:t>
  </x:si>
  <x:si>
    <x:t xml:space="preserve">Travel - Overseas  </x:t>
  </x:si>
  <x:si>
    <x:t>0300/000</x:t>
  </x:si>
  <x:si>
    <x:t>0315/000</x:t>
  </x:si>
  <x:si>
    <x:t>Staff Training - inhouse training</x:t>
  </x:si>
  <x:si>
    <x:t>CAPEX - BATES NA BALANSSTAAT TOE</x:t>
  </x:si>
  <x:si>
    <x:t>Kontrak Naam</x:t>
  </x:si>
  <x:si>
    <x:t>Kontrak nr</x:t>
  </x:si>
  <x:si>
    <x:t>COST OF SALES</x:t>
  </x:si>
  <x:si>
    <x:t>SALES INCOME</x:t>
  </x:si>
  <x:si>
    <x:t>SALES INCOME PER CONTRACT</x:t>
  </x:si>
  <x:si>
    <x:t>COST OF SALES PER CONTRACT</x:t>
  </x:si>
  <x:si>
    <x:t>Contr Nr</x:t>
  </x:si>
  <x:si>
    <x:t>Kontrak naam</x:t>
  </x:si>
  <x:si>
    <x:t>GROSS PROFIT</x:t>
  </x:si>
  <x:si>
    <x:t>Cost of Sales</x:t>
  </x:si>
  <x:si>
    <x:t>Gross profit/(loss)</x:t>
  </x:si>
  <x:si>
    <x:t>March</x:t>
  </x:si>
  <x:si>
    <x:t>Apr</x:t>
  </x:si>
  <x:si>
    <x:t>Jun</x:t>
  </x:si>
  <x:si>
    <x:t>Jul</x:t>
  </x:si>
  <x:si>
    <x:t>Aug</x:t>
  </x:si>
  <x:si>
    <x:t>Oct</x:t>
  </x:si>
  <x:si>
    <x:t>Nov</x:t>
  </x:si>
  <x:si>
    <x:t>Dec</x:t>
  </x:si>
  <x:si>
    <x:t>Jan</x:t>
  </x:si>
  <x:si>
    <x:t>Feb</x:t>
  </x:si>
  <x:si>
    <x:t>Jaco van Heerden</x:t>
  </x:si>
  <x:si>
    <x:t>Stefan Olivier</x:t>
  </x:si>
  <x:si>
    <x:t>Gerhard Yssel</x:t>
  </x:si>
  <x:si>
    <x:t>Jan Brink</x:t>
  </x:si>
  <x:si>
    <x:t>To be appointed Engineering Tech</x:t>
  </x:si>
  <x:si>
    <x:t>Juanita Swart</x:t>
  </x:si>
  <x:si>
    <x:t>Jamie Vashaghian</x:t>
  </x:si>
  <x:si>
    <x:t xml:space="preserve">Christiaan </x:t>
  </x:si>
  <x:si>
    <x:t>Samantha Coetzer</x:t>
  </x:si>
  <x:si>
    <x:t>Jacques Holliday</x:t>
  </x:si>
  <x:si>
    <x:t>Chad Craddock</x:t>
  </x:si>
  <x:si>
    <x:t>Christopher Lombard</x:t>
  </x:si>
  <x:si>
    <x:t>Vakant Ingenieer</x:t>
  </x:si>
  <x:si>
    <x:t>Thys Smit</x:t>
  </x:si>
  <x:si>
    <x:t>Christina Botha</x:t>
  </x:si>
  <x:si>
    <x:t>Lethabo</x:t>
  </x:si>
  <x:si>
    <x:t>Jan-Albert Heymans</x:t>
  </x:si>
  <x:si>
    <x:t xml:space="preserve">Harry  Smook </x:t>
  </x:si>
  <x:si>
    <x:t>Jan Louis du Plooy</x:t>
  </x:si>
  <x:si>
    <x:t>Tumi Thekoeng</x:t>
  </x:si>
  <x:si>
    <x:t>QC, ISO 9000 &amp; Safety Officer  - to be appointed</x:t>
  </x:si>
  <x:si>
    <x:t>Design/Project Engineer -  TBA</x:t>
  </x:si>
  <x:si>
    <x:t xml:space="preserve">Belinda Brits                                                  </x:t>
  </x:si>
  <x:si>
    <x:t>Etienne Human</x:t>
  </x:si>
  <x:si>
    <x:t>OTHER</x:t>
  </x:si>
  <x:si>
    <x:t>OTHER UNDER FINANCE</x:t>
  </x:si>
  <x:si>
    <x:t>Mrt</x:t>
  </x:si>
  <x:si>
    <x:t>Mei</x:t>
  </x:si>
  <x:si>
    <x:t>Sept</x:t>
  </x:si>
  <x:si>
    <x:t>Okt</x:t>
  </x:si>
  <x:si>
    <x:t>Deon du Preez</x:t>
  </x:si>
  <x:si>
    <x:t>Elandri Steenkamp</x:t>
  </x:si>
  <x:si>
    <x:t>Jan-Hendrik Coetzee</x:t>
  </x:si>
  <x:si>
    <x:t>SLA</x:t>
  </x:si>
  <x:si>
    <x:t>Rumeneration</x:t>
  </x:si>
  <x:si>
    <x:t>UIF 1 % employee</x:t>
  </x:si>
  <x:si>
    <x:t>Net pay</x:t>
  </x:si>
  <x:si>
    <x:t>SDL comp</x:t>
  </x:si>
  <x:si>
    <x:t>UIF Comp</x:t>
  </x:si>
  <x:si>
    <x:t>Verskille</x:t>
  </x:si>
  <x:si>
    <x:t>Bonusse</x:t>
  </x:si>
  <x:si>
    <x:t>Begrote pay</x:t>
  </x:si>
  <x:si>
    <x:t>Martin Koorsen</x:t>
  </x:si>
  <x:si>
    <x:t>Plaaswerkers</x:t>
  </x:si>
  <x:si>
    <x:t>Truter</x:t>
  </x:si>
  <x:si>
    <x:t>Entrophy (Fanie Scheepers)</x:t>
  </x:si>
  <x:si>
    <x:t>Jan Hendrik Coetzee</x:t>
  </x:si>
  <x:si>
    <x:t>Basic</x:t>
  </x:si>
  <x:si>
    <x:t>Bonus</x:t>
  </x:si>
  <x:si>
    <x:t>Gross</x:t>
  </x:si>
  <x:si>
    <x:t>uif empoyer</x:t>
  </x:si>
  <x:si>
    <x:t>uif employee</x:t>
  </x:si>
  <x:si>
    <x:t>sdl employee</x:t>
  </x:si>
  <x:si>
    <x:t>paye</x:t>
  </x:si>
  <x:si>
    <x:t>total deduct</x:t>
  </x:si>
  <x:si>
    <x:t xml:space="preserve">total cost </x:t>
  </x:si>
  <x:si>
    <x:t>tot comp contrib</x:t>
  </x:si>
  <x:si>
    <x:t>Nett salary</x:t>
  </x:si>
  <x:si>
    <x:t>Belinda Brits</x:t>
  </x:si>
  <x:si>
    <x:t>Bertus vd Bergh</x:t>
  </x:si>
  <x:si>
    <x:t>CMF Botha</x:t>
  </x:si>
  <x:si>
    <x:t>Christiaan vd Merwe</x:t>
  </x:si>
  <x:si>
    <x:t>AE Grimbeek</x:t>
  </x:si>
  <x:si>
    <x:t>Ettiene Human</x:t>
  </x:si>
  <x:si>
    <x:t>Fanie Scheepers</x:t>
  </x:si>
  <x:si>
    <x:t>Herman du Plooy</x:t>
  </x:si>
  <x:si>
    <x:t>Hans Rautenbach</x:t>
  </x:si>
  <x:si>
    <x:t>Harry Smook</x:t>
  </x:si>
  <x:si>
    <x:t>Jan-Louis du Plooy</x:t>
  </x:si>
  <x:si>
    <x:t>Kurt Heidrich</x:t>
  </x:si>
  <x:si>
    <x:t>Lauwrens de Wet</x:t>
  </x:si>
  <x:si>
    <x:t>Lappies labuschagne</x:t>
  </x:si>
  <x:si>
    <x:t>Matthee Pretorius</x:t>
  </x:si>
  <x:si>
    <x:t>Michelle Reyneke</x:t>
  </x:si>
  <x:si>
    <x:t>Melanie van Wyk</x:t>
  </x:si>
  <x:si>
    <x:t>Nastasja Roberts</x:t>
  </x:si>
  <x:si>
    <x:t>BR Dreyer</x:t>
  </x:si>
  <x:si>
    <x:t>Richard Reyneke</x:t>
  </x:si>
  <x:si>
    <x:t>SC Dannatt</x:t>
  </x:si>
  <x:si>
    <x:t>Tanya Meyer</x:t>
  </x:si>
  <x:si>
    <x:t>Tumi thekoeng</x:t>
  </x:si>
  <x:si>
    <x:t>Wilhelm du Toit</x:t>
  </x:si>
  <x:si>
    <x:t>Wynand Ellis</x:t>
  </x:si>
  <x:si>
    <x:t>Naude Blignaut</x:t>
  </x:si>
  <x:si>
    <x:t>Etzard Grimbeek</x:t>
  </x:si>
  <x:si>
    <x:t>Shawn Dannatt</x:t>
  </x:si>
  <x:si>
    <x:t xml:space="preserve">Wynand Ellis  </x:t>
  </x:si>
  <x:si>
    <x:t>it</x:t>
  </x:si>
  <x:si>
    <x:t>finance</x:t>
  </x:si>
  <x:si>
    <x:t>projects</x:t>
  </x:si>
  <x:si>
    <x:t>amrex</x:t>
  </x:si>
  <x:si>
    <x:t>Jacques Lombard</x:t>
  </x:si>
  <x:si>
    <x:t>Louandi Smuts</x:t>
  </x:si>
  <x:si>
    <x:t>Phumlani Blose</x:t>
  </x:si>
  <x:si>
    <x:t>Momentum</x:t>
  </x:si>
  <x:si>
    <x:t>AMRE</x:t>
  </x:si>
  <x:si>
    <x:t>Variance</x:t>
  </x:si>
  <x:si>
    <x:t>Henry Bartosh</x:t>
  </x:si>
  <x:si>
    <x:t>maart</x:t>
  </x:si>
  <x:si>
    <x:t>mei</x:t>
  </x:si>
  <x:si>
    <x:t>junie</x:t>
  </x:si>
  <x:si>
    <x:t>julie</x:t>
  </x:si>
  <x:si>
    <x:t>aug</x:t>
  </x:si>
  <x:si>
    <x:t>sept</x:t>
  </x:si>
  <x:si>
    <x:t>okt</x:t>
  </x:si>
  <x:si>
    <x:t>nov</x:t>
  </x:si>
  <x:si>
    <x:t>des</x:t>
  </x:si>
  <x:si>
    <x:t>jan</x:t>
  </x:si>
  <x:si>
    <x:t>feb</x:t>
  </x:si>
  <x:si>
    <x:t>set up</x:t>
  </x:si>
  <x:si>
    <x:t>software lic</x:t>
  </x:si>
  <x:si>
    <x:t>site engineer</x:t>
  </x:si>
  <x:si>
    <x:t>admin</x:t>
  </x:si>
  <x:si>
    <x:t>Total</x:t>
  </x:si>
  <x:si>
    <x:t>komati</x:t>
  </x:si>
  <x:si>
    <x:t>Engineering Manager</x:t>
  </x:si>
  <x:si>
    <x:t>Project Management/ Supervisor</x:t>
  </x:si>
  <x:si>
    <x:t>Safety Officer</x:t>
  </x:si>
  <x:si>
    <x:t>Plant Care Eng normal time (all inclusive)</x:t>
  </x:si>
  <x:si>
    <x:t>Engineering Technician normal time (all inclusive)</x:t>
  </x:si>
  <x:si>
    <x:t>Data Technician normal time (all inclusive)</x:t>
  </x:si>
  <x:si>
    <x:t>Budget YTD</x:t>
  </x:si>
  <x:si>
    <x:t>Budget 12MONTHS</x:t>
  </x:si>
  <x:si>
    <x:t>Verander elke maand formule !!</x:t>
  </x:si>
  <x:si>
    <x:t>BUDGET YTD</x:t>
  </x:si>
  <x:si>
    <x:t>Budget 12 Months</x:t>
  </x:si>
  <x:si>
    <x:t>Budget 12Months</x:t>
  </x:si>
  <x:si>
    <x:t>MET VERHOGING</x:t>
  </x:si>
  <x:si>
    <x:t>Research &amp; Development _ IT&amp; Venture Capital</x:t>
  </x:si>
  <x:si>
    <x:t>Debbie Bocsh</x:t>
  </x:si>
  <x:si>
    <x:t>Nationale kontrak grafiek</x:t>
  </x:si>
  <x:si>
    <x:t>Mark Lonn</x:t>
  </x:si>
  <x:si>
    <x:t>Jane Peens</x:t>
  </x:si>
  <x:si>
    <x:t>Act YTD - Buget YTD</x:t>
  </x:si>
  <x:si>
    <x:t>Johann Naude</x:t>
  </x:si>
  <x:si>
    <x:t>JP Pieterse</x:t>
  </x:si>
  <x:si>
    <x:t>Billa Pansegrauw</x:t>
  </x:si>
  <x:si>
    <x:t>Nicolene Brits</x:t>
  </x:si>
  <x:si>
    <x:t>March 2013</x:t>
  </x:si>
  <x:si>
    <x:t>Christina Prinsloo-Botha</x:t>
  </x:si>
  <x:si>
    <x:t>George Mathai</x:t>
  </x:si>
  <x:si>
    <x:t>Piet Skhonde</x:t>
  </x:si>
  <x:si>
    <x:t>Wikus van den Heever</x:t>
  </x:si>
  <x:si>
    <x:t>TO BE APPOINTED</x:t>
  </x:si>
  <x:si>
    <x:t>Technician</x:t>
  </x:si>
  <x:si>
    <x:t>Admin - Tekniva</x:t>
  </x:si>
  <x:si>
    <x:t>Josephine Mahlangu</x:t>
  </x:si>
  <x:si>
    <x:t>Heinrich Stander</x:t>
  </x:si>
  <x:si>
    <x:t>Kurt Heidrich - Vakante pos</x:t>
  </x:si>
  <x:si>
    <x:t>Johann du Pisanie</x:t>
  </x:si>
  <x:si>
    <x:t>Louwrens Potgieter</x:t>
  </x:si>
  <x:si>
    <x:t>Rian Louwrens</x:t>
  </x:si>
  <x:si>
    <x:t>Gustav Coetzee</x:t>
  </x:si>
  <x:si>
    <x:t>Gerhard F  Coetzee</x:t>
  </x:si>
  <x:si>
    <x:t>OT 2</x:t>
  </x:si>
  <x:si>
    <x:t>OT 1.5</x:t>
  </x:si>
  <x:si>
    <x:t>OT 1</x:t>
  </x:si>
  <x:si>
    <x:t>Hannes Nel (Johan Enslin is nou in sy plek)</x:t>
  </x:si>
  <x:si>
    <x:t>VIP Syfer end Januarie 2013 - dus 11 mnde</x:t>
  </x:si>
  <x:si>
    <x:t>TOTAL OT</x:t>
  </x:si>
  <x:si>
    <x:t>GEMID OT</x:t>
  </x:si>
  <x:si>
    <x:t>Living out</x:t>
  </x:si>
  <x:si>
    <x:t>OT1.5</x:t>
  </x:si>
  <x:si>
    <x:t>OT2.0</x:t>
  </x:si>
  <x:si>
    <x:t>BCEA Leave</x:t>
  </x:si>
  <x:si>
    <x:t>Km's Taxable</x:t>
  </x:si>
  <x:si>
    <x:t>Km's Non Taxable</x:t>
  </x:si>
  <x:si>
    <x:t>Leave paid out - dit is vir outjies wat bedank het</x:t>
  </x:si>
  <x:si>
    <x:t>Carab on Tekniva's payroll</x:t>
  </x:si>
  <x:si>
    <x:t>Other on Carab's payroll</x:t>
  </x:si>
  <x:si>
    <x:t>Forecast</x:t>
  </x:si>
  <x:si>
    <x:t>Rudi Smit</x:t>
  </x:si>
  <x:si>
    <x:t>MWEB</x:t>
  </x:si>
  <x:si>
    <x:t xml:space="preserve">BO R7 000 </x:t>
  </x:si>
  <x:si>
    <x:t>PREV YEAR</x:t>
  </x:si>
  <x:si>
    <x:t>Small Assets Less than R7 000</x:t>
  </x:si>
  <x:si>
    <x:t>64111</x:t>
  </x:si>
  <x:si>
    <x:t>64530</x:t>
  </x:si>
  <x:si>
    <x:t>64126</x:t>
  </x:si>
  <x:si>
    <x:t>648801</x:t>
  </x:si>
  <x:si>
    <x:t>Staff Medicals</x:t>
  </x:si>
  <x:si>
    <x:t>633301</x:t>
  </x:si>
  <x:si>
    <x:t>Staff Training - external training</x:t>
  </x:si>
  <x:si>
    <x:t>633302</x:t>
  </x:si>
  <x:si>
    <x:t>633300</x:t>
  </x:si>
  <x:si>
    <x:t>658510</x:t>
  </x:si>
  <x:si>
    <x:t>Personel Services</x:t>
  </x:si>
  <x:si>
    <x:t>658511</x:t>
  </x:si>
  <x:si>
    <x:t>61524</x:t>
  </x:si>
  <x:si>
    <x:t>62512</x:t>
  </x:si>
  <x:si>
    <x:t>Travel exp : direct costs</x:t>
  </x:si>
  <x:si>
    <x:t>625801</x:t>
  </x:si>
  <x:si>
    <x:t>625802</x:t>
  </x:si>
  <x:si>
    <x:t>62510</x:t>
  </x:si>
  <x:si>
    <x:t>61602</x:t>
  </x:si>
  <x:si>
    <x:t>62586</x:t>
  </x:si>
  <x:si>
    <x:t>68114</x:t>
  </x:si>
  <x:si>
    <x:t>Depreciation Transport Equipment</x:t>
  </x:si>
  <x:si>
    <x:t>Depr - Furnishings</x:t>
  </x:si>
  <x:si>
    <x:t>68118</x:t>
  </x:si>
  <x:si>
    <x:t>68119</x:t>
  </x:si>
  <x:si>
    <x:t>68117/68110</x:t>
  </x:si>
  <x:si>
    <x:t>61521</x:t>
  </x:si>
  <x:si>
    <x:t>61530</x:t>
  </x:si>
  <x:si>
    <x:t>613212</x:t>
  </x:si>
  <x:si>
    <x:t>Rent - Sasol Office</x:t>
  </x:si>
  <x:si>
    <x:t>613211</x:t>
  </x:si>
  <x:si>
    <x:t>Rent - Mark 40</x:t>
  </x:si>
  <x:si>
    <x:t>613210</x:t>
  </x:si>
  <x:si>
    <x:t>Rent - Mark 33</x:t>
  </x:si>
  <x:si>
    <x:t>613213</x:t>
  </x:si>
  <x:si>
    <x:t>Rent - CSIR Office</x:t>
  </x:si>
  <x:si>
    <x:t>60200</x:t>
  </x:si>
  <x:si>
    <x:t>Cartridges (Csmable not alloc to a job)</x:t>
  </x:si>
  <x:si>
    <x:t>60402</x:t>
  </x:si>
  <x:si>
    <x:t>Outside Computer costs</x:t>
  </x:si>
  <x:si>
    <x:t>62600</x:t>
  </x:si>
  <x:si>
    <x:t>Telecommunication</x:t>
  </x:si>
  <x:si>
    <x:t>62620</x:t>
  </x:si>
  <x:si>
    <x:t>62700</x:t>
  </x:si>
  <x:si>
    <x:t>62810</x:t>
  </x:si>
  <x:si>
    <x:t>615803</x:t>
  </x:si>
  <x:si>
    <x:t>615801</x:t>
  </x:si>
  <x:si>
    <x:t>615802</x:t>
  </x:si>
  <x:si>
    <x:t>62310</x:t>
  </x:si>
  <x:si>
    <x:t>62341</x:t>
  </x:si>
  <x:si>
    <x:t>62570</x:t>
  </x:si>
  <x:si>
    <x:t>625701</x:t>
  </x:si>
  <x:si>
    <x:t>Staff Welfare Teas and coffee</x:t>
  </x:si>
  <x:si>
    <x:t>623801</x:t>
  </x:si>
  <x:si>
    <x:t>623831</x:t>
  </x:si>
  <x:si>
    <x:t>623802</x:t>
  </x:si>
  <x:si>
    <x:t>61600</x:t>
  </x:si>
  <x:si>
    <x:t>62261</x:t>
  </x:si>
  <x:si>
    <x:t>66120</x:t>
  </x:si>
  <x:si>
    <x:t>Annual Leave accruals</x:t>
  </x:si>
  <x:si>
    <x:t>64192</x:t>
  </x:si>
  <x:si>
    <x:t>Annual Bonus accruals</x:t>
  </x:si>
  <x:si>
    <x:t>68110</x:t>
  </x:si>
  <x:si>
    <x:t>Depr - Buildings</x:t>
  </x:si>
  <x:si>
    <x:t>61522</x:t>
  </x:si>
  <x:si>
    <x:t>Software maintenance costs</x:t>
  </x:si>
  <x:si>
    <x:t>626301</x:t>
  </x:si>
  <x:si>
    <x:t>Socio Development - Ekangala</x:t>
  </x:si>
  <x:si>
    <x:t>Socio Development - Mali Martin</x:t>
  </x:si>
  <x:si>
    <x:t>623830</x:t>
  </x:si>
  <x:si>
    <x:t>64880</x:t>
  </x:si>
  <x:si>
    <x:t>64112</x:t>
  </x:si>
  <x:si>
    <x:t>62267</x:t>
  </x:si>
  <x:si>
    <x:t>Actual 2015</x:t>
  </x:si>
  <x:si>
    <x:t>FORECAST DEC 2016</x:t>
  </x:si>
  <x:si>
    <x:t>R &amp; D I</x:t>
  </x:si>
  <x:si>
    <x:t>Laptop's Additional</x:t>
  </x:si>
  <x:si>
    <x:t>New Printers - colour</x:t>
  </x:si>
  <x:si>
    <x:t>PC's Equipment for new Staff</x:t>
  </x:si>
  <x:si>
    <x:t>Laptop's for new Staff</x:t>
  </x:si>
  <x:si>
    <x:t>Replacement  - Capturing PC's</x:t>
  </x:si>
  <x:si>
    <x:t>Replacement of older  PC's</x:t>
  </x:si>
  <x:si>
    <x:t>Replacement of older  Laptop's</x:t>
  </x:si>
  <x:si>
    <x:t>Expenses</x:t>
  </x:si>
  <x:si>
    <x:t>Forex unreal gain/loss</x:t>
  </x:si>
  <x:si>
    <x:t>66683/76683</x:t>
  </x:si>
  <x:si>
    <x:t>6226A</x:t>
  </x:si>
  <x:si>
    <x:t>Actual Expenses</x:t>
  </x:si>
  <x:si>
    <x:t>Budget Expenses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</x:si>
</x:sst>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 [$R-1C09]\ * #,##0.00_ ;_ [$R-1C09]\ * \-#,##0.00_ ;_ [$R-1C09]\ * &quot;-&quot;??_ ;_ @_ "/>
    <numFmt numFmtId="166" formatCode="_ * #,##0_ ;_ * \-#,##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61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Arial"/>
      <family val="2"/>
    </font>
    <font>
      <b/>
      <sz val="10"/>
      <color indexed="17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3366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FF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indexed="64"/>
      </top>
      <bottom/>
      <diagonal/>
    </border>
    <border>
      <left style="medium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 style="double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554">
    <xf numFmtId="0" fontId="0" fillId="0" borderId="0" xfId="0"/>
    <xf numFmtId="0" fontId="0" fillId="0" borderId="0" xfId="0" applyFill="1" applyBorder="1"/>
    <xf numFmtId="49" fontId="1" fillId="0" borderId="4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43" fontId="7" fillId="0" borderId="21" xfId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43" fontId="7" fillId="0" borderId="2" xfId="1" applyFont="1" applyFill="1" applyBorder="1" applyAlignment="1">
      <alignment horizontal="center"/>
    </xf>
    <xf numFmtId="0" fontId="1" fillId="0" borderId="0" xfId="0" applyFont="1" applyFill="1"/>
    <xf numFmtId="49" fontId="0" fillId="0" borderId="24" xfId="0" applyNumberFormat="1" applyFill="1" applyBorder="1" applyAlignment="1">
      <alignment horizontal="left"/>
    </xf>
    <xf numFmtId="0" fontId="0" fillId="0" borderId="25" xfId="0" applyFill="1" applyBorder="1"/>
    <xf numFmtId="43" fontId="0" fillId="0" borderId="25" xfId="1" applyFont="1" applyFill="1" applyBorder="1"/>
    <xf numFmtId="0" fontId="12" fillId="0" borderId="25" xfId="0" applyFont="1" applyFill="1" applyBorder="1"/>
    <xf numFmtId="43" fontId="9" fillId="0" borderId="25" xfId="1" applyFont="1" applyFill="1" applyBorder="1"/>
    <xf numFmtId="49" fontId="0" fillId="0" borderId="0" xfId="0" applyNumberFormat="1" applyFill="1" applyAlignment="1">
      <alignment horizontal="left"/>
    </xf>
    <xf numFmtId="43" fontId="4" fillId="0" borderId="0" xfId="1" applyFont="1" applyFill="1"/>
    <xf numFmtId="43" fontId="12" fillId="0" borderId="0" xfId="1" applyFont="1" applyFill="1"/>
    <xf numFmtId="43" fontId="5" fillId="0" borderId="0" xfId="1" applyFont="1" applyFill="1"/>
    <xf numFmtId="43" fontId="0" fillId="0" borderId="0" xfId="1" applyFont="1" applyFill="1"/>
    <xf numFmtId="0" fontId="4" fillId="0" borderId="0" xfId="0" applyFont="1" applyFill="1"/>
    <xf numFmtId="0" fontId="12" fillId="0" borderId="0" xfId="0" applyFont="1" applyFill="1"/>
    <xf numFmtId="0" fontId="5" fillId="0" borderId="0" xfId="0" applyFont="1" applyFill="1"/>
    <xf numFmtId="49" fontId="0" fillId="0" borderId="5" xfId="0" applyNumberFormat="1" applyFill="1" applyBorder="1" applyAlignment="1">
      <alignment horizontal="left"/>
    </xf>
    <xf numFmtId="0" fontId="0" fillId="0" borderId="3" xfId="0" applyFill="1" applyBorder="1"/>
    <xf numFmtId="43" fontId="0" fillId="0" borderId="11" xfId="1" applyFont="1" applyFill="1" applyBorder="1"/>
    <xf numFmtId="43" fontId="9" fillId="0" borderId="12" xfId="1" applyFont="1" applyFill="1" applyBorder="1"/>
    <xf numFmtId="43" fontId="0" fillId="0" borderId="2" xfId="1" applyFont="1" applyFill="1" applyBorder="1"/>
    <xf numFmtId="0" fontId="0" fillId="0" borderId="0" xfId="0" applyFill="1"/>
    <xf numFmtId="49" fontId="0" fillId="0" borderId="28" xfId="0" applyNumberFormat="1" applyFill="1" applyBorder="1" applyAlignment="1">
      <alignment horizontal="left"/>
    </xf>
    <xf numFmtId="0" fontId="0" fillId="0" borderId="18" xfId="0" applyFill="1" applyBorder="1"/>
    <xf numFmtId="0" fontId="4" fillId="0" borderId="18" xfId="0" applyFont="1" applyFill="1" applyBorder="1"/>
    <xf numFmtId="0" fontId="12" fillId="0" borderId="18" xfId="0" applyFont="1" applyFill="1" applyBorder="1"/>
    <xf numFmtId="43" fontId="12" fillId="0" borderId="18" xfId="0" applyNumberFormat="1" applyFont="1" applyFill="1" applyBorder="1"/>
    <xf numFmtId="0" fontId="5" fillId="0" borderId="18" xfId="0" applyFont="1" applyFill="1" applyBorder="1"/>
    <xf numFmtId="43" fontId="0" fillId="0" borderId="18" xfId="1" applyFont="1" applyFill="1" applyBorder="1"/>
    <xf numFmtId="49" fontId="1" fillId="0" borderId="10" xfId="0" applyNumberFormat="1" applyFont="1" applyFill="1" applyBorder="1" applyAlignment="1">
      <alignment horizontal="center"/>
    </xf>
    <xf numFmtId="0" fontId="1" fillId="0" borderId="48" xfId="0" applyNumberFormat="1" applyFont="1" applyFill="1" applyBorder="1" applyAlignment="1">
      <alignment horizontal="center"/>
    </xf>
    <xf numFmtId="1" fontId="6" fillId="0" borderId="49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left"/>
    </xf>
    <xf numFmtId="43" fontId="0" fillId="4" borderId="11" xfId="1" applyFont="1" applyFill="1" applyBorder="1"/>
    <xf numFmtId="43" fontId="9" fillId="4" borderId="12" xfId="1" applyFont="1" applyFill="1" applyBorder="1"/>
    <xf numFmtId="43" fontId="0" fillId="4" borderId="2" xfId="1" applyFont="1" applyFill="1" applyBorder="1"/>
    <xf numFmtId="0" fontId="1" fillId="0" borderId="51" xfId="0" applyFont="1" applyFill="1" applyBorder="1"/>
    <xf numFmtId="43" fontId="0" fillId="5" borderId="11" xfId="1" applyFont="1" applyFill="1" applyBorder="1"/>
    <xf numFmtId="43" fontId="9" fillId="5" borderId="12" xfId="1" applyFont="1" applyFill="1" applyBorder="1"/>
    <xf numFmtId="43" fontId="0" fillId="5" borderId="2" xfId="1" applyFont="1" applyFill="1" applyBorder="1"/>
    <xf numFmtId="0" fontId="0" fillId="0" borderId="48" xfId="0" applyFill="1" applyBorder="1"/>
    <xf numFmtId="0" fontId="0" fillId="0" borderId="5" xfId="0" applyFill="1" applyBorder="1"/>
    <xf numFmtId="49" fontId="0" fillId="5" borderId="5" xfId="0" applyNumberFormat="1" applyFill="1" applyBorder="1" applyAlignment="1">
      <alignment horizontal="left"/>
    </xf>
    <xf numFmtId="0" fontId="15" fillId="4" borderId="3" xfId="0" applyFont="1" applyFill="1" applyBorder="1"/>
    <xf numFmtId="0" fontId="1" fillId="0" borderId="50" xfId="0" applyFont="1" applyFill="1" applyBorder="1" applyAlignment="1">
      <alignment horizontal="center"/>
    </xf>
    <xf numFmtId="0" fontId="15" fillId="5" borderId="3" xfId="0" applyFont="1" applyFill="1" applyBorder="1"/>
    <xf numFmtId="49" fontId="0" fillId="6" borderId="5" xfId="0" applyNumberFormat="1" applyFill="1" applyBorder="1" applyAlignment="1">
      <alignment horizontal="left"/>
    </xf>
    <xf numFmtId="1" fontId="6" fillId="6" borderId="3" xfId="0" applyNumberFormat="1" applyFont="1" applyFill="1" applyBorder="1" applyAlignment="1">
      <alignment horizontal="center"/>
    </xf>
    <xf numFmtId="43" fontId="0" fillId="6" borderId="11" xfId="1" applyFont="1" applyFill="1" applyBorder="1"/>
    <xf numFmtId="43" fontId="9" fillId="6" borderId="12" xfId="1" applyFont="1" applyFill="1" applyBorder="1"/>
    <xf numFmtId="43" fontId="0" fillId="6" borderId="2" xfId="1" applyFont="1" applyFill="1" applyBorder="1"/>
    <xf numFmtId="43" fontId="1" fillId="6" borderId="13" xfId="1" applyFont="1" applyFill="1" applyBorder="1"/>
    <xf numFmtId="43" fontId="11" fillId="6" borderId="14" xfId="1" applyFont="1" applyFill="1" applyBorder="1"/>
    <xf numFmtId="43" fontId="1" fillId="6" borderId="17" xfId="1" applyFont="1" applyFill="1" applyBorder="1"/>
    <xf numFmtId="49" fontId="0" fillId="4" borderId="5" xfId="0" applyNumberFormat="1" applyFont="1" applyFill="1" applyBorder="1" applyAlignment="1">
      <alignment horizontal="left"/>
    </xf>
    <xf numFmtId="0" fontId="0" fillId="4" borderId="3" xfId="0" applyFont="1" applyFill="1" applyBorder="1"/>
    <xf numFmtId="43" fontId="3" fillId="4" borderId="11" xfId="1" applyFont="1" applyFill="1" applyBorder="1"/>
    <xf numFmtId="43" fontId="3" fillId="4" borderId="2" xfId="1" applyFont="1" applyFill="1" applyBorder="1"/>
    <xf numFmtId="1" fontId="22" fillId="4" borderId="3" xfId="0" applyNumberFormat="1" applyFont="1" applyFill="1" applyBorder="1" applyAlignment="1">
      <alignment horizontal="center"/>
    </xf>
    <xf numFmtId="49" fontId="0" fillId="5" borderId="5" xfId="0" applyNumberFormat="1" applyFont="1" applyFill="1" applyBorder="1" applyAlignment="1">
      <alignment horizontal="left"/>
    </xf>
    <xf numFmtId="0" fontId="0" fillId="5" borderId="0" xfId="0" applyFont="1" applyFill="1" applyBorder="1"/>
    <xf numFmtId="43" fontId="3" fillId="5" borderId="11" xfId="1" applyFont="1" applyFill="1" applyBorder="1"/>
    <xf numFmtId="43" fontId="3" fillId="5" borderId="2" xfId="1" applyFont="1" applyFill="1" applyBorder="1"/>
    <xf numFmtId="0" fontId="0" fillId="5" borderId="5" xfId="0" applyFont="1" applyFill="1" applyBorder="1"/>
    <xf numFmtId="0" fontId="1" fillId="0" borderId="4" xfId="0" applyFont="1" applyFill="1" applyBorder="1" applyAlignment="1">
      <alignment horizontal="center"/>
    </xf>
    <xf numFmtId="0" fontId="0" fillId="4" borderId="3" xfId="0" applyFill="1" applyBorder="1"/>
    <xf numFmtId="49" fontId="1" fillId="0" borderId="4" xfId="0" applyNumberFormat="1" applyFont="1" applyFill="1" applyBorder="1" applyAlignment="1" applyProtection="1">
      <alignment horizontal="left"/>
      <protection locked="0"/>
    </xf>
    <xf numFmtId="49" fontId="1" fillId="0" borderId="6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0" fontId="7" fillId="0" borderId="19" xfId="0" applyFont="1" applyFill="1" applyBorder="1" applyAlignment="1" applyProtection="1">
      <alignment horizontal="center"/>
      <protection locked="0"/>
    </xf>
    <xf numFmtId="0" fontId="10" fillId="0" borderId="20" xfId="0" applyFont="1" applyFill="1" applyBorder="1" applyAlignment="1" applyProtection="1">
      <alignment horizontal="center"/>
      <protection locked="0"/>
    </xf>
    <xf numFmtId="43" fontId="7" fillId="0" borderId="21" xfId="1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7" fillId="0" borderId="11" xfId="0" applyFont="1" applyFill="1" applyBorder="1" applyAlignment="1" applyProtection="1">
      <alignment horizontal="center"/>
      <protection locked="0"/>
    </xf>
    <xf numFmtId="0" fontId="10" fillId="0" borderId="12" xfId="0" applyFont="1" applyFill="1" applyBorder="1" applyAlignment="1" applyProtection="1">
      <alignment horizontal="center"/>
      <protection locked="0"/>
    </xf>
    <xf numFmtId="43" fontId="7" fillId="0" borderId="2" xfId="1" applyFont="1" applyFill="1" applyBorder="1" applyAlignment="1" applyProtection="1">
      <alignment horizontal="center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3" fontId="0" fillId="0" borderId="11" xfId="1" applyFont="1" applyFill="1" applyBorder="1" applyProtection="1">
      <protection locked="0"/>
    </xf>
    <xf numFmtId="43" fontId="9" fillId="0" borderId="12" xfId="1" applyFont="1" applyFill="1" applyBorder="1" applyProtection="1">
      <protection locked="0"/>
    </xf>
    <xf numFmtId="43" fontId="0" fillId="0" borderId="2" xfId="1" applyFont="1" applyFill="1" applyBorder="1" applyProtection="1">
      <protection locked="0"/>
    </xf>
    <xf numFmtId="0" fontId="0" fillId="0" borderId="0" xfId="0" applyFill="1" applyProtection="1">
      <protection locked="0"/>
    </xf>
    <xf numFmtId="43" fontId="1" fillId="0" borderId="13" xfId="1" applyFont="1" applyFill="1" applyBorder="1" applyProtection="1">
      <protection locked="0"/>
    </xf>
    <xf numFmtId="43" fontId="11" fillId="0" borderId="14" xfId="1" applyFont="1" applyFill="1" applyBorder="1" applyProtection="1">
      <protection locked="0"/>
    </xf>
    <xf numFmtId="43" fontId="1" fillId="0" borderId="17" xfId="1" applyFont="1" applyFill="1" applyBorder="1" applyProtection="1">
      <protection locked="0"/>
    </xf>
    <xf numFmtId="49" fontId="1" fillId="0" borderId="5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0" fillId="0" borderId="3" xfId="0" applyFill="1" applyBorder="1" applyProtection="1">
      <protection locked="0"/>
    </xf>
    <xf numFmtId="43" fontId="1" fillId="0" borderId="11" xfId="1" applyFont="1" applyFill="1" applyBorder="1" applyProtection="1">
      <protection locked="0"/>
    </xf>
    <xf numFmtId="43" fontId="11" fillId="0" borderId="12" xfId="1" applyFont="1" applyFill="1" applyBorder="1" applyProtection="1">
      <protection locked="0"/>
    </xf>
    <xf numFmtId="43" fontId="1" fillId="0" borderId="2" xfId="1" applyFont="1" applyFill="1" applyBorder="1" applyProtection="1">
      <protection locked="0"/>
    </xf>
    <xf numFmtId="49" fontId="1" fillId="0" borderId="48" xfId="0" applyNumberFormat="1" applyFont="1" applyFill="1" applyBorder="1" applyAlignment="1" applyProtection="1">
      <alignment horizontal="left"/>
      <protection locked="0"/>
    </xf>
    <xf numFmtId="0" fontId="1" fillId="0" borderId="52" xfId="0" applyFont="1" applyFill="1" applyBorder="1" applyProtection="1">
      <protection locked="0"/>
    </xf>
    <xf numFmtId="43" fontId="1" fillId="0" borderId="53" xfId="1" applyFont="1" applyFill="1" applyBorder="1" applyProtection="1">
      <protection locked="0"/>
    </xf>
    <xf numFmtId="43" fontId="11" fillId="0" borderId="49" xfId="1" applyFont="1" applyFill="1" applyBorder="1" applyProtection="1">
      <protection locked="0"/>
    </xf>
    <xf numFmtId="43" fontId="1" fillId="0" borderId="1" xfId="1" applyFont="1" applyFill="1" applyBorder="1" applyProtection="1">
      <protection locked="0"/>
    </xf>
    <xf numFmtId="49" fontId="1" fillId="0" borderId="27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Border="1" applyProtection="1">
      <protection locked="0"/>
    </xf>
    <xf numFmtId="43" fontId="1" fillId="0" borderId="0" xfId="1" applyFont="1" applyFill="1" applyBorder="1" applyProtection="1">
      <protection locked="0"/>
    </xf>
    <xf numFmtId="43" fontId="11" fillId="0" borderId="0" xfId="1" applyFont="1" applyFill="1" applyBorder="1" applyProtection="1">
      <protection locked="0"/>
    </xf>
    <xf numFmtId="1" fontId="23" fillId="0" borderId="8" xfId="0" applyNumberFormat="1" applyFont="1" applyFill="1" applyBorder="1" applyAlignment="1" applyProtection="1">
      <alignment horizontal="center"/>
      <protection locked="0"/>
    </xf>
    <xf numFmtId="43" fontId="1" fillId="0" borderId="23" xfId="1" applyFont="1" applyFill="1" applyBorder="1" applyProtection="1">
      <protection locked="0"/>
    </xf>
    <xf numFmtId="43" fontId="11" fillId="0" borderId="23" xfId="1" applyFont="1" applyFill="1" applyBorder="1" applyProtection="1">
      <protection locked="0"/>
    </xf>
    <xf numFmtId="49" fontId="0" fillId="0" borderId="24" xfId="0" applyNumberFormat="1" applyFill="1" applyBorder="1" applyAlignment="1" applyProtection="1">
      <alignment horizontal="left"/>
      <protection locked="0"/>
    </xf>
    <xf numFmtId="0" fontId="0" fillId="0" borderId="25" xfId="0" applyFill="1" applyBorder="1" applyProtection="1">
      <protection locked="0"/>
    </xf>
    <xf numFmtId="43" fontId="0" fillId="0" borderId="25" xfId="1" applyFont="1" applyFill="1" applyBorder="1" applyProtection="1">
      <protection locked="0"/>
    </xf>
    <xf numFmtId="0" fontId="12" fillId="0" borderId="25" xfId="0" applyFont="1" applyFill="1" applyBorder="1" applyProtection="1">
      <protection locked="0"/>
    </xf>
    <xf numFmtId="43" fontId="9" fillId="0" borderId="25" xfId="1" applyFont="1" applyFill="1" applyBorder="1" applyProtection="1">
      <protection locked="0"/>
    </xf>
    <xf numFmtId="49" fontId="0" fillId="0" borderId="0" xfId="0" applyNumberFormat="1" applyFill="1" applyAlignment="1" applyProtection="1">
      <alignment horizontal="left"/>
      <protection locked="0"/>
    </xf>
    <xf numFmtId="43" fontId="4" fillId="0" borderId="0" xfId="1" applyFont="1" applyFill="1" applyProtection="1">
      <protection locked="0"/>
    </xf>
    <xf numFmtId="43" fontId="12" fillId="0" borderId="0" xfId="1" applyFont="1" applyFill="1" applyProtection="1">
      <protection locked="0"/>
    </xf>
    <xf numFmtId="43" fontId="5" fillId="0" borderId="0" xfId="1" applyFont="1" applyFill="1" applyProtection="1">
      <protection locked="0"/>
    </xf>
    <xf numFmtId="43" fontId="0" fillId="0" borderId="0" xfId="1" applyFont="1" applyFill="1" applyProtection="1">
      <protection locked="0"/>
    </xf>
    <xf numFmtId="0" fontId="4" fillId="0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49" fontId="0" fillId="0" borderId="28" xfId="0" applyNumberForma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0" fontId="4" fillId="0" borderId="18" xfId="0" applyFont="1" applyFill="1" applyBorder="1" applyProtection="1">
      <protection locked="0"/>
    </xf>
    <xf numFmtId="0" fontId="12" fillId="0" borderId="18" xfId="0" applyFont="1" applyFill="1" applyBorder="1" applyProtection="1">
      <protection locked="0"/>
    </xf>
    <xf numFmtId="43" fontId="12" fillId="0" borderId="18" xfId="0" applyNumberFormat="1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43" fontId="0" fillId="0" borderId="18" xfId="1" applyFont="1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43" fontId="11" fillId="0" borderId="46" xfId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43" fontId="9" fillId="0" borderId="0" xfId="1" applyFont="1" applyFill="1" applyBorder="1" applyProtection="1">
      <protection locked="0"/>
    </xf>
    <xf numFmtId="1" fontId="6" fillId="0" borderId="3" xfId="0" applyNumberFormat="1" applyFont="1" applyFill="1" applyBorder="1" applyAlignment="1" applyProtection="1">
      <alignment horizontal="center"/>
    </xf>
    <xf numFmtId="43" fontId="0" fillId="0" borderId="11" xfId="1" applyFont="1" applyFill="1" applyBorder="1" applyProtection="1"/>
    <xf numFmtId="43" fontId="9" fillId="0" borderId="12" xfId="1" applyFont="1" applyFill="1" applyBorder="1" applyProtection="1"/>
    <xf numFmtId="43" fontId="0" fillId="0" borderId="2" xfId="1" applyFont="1" applyFill="1" applyBorder="1" applyProtection="1"/>
    <xf numFmtId="1" fontId="23" fillId="0" borderId="3" xfId="0" applyNumberFormat="1" applyFont="1" applyFill="1" applyBorder="1" applyAlignment="1" applyProtection="1">
      <alignment horizontal="center"/>
    </xf>
    <xf numFmtId="43" fontId="1" fillId="0" borderId="13" xfId="1" applyFont="1" applyFill="1" applyBorder="1" applyProtection="1"/>
    <xf numFmtId="43" fontId="11" fillId="0" borderId="14" xfId="1" applyFont="1" applyFill="1" applyBorder="1" applyProtection="1"/>
    <xf numFmtId="43" fontId="1" fillId="0" borderId="17" xfId="1" applyFont="1" applyFill="1" applyBorder="1" applyProtection="1"/>
    <xf numFmtId="0" fontId="1" fillId="0" borderId="3" xfId="0" applyFont="1" applyFill="1" applyBorder="1" applyProtection="1">
      <protection locked="0"/>
    </xf>
    <xf numFmtId="0" fontId="0" fillId="0" borderId="28" xfId="0" applyFill="1" applyBorder="1" applyProtection="1">
      <protection locked="0" hidden="1"/>
    </xf>
    <xf numFmtId="0" fontId="0" fillId="0" borderId="18" xfId="0" applyBorder="1" applyProtection="1">
      <protection locked="0" hidden="1"/>
    </xf>
    <xf numFmtId="0" fontId="0" fillId="0" borderId="18" xfId="0" applyFill="1" applyBorder="1" applyProtection="1">
      <protection locked="0" hidden="1"/>
    </xf>
    <xf numFmtId="0" fontId="4" fillId="0" borderId="32" xfId="0" applyFont="1" applyBorder="1" applyProtection="1">
      <protection locked="0" hidden="1"/>
    </xf>
    <xf numFmtId="0" fontId="5" fillId="0" borderId="32" xfId="0" applyFont="1" applyBorder="1" applyProtection="1">
      <protection locked="0" hidden="1"/>
    </xf>
    <xf numFmtId="43" fontId="0" fillId="0" borderId="32" xfId="1" applyFont="1" applyBorder="1" applyProtection="1">
      <protection locked="0" hidden="1"/>
    </xf>
    <xf numFmtId="0" fontId="0" fillId="0" borderId="15" xfId="0" applyFill="1" applyBorder="1" applyProtection="1">
      <protection locked="0" hidden="1"/>
    </xf>
    <xf numFmtId="0" fontId="0" fillId="0" borderId="0" xfId="0" applyFill="1" applyBorder="1" applyProtection="1">
      <protection locked="0" hidden="1"/>
    </xf>
    <xf numFmtId="0" fontId="1" fillId="0" borderId="27" xfId="0" applyFont="1" applyFill="1" applyBorder="1" applyAlignment="1" applyProtection="1">
      <alignment horizontal="center"/>
      <protection locked="0" hidden="1"/>
    </xf>
    <xf numFmtId="49" fontId="17" fillId="0" borderId="0" xfId="0" applyNumberFormat="1" applyFont="1" applyBorder="1" applyAlignment="1" applyProtection="1">
      <alignment horizontal="center"/>
      <protection locked="0" hidden="1"/>
    </xf>
    <xf numFmtId="49" fontId="1" fillId="0" borderId="0" xfId="0" applyNumberFormat="1" applyFont="1" applyFill="1" applyBorder="1" applyAlignment="1" applyProtection="1">
      <alignment horizontal="center"/>
      <protection locked="0" hidden="1"/>
    </xf>
    <xf numFmtId="17" fontId="7" fillId="0" borderId="2" xfId="0" quotePrefix="1" applyNumberFormat="1" applyFont="1" applyBorder="1" applyAlignment="1" applyProtection="1">
      <alignment horizontal="center"/>
      <protection locked="0" hidden="1"/>
    </xf>
    <xf numFmtId="0" fontId="7" fillId="0" borderId="2" xfId="0" applyFont="1" applyBorder="1" applyAlignment="1" applyProtection="1">
      <alignment horizontal="center"/>
      <protection locked="0" hidden="1"/>
    </xf>
    <xf numFmtId="0" fontId="7" fillId="0" borderId="2" xfId="0" quotePrefix="1" applyFont="1" applyBorder="1" applyAlignment="1" applyProtection="1">
      <alignment horizontal="center"/>
      <protection locked="0" hidden="1"/>
    </xf>
    <xf numFmtId="43" fontId="1" fillId="0" borderId="2" xfId="1" applyFont="1" applyBorder="1" applyAlignment="1" applyProtection="1">
      <alignment horizontal="center"/>
      <protection locked="0" hidden="1"/>
    </xf>
    <xf numFmtId="0" fontId="1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Fill="1" applyBorder="1" applyAlignment="1" applyProtection="1">
      <alignment horizontal="center"/>
      <protection locked="0" hidden="1"/>
    </xf>
    <xf numFmtId="0" fontId="1" fillId="0" borderId="29" xfId="0" applyFont="1" applyFill="1" applyBorder="1" applyAlignment="1" applyProtection="1">
      <alignment horizontal="center"/>
      <protection locked="0" hidden="1"/>
    </xf>
    <xf numFmtId="1" fontId="6" fillId="0" borderId="30" xfId="0" applyNumberFormat="1" applyFont="1" applyBorder="1" applyAlignment="1" applyProtection="1">
      <alignment horizontal="center"/>
      <protection locked="0" hidden="1"/>
    </xf>
    <xf numFmtId="1" fontId="6" fillId="0" borderId="30" xfId="0" applyNumberFormat="1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horizontal="center"/>
      <protection locked="0" hidden="1"/>
    </xf>
    <xf numFmtId="0" fontId="1" fillId="0" borderId="31" xfId="0" applyFont="1" applyFill="1" applyBorder="1" applyAlignment="1" applyProtection="1">
      <alignment horizontal="center"/>
      <protection locked="0" hidden="1"/>
    </xf>
    <xf numFmtId="1" fontId="6" fillId="0" borderId="36" xfId="0" applyNumberFormat="1" applyFont="1" applyBorder="1" applyAlignment="1" applyProtection="1">
      <alignment horizontal="center"/>
      <protection locked="0" hidden="1"/>
    </xf>
    <xf numFmtId="1" fontId="6" fillId="0" borderId="0" xfId="0" applyNumberFormat="1" applyFont="1" applyFill="1" applyBorder="1" applyAlignment="1" applyProtection="1">
      <alignment horizontal="center"/>
      <protection locked="0" hidden="1"/>
    </xf>
    <xf numFmtId="0" fontId="1" fillId="0" borderId="27" xfId="0" applyFont="1" applyFill="1" applyBorder="1" applyProtection="1">
      <protection locked="0" hidden="1"/>
    </xf>
    <xf numFmtId="0" fontId="15" fillId="2" borderId="37" xfId="0" applyFont="1" applyFill="1" applyBorder="1" applyAlignment="1" applyProtection="1">
      <alignment vertical="center"/>
      <protection locked="0" hidden="1"/>
    </xf>
    <xf numFmtId="0" fontId="15" fillId="0" borderId="0" xfId="0" applyFont="1" applyFill="1" applyBorder="1" applyAlignment="1" applyProtection="1">
      <alignment vertical="center"/>
      <protection locked="0" hidden="1"/>
    </xf>
    <xf numFmtId="165" fontId="1" fillId="2" borderId="2" xfId="0" applyNumberFormat="1" applyFont="1" applyFill="1" applyBorder="1" applyProtection="1">
      <protection locked="0" hidden="1"/>
    </xf>
    <xf numFmtId="165" fontId="1" fillId="0" borderId="16" xfId="0" applyNumberFormat="1" applyFont="1" applyFill="1" applyBorder="1" applyProtection="1">
      <protection locked="0" hidden="1"/>
    </xf>
    <xf numFmtId="165" fontId="1" fillId="0" borderId="0" xfId="0" applyNumberFormat="1" applyFont="1" applyFill="1" applyProtection="1">
      <protection locked="0" hidden="1"/>
    </xf>
    <xf numFmtId="0" fontId="1" fillId="0" borderId="0" xfId="0" applyFont="1" applyFill="1" applyBorder="1" applyProtection="1">
      <protection locked="0" hidden="1"/>
    </xf>
    <xf numFmtId="0" fontId="0" fillId="0" borderId="27" xfId="0" applyFill="1" applyBorder="1" applyProtection="1">
      <protection locked="0" hidden="1"/>
    </xf>
    <xf numFmtId="0" fontId="0" fillId="0" borderId="37" xfId="0" applyFill="1" applyBorder="1" applyProtection="1">
      <protection locked="0" hidden="1"/>
    </xf>
    <xf numFmtId="43" fontId="0" fillId="0" borderId="2" xfId="1" applyFont="1" applyFill="1" applyBorder="1" applyProtection="1">
      <protection locked="0" hidden="1"/>
    </xf>
    <xf numFmtId="0" fontId="0" fillId="0" borderId="16" xfId="0" applyFill="1" applyBorder="1" applyProtection="1">
      <protection locked="0" hidden="1"/>
    </xf>
    <xf numFmtId="0" fontId="14" fillId="0" borderId="37" xfId="2" applyFont="1" applyFill="1" applyBorder="1" applyProtection="1">
      <protection locked="0" hidden="1"/>
    </xf>
    <xf numFmtId="0" fontId="14" fillId="0" borderId="0" xfId="2" applyFont="1" applyFill="1" applyBorder="1" applyProtection="1">
      <protection locked="0" hidden="1"/>
    </xf>
    <xf numFmtId="0" fontId="0" fillId="0" borderId="37" xfId="0" applyFont="1" applyBorder="1" applyProtection="1">
      <protection locked="0" hidden="1"/>
    </xf>
    <xf numFmtId="0" fontId="9" fillId="0" borderId="0" xfId="0" applyFont="1" applyFill="1" applyBorder="1" applyProtection="1">
      <protection locked="0" hidden="1"/>
    </xf>
    <xf numFmtId="43" fontId="0" fillId="0" borderId="2" xfId="1" applyFont="1" applyBorder="1" applyProtection="1">
      <protection locked="0" hidden="1"/>
    </xf>
    <xf numFmtId="165" fontId="9" fillId="0" borderId="16" xfId="0" applyNumberFormat="1" applyFont="1" applyFill="1" applyBorder="1" applyProtection="1">
      <protection locked="0" hidden="1"/>
    </xf>
    <xf numFmtId="165" fontId="9" fillId="0" borderId="0" xfId="0" applyNumberFormat="1" applyFont="1" applyFill="1" applyProtection="1">
      <protection locked="0" hidden="1"/>
    </xf>
    <xf numFmtId="0" fontId="1" fillId="0" borderId="16" xfId="0" applyFont="1" applyFill="1" applyBorder="1" applyProtection="1">
      <protection locked="0" hidden="1"/>
    </xf>
    <xf numFmtId="0" fontId="0" fillId="0" borderId="37" xfId="2" applyFont="1" applyFill="1" applyBorder="1" applyProtection="1">
      <protection locked="0" hidden="1"/>
    </xf>
    <xf numFmtId="165" fontId="16" fillId="0" borderId="37" xfId="0" applyNumberFormat="1" applyFont="1" applyFill="1" applyBorder="1" applyProtection="1">
      <protection locked="0" hidden="1"/>
    </xf>
    <xf numFmtId="0" fontId="4" fillId="0" borderId="2" xfId="0" applyFont="1" applyBorder="1" applyProtection="1">
      <protection locked="0" hidden="1"/>
    </xf>
    <xf numFmtId="0" fontId="0" fillId="0" borderId="2" xfId="0" applyFont="1" applyFill="1" applyBorder="1" applyProtection="1">
      <protection locked="0" hidden="1"/>
    </xf>
    <xf numFmtId="165" fontId="0" fillId="0" borderId="2" xfId="0" applyNumberFormat="1" applyFont="1" applyBorder="1" applyProtection="1">
      <protection locked="0" hidden="1"/>
    </xf>
    <xf numFmtId="0" fontId="0" fillId="0" borderId="2" xfId="0" applyFill="1" applyBorder="1" applyProtection="1">
      <protection locked="0" hidden="1"/>
    </xf>
    <xf numFmtId="165" fontId="0" fillId="0" borderId="16" xfId="0" applyNumberFormat="1" applyFont="1" applyFill="1" applyBorder="1" applyProtection="1">
      <protection locked="0" hidden="1"/>
    </xf>
    <xf numFmtId="165" fontId="0" fillId="0" borderId="0" xfId="0" applyNumberFormat="1" applyFont="1" applyFill="1" applyProtection="1">
      <protection locked="0" hidden="1"/>
    </xf>
    <xf numFmtId="165" fontId="0" fillId="0" borderId="0" xfId="0" applyNumberFormat="1" applyFont="1" applyFill="1" applyBorder="1" applyProtection="1">
      <protection locked="0" hidden="1"/>
    </xf>
    <xf numFmtId="0" fontId="0" fillId="3" borderId="37" xfId="2" applyFont="1" applyFill="1" applyBorder="1" applyProtection="1">
      <protection locked="0" hidden="1"/>
    </xf>
    <xf numFmtId="0" fontId="0" fillId="0" borderId="0" xfId="0" applyFill="1" applyProtection="1">
      <protection locked="0" hidden="1"/>
    </xf>
    <xf numFmtId="0" fontId="0" fillId="0" borderId="37" xfId="0" applyFont="1" applyFill="1" applyBorder="1" applyProtection="1">
      <protection locked="0" hidden="1"/>
    </xf>
    <xf numFmtId="0" fontId="0" fillId="3" borderId="37" xfId="0" applyFont="1" applyFill="1" applyBorder="1" applyProtection="1">
      <protection locked="0" hidden="1"/>
    </xf>
    <xf numFmtId="43" fontId="0" fillId="0" borderId="2" xfId="1" quotePrefix="1" applyFont="1" applyFill="1" applyBorder="1" applyProtection="1">
      <protection locked="0" hidden="1"/>
    </xf>
    <xf numFmtId="0" fontId="3" fillId="0" borderId="37" xfId="2" applyFont="1" applyFill="1" applyBorder="1" applyProtection="1">
      <protection locked="0" hidden="1"/>
    </xf>
    <xf numFmtId="165" fontId="0" fillId="0" borderId="37" xfId="0" applyNumberFormat="1" applyFont="1" applyFill="1" applyBorder="1" applyProtection="1">
      <protection locked="0" hidden="1"/>
    </xf>
    <xf numFmtId="165" fontId="1" fillId="0" borderId="37" xfId="0" applyNumberFormat="1" applyFont="1" applyFill="1" applyBorder="1" applyProtection="1">
      <protection locked="0" hidden="1"/>
    </xf>
    <xf numFmtId="0" fontId="0" fillId="0" borderId="37" xfId="0" applyBorder="1" applyProtection="1">
      <protection locked="0" hidden="1"/>
    </xf>
    <xf numFmtId="0" fontId="13" fillId="0" borderId="37" xfId="2" applyFont="1" applyFill="1" applyBorder="1" applyProtection="1">
      <protection locked="0" hidden="1"/>
    </xf>
    <xf numFmtId="165" fontId="14" fillId="0" borderId="16" xfId="0" applyNumberFormat="1" applyFont="1" applyFill="1" applyBorder="1" applyProtection="1">
      <protection locked="0" hidden="1"/>
    </xf>
    <xf numFmtId="165" fontId="14" fillId="0" borderId="0" xfId="0" applyNumberFormat="1" applyFont="1" applyFill="1" applyProtection="1">
      <protection locked="0" hidden="1"/>
    </xf>
    <xf numFmtId="0" fontId="9" fillId="0" borderId="37" xfId="2" applyFont="1" applyFill="1" applyBorder="1" applyProtection="1">
      <protection locked="0" hidden="1"/>
    </xf>
    <xf numFmtId="165" fontId="9" fillId="0" borderId="2" xfId="0" applyNumberFormat="1" applyFont="1" applyBorder="1" applyProtection="1">
      <protection locked="0" hidden="1"/>
    </xf>
    <xf numFmtId="0" fontId="9" fillId="0" borderId="2" xfId="2" applyFont="1" applyFill="1" applyBorder="1" applyProtection="1">
      <protection locked="0" hidden="1"/>
    </xf>
    <xf numFmtId="0" fontId="0" fillId="0" borderId="2" xfId="0" applyFont="1" applyBorder="1" applyProtection="1">
      <protection locked="0" hidden="1"/>
    </xf>
    <xf numFmtId="0" fontId="0" fillId="0" borderId="2" xfId="0" applyBorder="1" applyProtection="1">
      <protection locked="0" hidden="1"/>
    </xf>
    <xf numFmtId="165" fontId="0" fillId="0" borderId="2" xfId="0" applyNumberFormat="1" applyFill="1" applyBorder="1" applyProtection="1">
      <protection locked="0" hidden="1"/>
    </xf>
    <xf numFmtId="165" fontId="0" fillId="2" borderId="2" xfId="0" applyNumberFormat="1" applyFont="1" applyFill="1" applyBorder="1" applyProtection="1">
      <protection locked="0" hidden="1"/>
    </xf>
    <xf numFmtId="0" fontId="13" fillId="0" borderId="37" xfId="0" applyFont="1" applyBorder="1" applyProtection="1">
      <protection locked="0" hidden="1"/>
    </xf>
    <xf numFmtId="0" fontId="13" fillId="0" borderId="0" xfId="0" applyFont="1" applyFill="1" applyBorder="1" applyProtection="1">
      <protection locked="0" hidden="1"/>
    </xf>
    <xf numFmtId="165" fontId="14" fillId="0" borderId="2" xfId="0" applyNumberFormat="1" applyFont="1" applyBorder="1" applyProtection="1">
      <protection locked="0" hidden="1"/>
    </xf>
    <xf numFmtId="43" fontId="9" fillId="0" borderId="2" xfId="1" applyFont="1" applyFill="1" applyBorder="1" applyProtection="1">
      <protection locked="0" hidden="1"/>
    </xf>
    <xf numFmtId="0" fontId="14" fillId="0" borderId="37" xfId="0" applyFont="1" applyFill="1" applyBorder="1" applyProtection="1">
      <protection locked="0" hidden="1"/>
    </xf>
    <xf numFmtId="0" fontId="14" fillId="0" borderId="0" xfId="0" applyFont="1" applyFill="1" applyBorder="1" applyProtection="1">
      <protection locked="0" hidden="1"/>
    </xf>
    <xf numFmtId="0" fontId="0" fillId="0" borderId="0" xfId="0" applyFont="1" applyFill="1" applyBorder="1" applyProtection="1">
      <protection locked="0" hidden="1"/>
    </xf>
    <xf numFmtId="0" fontId="18" fillId="0" borderId="27" xfId="0" applyFont="1" applyFill="1" applyBorder="1" applyProtection="1">
      <protection locked="0" hidden="1"/>
    </xf>
    <xf numFmtId="0" fontId="18" fillId="0" borderId="38" xfId="0" applyFont="1" applyFill="1" applyBorder="1" applyProtection="1">
      <protection locked="0" hidden="1"/>
    </xf>
    <xf numFmtId="0" fontId="19" fillId="0" borderId="33" xfId="0" applyFont="1" applyFill="1" applyBorder="1" applyProtection="1">
      <protection locked="0" hidden="1"/>
    </xf>
    <xf numFmtId="165" fontId="18" fillId="2" borderId="34" xfId="0" applyNumberFormat="1" applyFont="1" applyFill="1" applyBorder="1" applyProtection="1">
      <protection locked="0" hidden="1"/>
    </xf>
    <xf numFmtId="165" fontId="19" fillId="0" borderId="16" xfId="0" applyNumberFormat="1" applyFont="1" applyFill="1" applyBorder="1" applyProtection="1">
      <protection locked="0" hidden="1"/>
    </xf>
    <xf numFmtId="165" fontId="19" fillId="0" borderId="0" xfId="0" applyNumberFormat="1" applyFont="1" applyFill="1" applyProtection="1">
      <protection locked="0" hidden="1"/>
    </xf>
    <xf numFmtId="0" fontId="18" fillId="0" borderId="0" xfId="0" applyFont="1" applyFill="1" applyBorder="1" applyProtection="1">
      <protection locked="0" hidden="1"/>
    </xf>
    <xf numFmtId="0" fontId="0" fillId="0" borderId="35" xfId="0" applyBorder="1" applyProtection="1">
      <protection locked="0" hidden="1"/>
    </xf>
    <xf numFmtId="0" fontId="0" fillId="0" borderId="35" xfId="0" applyFill="1" applyBorder="1" applyProtection="1">
      <protection locked="0" hidden="1"/>
    </xf>
    <xf numFmtId="0" fontId="4" fillId="0" borderId="35" xfId="0" applyFont="1" applyBorder="1" applyProtection="1">
      <protection locked="0" hidden="1"/>
    </xf>
    <xf numFmtId="0" fontId="5" fillId="0" borderId="35" xfId="0" applyFont="1" applyBorder="1" applyProtection="1">
      <protection locked="0" hidden="1"/>
    </xf>
    <xf numFmtId="43" fontId="0" fillId="0" borderId="35" xfId="1" applyFont="1" applyBorder="1" applyProtection="1">
      <protection locked="0" hidden="1"/>
    </xf>
    <xf numFmtId="0" fontId="0" fillId="0" borderId="24" xfId="0" applyFill="1" applyBorder="1" applyProtection="1"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Fill="1" applyBorder="1" applyProtection="1">
      <protection locked="0" hidden="1"/>
    </xf>
    <xf numFmtId="0" fontId="4" fillId="0" borderId="25" xfId="0" applyFont="1" applyBorder="1" applyProtection="1">
      <protection locked="0" hidden="1"/>
    </xf>
    <xf numFmtId="0" fontId="5" fillId="0" borderId="25" xfId="0" applyFont="1" applyBorder="1" applyProtection="1">
      <protection locked="0" hidden="1"/>
    </xf>
    <xf numFmtId="43" fontId="0" fillId="0" borderId="25" xfId="1" applyFont="1" applyBorder="1" applyProtection="1">
      <protection locked="0" hidden="1"/>
    </xf>
    <xf numFmtId="0" fontId="0" fillId="0" borderId="26" xfId="0" applyFill="1" applyBorder="1" applyProtection="1">
      <protection locked="0" hidden="1"/>
    </xf>
    <xf numFmtId="0" fontId="0" fillId="0" borderId="0" xfId="0" applyBorder="1" applyProtection="1">
      <protection locked="0" hidden="1"/>
    </xf>
    <xf numFmtId="0" fontId="4" fillId="0" borderId="0" xfId="0" applyFont="1" applyBorder="1" applyProtection="1">
      <protection locked="0" hidden="1"/>
    </xf>
    <xf numFmtId="0" fontId="5" fillId="0" borderId="0" xfId="0" applyFont="1" applyBorder="1" applyProtection="1">
      <protection locked="0" hidden="1"/>
    </xf>
    <xf numFmtId="43" fontId="0" fillId="0" borderId="0" xfId="1" applyFont="1" applyBorder="1" applyProtection="1">
      <protection locked="0" hidden="1"/>
    </xf>
    <xf numFmtId="0" fontId="4" fillId="0" borderId="0" xfId="0" applyFont="1" applyFill="1" applyBorder="1" applyProtection="1">
      <protection locked="0" hidden="1"/>
    </xf>
    <xf numFmtId="43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3" fontId="0" fillId="0" borderId="0" xfId="1" applyFont="1" applyFill="1" applyBorder="1" applyProtection="1">
      <protection locked="0" hidden="1"/>
    </xf>
    <xf numFmtId="0" fontId="0" fillId="7" borderId="37" xfId="0" applyFill="1" applyBorder="1" applyProtection="1">
      <protection locked="0" hidden="1"/>
    </xf>
    <xf numFmtId="1" fontId="23" fillId="0" borderId="0" xfId="0" applyNumberFormat="1" applyFont="1" applyFill="1" applyBorder="1" applyAlignment="1" applyProtection="1">
      <alignment horizontal="center"/>
      <protection locked="0"/>
    </xf>
    <xf numFmtId="43" fontId="0" fillId="0" borderId="0" xfId="1" applyFont="1" applyBorder="1"/>
    <xf numFmtId="43" fontId="0" fillId="0" borderId="25" xfId="1" applyFont="1" applyBorder="1"/>
    <xf numFmtId="43" fontId="0" fillId="0" borderId="0" xfId="1" applyFont="1"/>
    <xf numFmtId="43" fontId="4" fillId="0" borderId="0" xfId="1" applyFont="1" applyBorder="1" applyProtection="1">
      <protection locked="0" hidden="1"/>
    </xf>
    <xf numFmtId="43" fontId="9" fillId="0" borderId="0" xfId="1" applyFont="1" applyFill="1" applyBorder="1" applyProtection="1">
      <protection locked="0" hidden="1"/>
    </xf>
    <xf numFmtId="43" fontId="14" fillId="0" borderId="0" xfId="1" applyFont="1" applyFill="1" applyBorder="1" applyProtection="1">
      <protection locked="0" hidden="1"/>
    </xf>
    <xf numFmtId="43" fontId="13" fillId="0" borderId="0" xfId="1" applyFont="1" applyFill="1" applyBorder="1" applyProtection="1">
      <protection locked="0" hidden="1"/>
    </xf>
    <xf numFmtId="43" fontId="0" fillId="0" borderId="35" xfId="1" applyFont="1" applyFill="1" applyBorder="1" applyProtection="1">
      <protection locked="0" hidden="1"/>
    </xf>
    <xf numFmtId="43" fontId="0" fillId="0" borderId="25" xfId="1" applyFont="1" applyFill="1" applyBorder="1" applyProtection="1">
      <protection locked="0" hidden="1"/>
    </xf>
    <xf numFmtId="0" fontId="0" fillId="0" borderId="18" xfId="0" applyFont="1" applyFill="1" applyBorder="1" applyProtection="1">
      <protection locked="0" hidden="1"/>
    </xf>
    <xf numFmtId="49" fontId="0" fillId="0" borderId="0" xfId="0" applyNumberFormat="1" applyFont="1" applyFill="1" applyBorder="1" applyAlignment="1" applyProtection="1">
      <alignment horizontal="center"/>
      <protection locked="0" hidden="1"/>
    </xf>
    <xf numFmtId="1" fontId="22" fillId="0" borderId="30" xfId="0" applyNumberFormat="1" applyFont="1" applyFill="1" applyBorder="1" applyAlignment="1" applyProtection="1">
      <alignment horizontal="center"/>
      <protection locked="0" hidden="1"/>
    </xf>
    <xf numFmtId="1" fontId="22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vertical="center"/>
      <protection locked="0" hidden="1"/>
    </xf>
    <xf numFmtId="0" fontId="26" fillId="0" borderId="33" xfId="0" applyFont="1" applyFill="1" applyBorder="1" applyProtection="1">
      <protection locked="0" hidden="1"/>
    </xf>
    <xf numFmtId="0" fontId="0" fillId="0" borderId="35" xfId="0" applyFont="1" applyFill="1" applyBorder="1" applyProtection="1">
      <protection locked="0" hidden="1"/>
    </xf>
    <xf numFmtId="0" fontId="0" fillId="0" borderId="25" xfId="0" applyFont="1" applyFill="1" applyBorder="1" applyProtection="1">
      <protection locked="0" hidden="1"/>
    </xf>
    <xf numFmtId="43" fontId="3" fillId="0" borderId="18" xfId="1" applyFont="1" applyFill="1" applyBorder="1" applyProtection="1">
      <protection locked="0" hidden="1"/>
    </xf>
    <xf numFmtId="43" fontId="3" fillId="0" borderId="0" xfId="1" applyFont="1" applyFill="1" applyBorder="1" applyAlignment="1" applyProtection="1">
      <alignment horizontal="center"/>
      <protection locked="0" hidden="1"/>
    </xf>
    <xf numFmtId="43" fontId="22" fillId="0" borderId="30" xfId="1" applyFont="1" applyFill="1" applyBorder="1" applyAlignment="1" applyProtection="1">
      <alignment horizontal="center"/>
      <protection locked="0" hidden="1"/>
    </xf>
    <xf numFmtId="43" fontId="22" fillId="0" borderId="0" xfId="1" applyFont="1" applyFill="1" applyBorder="1" applyAlignment="1" applyProtection="1">
      <alignment horizontal="center"/>
      <protection locked="0" hidden="1"/>
    </xf>
    <xf numFmtId="43" fontId="25" fillId="0" borderId="0" xfId="1" applyFont="1" applyFill="1" applyBorder="1" applyAlignment="1" applyProtection="1">
      <alignment vertical="center"/>
      <protection locked="0" hidden="1"/>
    </xf>
    <xf numFmtId="43" fontId="3" fillId="0" borderId="0" xfId="1" applyFont="1" applyFill="1" applyBorder="1" applyProtection="1">
      <protection locked="0" hidden="1"/>
    </xf>
    <xf numFmtId="43" fontId="26" fillId="0" borderId="33" xfId="1" applyFont="1" applyFill="1" applyBorder="1" applyProtection="1">
      <protection locked="0" hidden="1"/>
    </xf>
    <xf numFmtId="43" fontId="3" fillId="0" borderId="35" xfId="1" applyFont="1" applyFill="1" applyBorder="1" applyProtection="1">
      <protection locked="0" hidden="1"/>
    </xf>
    <xf numFmtId="43" fontId="3" fillId="0" borderId="25" xfId="1" applyFont="1" applyFill="1" applyBorder="1" applyProtection="1">
      <protection locked="0" hidden="1"/>
    </xf>
    <xf numFmtId="0" fontId="0" fillId="0" borderId="0" xfId="0" applyFont="1" applyFill="1" applyBorder="1" applyAlignment="1" applyProtection="1">
      <alignment vertical="center"/>
      <protection locked="0" hidden="1"/>
    </xf>
    <xf numFmtId="43" fontId="0" fillId="0" borderId="0" xfId="1" applyFont="1" applyFill="1" applyBorder="1" applyAlignment="1" applyProtection="1">
      <alignment vertical="center"/>
      <protection locked="0" hidden="1"/>
    </xf>
    <xf numFmtId="43" fontId="0" fillId="0" borderId="61" xfId="1" applyFont="1" applyFill="1" applyBorder="1" applyAlignment="1" applyProtection="1">
      <alignment vertical="center"/>
      <protection locked="0" hidden="1"/>
    </xf>
    <xf numFmtId="0" fontId="4" fillId="0" borderId="32" xfId="0" applyFont="1" applyFill="1" applyBorder="1" applyProtection="1">
      <protection locked="0" hidden="1"/>
    </xf>
    <xf numFmtId="0" fontId="5" fillId="0" borderId="32" xfId="0" applyFont="1" applyFill="1" applyBorder="1" applyProtection="1">
      <protection locked="0" hidden="1"/>
    </xf>
    <xf numFmtId="43" fontId="0" fillId="0" borderId="32" xfId="1" applyFont="1" applyFill="1" applyBorder="1" applyProtection="1">
      <protection locked="0" hidden="1"/>
    </xf>
    <xf numFmtId="17" fontId="7" fillId="0" borderId="2" xfId="0" quotePrefix="1" applyNumberFormat="1" applyFont="1" applyFill="1" applyBorder="1" applyAlignment="1" applyProtection="1">
      <alignment horizontal="center"/>
      <protection locked="0" hidden="1"/>
    </xf>
    <xf numFmtId="0" fontId="7" fillId="0" borderId="2" xfId="0" applyFont="1" applyFill="1" applyBorder="1" applyAlignment="1" applyProtection="1">
      <alignment horizontal="center"/>
      <protection locked="0" hidden="1"/>
    </xf>
    <xf numFmtId="0" fontId="7" fillId="0" borderId="2" xfId="0" quotePrefix="1" applyFont="1" applyFill="1" applyBorder="1" applyAlignment="1" applyProtection="1">
      <alignment horizontal="center"/>
      <protection locked="0" hidden="1"/>
    </xf>
    <xf numFmtId="43" fontId="1" fillId="0" borderId="2" xfId="1" applyFont="1" applyFill="1" applyBorder="1" applyAlignment="1" applyProtection="1">
      <alignment horizontal="center"/>
      <protection locked="0" hidden="1"/>
    </xf>
    <xf numFmtId="0" fontId="7" fillId="0" borderId="1" xfId="0" applyFont="1" applyFill="1" applyBorder="1" applyAlignment="1" applyProtection="1">
      <alignment horizontal="center"/>
      <protection locked="0" hidden="1"/>
    </xf>
    <xf numFmtId="165" fontId="1" fillId="0" borderId="2" xfId="0" applyNumberFormat="1" applyFont="1" applyFill="1" applyBorder="1" applyProtection="1">
      <protection locked="0" hidden="1"/>
    </xf>
    <xf numFmtId="165" fontId="0" fillId="0" borderId="2" xfId="0" applyNumberFormat="1" applyFont="1" applyFill="1" applyBorder="1" applyProtection="1">
      <protection locked="0" hidden="1"/>
    </xf>
    <xf numFmtId="165" fontId="14" fillId="0" borderId="2" xfId="0" applyNumberFormat="1" applyFont="1" applyFill="1" applyBorder="1" applyProtection="1">
      <protection locked="0" hidden="1"/>
    </xf>
    <xf numFmtId="165" fontId="9" fillId="0" borderId="2" xfId="0" applyNumberFormat="1" applyFont="1" applyFill="1" applyBorder="1" applyProtection="1">
      <protection locked="0" hidden="1"/>
    </xf>
    <xf numFmtId="165" fontId="18" fillId="0" borderId="34" xfId="0" applyNumberFormat="1" applyFont="1" applyFill="1" applyBorder="1" applyProtection="1">
      <protection locked="0" hidden="1"/>
    </xf>
    <xf numFmtId="0" fontId="4" fillId="0" borderId="35" xfId="0" applyFont="1" applyFill="1" applyBorder="1" applyProtection="1">
      <protection locked="0" hidden="1"/>
    </xf>
    <xf numFmtId="0" fontId="5" fillId="0" borderId="35" xfId="0" applyFont="1" applyFill="1" applyBorder="1" applyProtection="1">
      <protection locked="0" hidden="1"/>
    </xf>
    <xf numFmtId="0" fontId="4" fillId="0" borderId="25" xfId="0" applyFont="1" applyFill="1" applyBorder="1" applyProtection="1">
      <protection locked="0" hidden="1"/>
    </xf>
    <xf numFmtId="0" fontId="5" fillId="0" borderId="25" xfId="0" applyFont="1" applyFill="1" applyBorder="1" applyProtection="1">
      <protection locked="0" hidden="1"/>
    </xf>
    <xf numFmtId="0" fontId="5" fillId="0" borderId="0" xfId="0" applyFont="1" applyFill="1" applyBorder="1" applyProtection="1">
      <protection locked="0" hidden="1"/>
    </xf>
    <xf numFmtId="165" fontId="0" fillId="0" borderId="62" xfId="0" applyNumberFormat="1" applyFont="1" applyFill="1" applyBorder="1" applyProtection="1">
      <protection locked="0" hidden="1"/>
    </xf>
    <xf numFmtId="43" fontId="0" fillId="7" borderId="0" xfId="1" applyFont="1" applyFill="1" applyBorder="1" applyAlignment="1" applyProtection="1">
      <alignment vertical="center"/>
      <protection locked="0" hidden="1"/>
    </xf>
    <xf numFmtId="43" fontId="0" fillId="3" borderId="0" xfId="1" applyFont="1" applyFill="1" applyBorder="1" applyAlignment="1" applyProtection="1">
      <alignment vertical="center"/>
      <protection locked="0" hidden="1"/>
    </xf>
    <xf numFmtId="43" fontId="0" fillId="8" borderId="0" xfId="1" applyFont="1" applyFill="1" applyBorder="1" applyAlignment="1" applyProtection="1">
      <alignment vertical="center"/>
      <protection locked="0" hidden="1"/>
    </xf>
    <xf numFmtId="43" fontId="0" fillId="9" borderId="0" xfId="1" applyFont="1" applyFill="1" applyBorder="1" applyAlignment="1" applyProtection="1">
      <alignment vertical="center"/>
      <protection locked="0" hidden="1"/>
    </xf>
    <xf numFmtId="43" fontId="0" fillId="0" borderId="0" xfId="0" applyNumberFormat="1" applyFill="1"/>
    <xf numFmtId="43" fontId="0" fillId="0" borderId="28" xfId="1" applyFont="1" applyBorder="1"/>
    <xf numFmtId="43" fontId="1" fillId="0" borderId="18" xfId="1" applyFont="1" applyBorder="1"/>
    <xf numFmtId="43" fontId="1" fillId="0" borderId="15" xfId="1" applyFont="1" applyBorder="1"/>
    <xf numFmtId="43" fontId="0" fillId="0" borderId="27" xfId="1" applyFont="1" applyBorder="1"/>
    <xf numFmtId="43" fontId="1" fillId="10" borderId="68" xfId="1" applyFont="1" applyFill="1" applyBorder="1" applyAlignment="1">
      <alignment horizontal="center"/>
    </xf>
    <xf numFmtId="43" fontId="1" fillId="10" borderId="69" xfId="1" applyFont="1" applyFill="1" applyBorder="1" applyAlignment="1">
      <alignment horizontal="center"/>
    </xf>
    <xf numFmtId="43" fontId="1" fillId="10" borderId="70" xfId="1" applyFont="1" applyFill="1" applyBorder="1" applyAlignment="1">
      <alignment horizontal="center"/>
    </xf>
    <xf numFmtId="43" fontId="1" fillId="11" borderId="68" xfId="1" applyFont="1" applyFill="1" applyBorder="1" applyAlignment="1">
      <alignment horizontal="center"/>
    </xf>
    <xf numFmtId="43" fontId="1" fillId="11" borderId="69" xfId="1" applyFont="1" applyFill="1" applyBorder="1" applyAlignment="1">
      <alignment horizontal="center"/>
    </xf>
    <xf numFmtId="43" fontId="1" fillId="11" borderId="70" xfId="1" applyFont="1" applyFill="1" applyBorder="1" applyAlignment="1">
      <alignment horizontal="center"/>
    </xf>
    <xf numFmtId="43" fontId="1" fillId="0" borderId="0" xfId="1" applyFont="1" applyBorder="1"/>
    <xf numFmtId="43" fontId="1" fillId="0" borderId="16" xfId="1" applyFont="1" applyBorder="1" applyAlignment="1">
      <alignment horizontal="center"/>
    </xf>
    <xf numFmtId="43" fontId="1" fillId="0" borderId="27" xfId="1" applyFont="1" applyBorder="1"/>
    <xf numFmtId="43" fontId="0" fillId="10" borderId="5" xfId="1" applyFont="1" applyFill="1" applyBorder="1"/>
    <xf numFmtId="43" fontId="0" fillId="10" borderId="71" xfId="1" applyFont="1" applyFill="1" applyBorder="1"/>
    <xf numFmtId="43" fontId="0" fillId="10" borderId="72" xfId="1" applyFont="1" applyFill="1" applyBorder="1"/>
    <xf numFmtId="43" fontId="0" fillId="11" borderId="5" xfId="1" applyFont="1" applyFill="1" applyBorder="1"/>
    <xf numFmtId="43" fontId="0" fillId="11" borderId="71" xfId="1" applyFont="1" applyFill="1" applyBorder="1"/>
    <xf numFmtId="43" fontId="0" fillId="11" borderId="72" xfId="1" applyFont="1" applyFill="1" applyBorder="1"/>
    <xf numFmtId="43" fontId="0" fillId="0" borderId="16" xfId="1" applyFont="1" applyBorder="1"/>
    <xf numFmtId="43" fontId="0" fillId="10" borderId="73" xfId="1" applyFont="1" applyFill="1" applyBorder="1"/>
    <xf numFmtId="43" fontId="0" fillId="10" borderId="74" xfId="1" applyFont="1" applyFill="1" applyBorder="1"/>
    <xf numFmtId="43" fontId="0" fillId="10" borderId="46" xfId="1" applyFont="1" applyFill="1" applyBorder="1"/>
    <xf numFmtId="43" fontId="0" fillId="11" borderId="73" xfId="1" applyFont="1" applyFill="1" applyBorder="1"/>
    <xf numFmtId="43" fontId="0" fillId="11" borderId="74" xfId="1" applyFont="1" applyFill="1" applyBorder="1"/>
    <xf numFmtId="43" fontId="0" fillId="11" borderId="46" xfId="1" applyFont="1" applyFill="1" applyBorder="1"/>
    <xf numFmtId="43" fontId="0" fillId="0" borderId="60" xfId="1" applyFont="1" applyBorder="1"/>
    <xf numFmtId="43" fontId="0" fillId="0" borderId="75" xfId="1" applyFont="1" applyBorder="1"/>
    <xf numFmtId="43" fontId="0" fillId="0" borderId="24" xfId="1" applyFont="1" applyBorder="1"/>
    <xf numFmtId="43" fontId="0" fillId="10" borderId="76" xfId="1" applyFont="1" applyFill="1" applyBorder="1"/>
    <xf numFmtId="43" fontId="0" fillId="10" borderId="77" xfId="1" applyFont="1" applyFill="1" applyBorder="1"/>
    <xf numFmtId="43" fontId="0" fillId="10" borderId="78" xfId="1" applyFont="1" applyFill="1" applyBorder="1"/>
    <xf numFmtId="43" fontId="0" fillId="11" borderId="76" xfId="1" applyFont="1" applyFill="1" applyBorder="1"/>
    <xf numFmtId="43" fontId="0" fillId="11" borderId="77" xfId="1" applyFont="1" applyFill="1" applyBorder="1"/>
    <xf numFmtId="43" fontId="0" fillId="11" borderId="78" xfId="1" applyFont="1" applyFill="1" applyBorder="1"/>
    <xf numFmtId="43" fontId="0" fillId="0" borderId="26" xfId="1" applyFont="1" applyBorder="1"/>
    <xf numFmtId="165" fontId="28" fillId="9" borderId="0" xfId="0" applyNumberFormat="1" applyFont="1" applyFill="1" applyAlignment="1">
      <alignment horizontal="left" indent="2"/>
    </xf>
    <xf numFmtId="165" fontId="1" fillId="9" borderId="0" xfId="0" applyNumberFormat="1" applyFont="1" applyFill="1" applyAlignment="1">
      <alignment horizontal="left" indent="2"/>
    </xf>
    <xf numFmtId="43" fontId="1" fillId="9" borderId="0" xfId="1" applyFont="1" applyFill="1" applyAlignment="1">
      <alignment horizontal="left" indent="2"/>
    </xf>
    <xf numFmtId="165" fontId="0" fillId="0" borderId="37" xfId="0" applyNumberFormat="1" applyFill="1" applyBorder="1"/>
    <xf numFmtId="165" fontId="0" fillId="0" borderId="0" xfId="0" applyNumberFormat="1" applyFill="1" applyBorder="1"/>
    <xf numFmtId="165" fontId="0" fillId="0" borderId="62" xfId="0" applyNumberFormat="1" applyFill="1" applyBorder="1"/>
    <xf numFmtId="165" fontId="0" fillId="0" borderId="0" xfId="0" applyNumberFormat="1" applyFill="1"/>
    <xf numFmtId="165" fontId="28" fillId="9" borderId="0" xfId="0" applyNumberFormat="1" applyFont="1" applyFill="1" applyAlignment="1">
      <alignment horizontal="left" indent="3"/>
    </xf>
    <xf numFmtId="43" fontId="0" fillId="0" borderId="17" xfId="1" applyFont="1" applyFill="1" applyBorder="1" applyProtection="1">
      <protection locked="0" hidden="1"/>
    </xf>
    <xf numFmtId="43" fontId="9" fillId="0" borderId="2" xfId="1" applyFont="1" applyFill="1" applyBorder="1" applyProtection="1">
      <protection locked="0"/>
    </xf>
    <xf numFmtId="0" fontId="1" fillId="7" borderId="0" xfId="0" applyFont="1" applyFill="1" applyAlignment="1">
      <alignment horizontal="left"/>
    </xf>
    <xf numFmtId="43" fontId="1" fillId="0" borderId="0" xfId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43" fontId="9" fillId="0" borderId="2" xfId="1" applyFont="1" applyFill="1" applyBorder="1"/>
    <xf numFmtId="43" fontId="9" fillId="0" borderId="58" xfId="1" applyFont="1" applyFill="1" applyBorder="1"/>
    <xf numFmtId="43" fontId="0" fillId="0" borderId="80" xfId="1" applyFont="1" applyFill="1" applyBorder="1"/>
    <xf numFmtId="0" fontId="13" fillId="0" borderId="16" xfId="0" applyFont="1" applyFill="1" applyBorder="1"/>
    <xf numFmtId="43" fontId="10" fillId="0" borderId="21" xfId="1" applyFont="1" applyFill="1" applyBorder="1" applyAlignment="1">
      <alignment horizontal="center"/>
    </xf>
    <xf numFmtId="43" fontId="10" fillId="0" borderId="2" xfId="1" applyFont="1" applyFill="1" applyBorder="1" applyAlignment="1">
      <alignment horizontal="center"/>
    </xf>
    <xf numFmtId="43" fontId="9" fillId="0" borderId="0" xfId="1" applyFont="1" applyFill="1"/>
    <xf numFmtId="43" fontId="10" fillId="0" borderId="40" xfId="1" applyFont="1" applyFill="1" applyBorder="1" applyAlignment="1">
      <alignment horizontal="center"/>
    </xf>
    <xf numFmtId="43" fontId="9" fillId="0" borderId="41" xfId="1" applyFont="1" applyFill="1" applyBorder="1"/>
    <xf numFmtId="43" fontId="9" fillId="0" borderId="26" xfId="1" applyFont="1" applyFill="1" applyBorder="1"/>
    <xf numFmtId="0" fontId="27" fillId="7" borderId="40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43" fontId="13" fillId="0" borderId="16" xfId="0" applyNumberFormat="1" applyFont="1" applyFill="1" applyBorder="1"/>
    <xf numFmtId="43" fontId="27" fillId="6" borderId="42" xfId="1" applyFont="1" applyFill="1" applyBorder="1"/>
    <xf numFmtId="43" fontId="13" fillId="0" borderId="26" xfId="0" applyNumberFormat="1" applyFont="1" applyFill="1" applyBorder="1"/>
    <xf numFmtId="43" fontId="13" fillId="0" borderId="0" xfId="0" applyNumberFormat="1" applyFont="1" applyFill="1"/>
    <xf numFmtId="0" fontId="13" fillId="0" borderId="0" xfId="0" applyFont="1" applyFill="1"/>
    <xf numFmtId="43" fontId="13" fillId="0" borderId="79" xfId="0" applyNumberFormat="1" applyFont="1" applyFill="1" applyBorder="1"/>
    <xf numFmtId="0" fontId="27" fillId="7" borderId="22" xfId="0" applyFont="1" applyFill="1" applyBorder="1" applyAlignment="1">
      <alignment horizontal="center"/>
    </xf>
    <xf numFmtId="43" fontId="9" fillId="6" borderId="2" xfId="1" applyFont="1" applyFill="1" applyBorder="1"/>
    <xf numFmtId="43" fontId="11" fillId="6" borderId="17" xfId="1" applyFont="1" applyFill="1" applyBorder="1"/>
    <xf numFmtId="43" fontId="9" fillId="4" borderId="2" xfId="1" applyFont="1" applyFill="1" applyBorder="1"/>
    <xf numFmtId="43" fontId="9" fillId="0" borderId="80" xfId="1" applyFont="1" applyFill="1" applyBorder="1"/>
    <xf numFmtId="43" fontId="9" fillId="5" borderId="2" xfId="1" applyFont="1" applyFill="1" applyBorder="1"/>
    <xf numFmtId="43" fontId="10" fillId="0" borderId="2" xfId="1" applyFont="1" applyFill="1" applyBorder="1" applyAlignment="1" applyProtection="1">
      <alignment horizontal="center"/>
      <protection locked="0"/>
    </xf>
    <xf numFmtId="43" fontId="9" fillId="0" borderId="2" xfId="1" applyFont="1" applyFill="1" applyBorder="1" applyProtection="1"/>
    <xf numFmtId="43" fontId="11" fillId="0" borderId="17" xfId="1" applyFont="1" applyFill="1" applyBorder="1" applyProtection="1"/>
    <xf numFmtId="43" fontId="11" fillId="0" borderId="17" xfId="1" applyFont="1" applyFill="1" applyBorder="1" applyProtection="1">
      <protection locked="0"/>
    </xf>
    <xf numFmtId="43" fontId="11" fillId="0" borderId="2" xfId="1" applyFont="1" applyFill="1" applyBorder="1" applyProtection="1">
      <protection locked="0"/>
    </xf>
    <xf numFmtId="43" fontId="11" fillId="0" borderId="1" xfId="1" applyFont="1" applyFill="1" applyBorder="1" applyProtection="1">
      <protection locked="0"/>
    </xf>
    <xf numFmtId="43" fontId="9" fillId="0" borderId="0" xfId="1" applyFont="1" applyFill="1" applyProtection="1">
      <protection locked="0"/>
    </xf>
    <xf numFmtId="43" fontId="9" fillId="0" borderId="47" xfId="1" applyFont="1" applyFill="1" applyBorder="1" applyProtection="1">
      <protection locked="0"/>
    </xf>
    <xf numFmtId="43" fontId="9" fillId="0" borderId="41" xfId="1" applyFont="1" applyFill="1" applyBorder="1" applyProtection="1">
      <protection locked="0"/>
    </xf>
    <xf numFmtId="43" fontId="9" fillId="0" borderId="16" xfId="1" applyFont="1" applyFill="1" applyBorder="1" applyProtection="1">
      <protection locked="0"/>
    </xf>
    <xf numFmtId="0" fontId="29" fillId="0" borderId="41" xfId="0" applyFont="1" applyFill="1" applyBorder="1" applyAlignment="1" applyProtection="1">
      <alignment horizontal="center"/>
      <protection locked="0"/>
    </xf>
    <xf numFmtId="43" fontId="13" fillId="0" borderId="41" xfId="1" applyFont="1" applyFill="1" applyBorder="1" applyProtection="1">
      <protection locked="0"/>
    </xf>
    <xf numFmtId="43" fontId="27" fillId="0" borderId="42" xfId="1" applyFont="1" applyFill="1" applyBorder="1" applyProtection="1"/>
    <xf numFmtId="43" fontId="27" fillId="0" borderId="42" xfId="1" applyFont="1" applyFill="1" applyBorder="1" applyProtection="1">
      <protection locked="0"/>
    </xf>
    <xf numFmtId="43" fontId="27" fillId="0" borderId="41" xfId="1" applyFont="1" applyFill="1" applyBorder="1" applyProtection="1">
      <protection locked="0"/>
    </xf>
    <xf numFmtId="43" fontId="27" fillId="0" borderId="63" xfId="1" applyFont="1" applyFill="1" applyBorder="1" applyProtection="1">
      <protection locked="0"/>
    </xf>
    <xf numFmtId="43" fontId="30" fillId="0" borderId="0" xfId="1" applyFont="1" applyFill="1" applyProtection="1">
      <protection locked="0"/>
    </xf>
    <xf numFmtId="0" fontId="30" fillId="0" borderId="0" xfId="0" applyFont="1" applyFill="1" applyProtection="1">
      <protection locked="0"/>
    </xf>
    <xf numFmtId="0" fontId="30" fillId="0" borderId="15" xfId="0" applyFont="1" applyFill="1" applyBorder="1" applyProtection="1">
      <protection locked="0"/>
    </xf>
    <xf numFmtId="0" fontId="30" fillId="0" borderId="26" xfId="0" applyFont="1" applyFill="1" applyBorder="1" applyProtection="1">
      <protection locked="0"/>
    </xf>
    <xf numFmtId="43" fontId="9" fillId="0" borderId="80" xfId="1" applyFont="1" applyFill="1" applyBorder="1" applyProtection="1">
      <protection locked="0"/>
    </xf>
    <xf numFmtId="43" fontId="13" fillId="0" borderId="16" xfId="1" applyFont="1" applyFill="1" applyBorder="1" applyProtection="1">
      <protection locked="0"/>
    </xf>
    <xf numFmtId="43" fontId="9" fillId="0" borderId="35" xfId="1" applyFont="1" applyFill="1" applyBorder="1" applyProtection="1">
      <protection locked="0"/>
    </xf>
    <xf numFmtId="0" fontId="30" fillId="0" borderId="64" xfId="0" applyFont="1" applyFill="1" applyBorder="1" applyProtection="1">
      <protection locked="0"/>
    </xf>
    <xf numFmtId="43" fontId="11" fillId="0" borderId="42" xfId="1" applyFont="1" applyFill="1" applyBorder="1" applyProtection="1">
      <protection locked="0"/>
    </xf>
    <xf numFmtId="0" fontId="7" fillId="0" borderId="56" xfId="0" applyFont="1" applyFill="1" applyBorder="1" applyAlignment="1">
      <alignment horizontal="center"/>
    </xf>
    <xf numFmtId="0" fontId="10" fillId="0" borderId="57" xfId="0" applyFont="1" applyFill="1" applyBorder="1" applyAlignment="1">
      <alignment horizontal="center"/>
    </xf>
    <xf numFmtId="43" fontId="9" fillId="4" borderId="11" xfId="1" applyFont="1" applyFill="1" applyBorder="1"/>
    <xf numFmtId="43" fontId="13" fillId="6" borderId="16" xfId="0" applyNumberFormat="1" applyFont="1" applyFill="1" applyBorder="1"/>
    <xf numFmtId="43" fontId="9" fillId="5" borderId="41" xfId="1" applyFont="1" applyFill="1" applyBorder="1"/>
    <xf numFmtId="43" fontId="9" fillId="5" borderId="16" xfId="1" applyFont="1" applyFill="1" applyBorder="1"/>
    <xf numFmtId="0" fontId="13" fillId="0" borderId="26" xfId="0" applyFont="1" applyFill="1" applyBorder="1"/>
    <xf numFmtId="0" fontId="13" fillId="0" borderId="15" xfId="0" applyFont="1" applyFill="1" applyBorder="1"/>
    <xf numFmtId="43" fontId="1" fillId="4" borderId="11" xfId="1" applyFont="1" applyFill="1" applyBorder="1"/>
    <xf numFmtId="43" fontId="1" fillId="0" borderId="82" xfId="1" applyFont="1" applyFill="1" applyBorder="1" applyAlignment="1" applyProtection="1">
      <alignment horizontal="center"/>
      <protection locked="0"/>
    </xf>
    <xf numFmtId="0" fontId="8" fillId="0" borderId="83" xfId="0" applyFont="1" applyFill="1" applyBorder="1" applyAlignment="1" applyProtection="1">
      <alignment horizontal="center"/>
      <protection locked="0"/>
    </xf>
    <xf numFmtId="43" fontId="0" fillId="0" borderId="83" xfId="1" applyFont="1" applyFill="1" applyBorder="1" applyProtection="1">
      <protection locked="0"/>
    </xf>
    <xf numFmtId="43" fontId="0" fillId="0" borderId="84" xfId="1" applyFont="1" applyFill="1" applyBorder="1" applyProtection="1">
      <protection locked="0"/>
    </xf>
    <xf numFmtId="43" fontId="1" fillId="0" borderId="84" xfId="1" applyFont="1" applyFill="1" applyBorder="1" applyProtection="1">
      <protection locked="0"/>
    </xf>
    <xf numFmtId="43" fontId="0" fillId="0" borderId="85" xfId="1" applyFont="1" applyFill="1" applyBorder="1" applyProtection="1">
      <protection locked="0"/>
    </xf>
    <xf numFmtId="43" fontId="1" fillId="0" borderId="16" xfId="1" applyFont="1" applyFill="1" applyBorder="1" applyProtection="1">
      <protection locked="0"/>
    </xf>
    <xf numFmtId="43" fontId="0" fillId="0" borderId="26" xfId="1" applyFont="1" applyFill="1" applyBorder="1" applyProtection="1">
      <protection locked="0"/>
    </xf>
    <xf numFmtId="43" fontId="27" fillId="0" borderId="35" xfId="1" applyFont="1" applyFill="1" applyBorder="1" applyProtection="1">
      <protection locked="0"/>
    </xf>
    <xf numFmtId="43" fontId="27" fillId="0" borderId="0" xfId="1" applyFont="1" applyFill="1" applyBorder="1" applyProtection="1">
      <protection locked="0"/>
    </xf>
    <xf numFmtId="43" fontId="13" fillId="0" borderId="25" xfId="1" applyFont="1" applyFill="1" applyBorder="1" applyProtection="1">
      <protection locked="0"/>
    </xf>
    <xf numFmtId="43" fontId="0" fillId="0" borderId="86" xfId="1" applyFont="1" applyFill="1" applyBorder="1" applyProtection="1">
      <protection locked="0"/>
    </xf>
    <xf numFmtId="43" fontId="27" fillId="0" borderId="87" xfId="1" applyFont="1" applyFill="1" applyBorder="1" applyProtection="1">
      <protection locked="0"/>
    </xf>
    <xf numFmtId="0" fontId="8" fillId="0" borderId="85" xfId="0" applyFont="1" applyFill="1" applyBorder="1" applyAlignment="1" applyProtection="1">
      <alignment horizontal="center" wrapText="1"/>
      <protection locked="0"/>
    </xf>
    <xf numFmtId="43" fontId="0" fillId="0" borderId="81" xfId="1" applyFont="1" applyFill="1" applyBorder="1" applyProtection="1">
      <protection locked="0"/>
    </xf>
    <xf numFmtId="43" fontId="0" fillId="0" borderId="88" xfId="1" applyFont="1" applyFill="1" applyBorder="1" applyProtection="1">
      <protection locked="0" hidden="1"/>
    </xf>
    <xf numFmtId="43" fontId="0" fillId="0" borderId="62" xfId="1" applyFont="1" applyFill="1" applyBorder="1" applyProtection="1">
      <protection locked="0" hidden="1"/>
    </xf>
    <xf numFmtId="165" fontId="1" fillId="2" borderId="62" xfId="0" applyNumberFormat="1" applyFont="1" applyFill="1" applyBorder="1" applyProtection="1">
      <protection locked="0" hidden="1"/>
    </xf>
    <xf numFmtId="43" fontId="0" fillId="0" borderId="62" xfId="1" quotePrefix="1" applyFont="1" applyFill="1" applyBorder="1" applyProtection="1">
      <protection locked="0" hidden="1"/>
    </xf>
    <xf numFmtId="43" fontId="0" fillId="0" borderId="62" xfId="1" applyFont="1" applyBorder="1" applyProtection="1">
      <protection locked="0" hidden="1"/>
    </xf>
    <xf numFmtId="0" fontId="0" fillId="0" borderId="62" xfId="0" applyFont="1" applyBorder="1" applyProtection="1">
      <protection locked="0" hidden="1"/>
    </xf>
    <xf numFmtId="165" fontId="0" fillId="2" borderId="62" xfId="0" applyNumberFormat="1" applyFont="1" applyFill="1" applyBorder="1" applyProtection="1">
      <protection locked="0" hidden="1"/>
    </xf>
    <xf numFmtId="0" fontId="0" fillId="0" borderId="62" xfId="0" applyFill="1" applyBorder="1" applyProtection="1">
      <protection locked="0" hidden="1"/>
    </xf>
    <xf numFmtId="0" fontId="15" fillId="0" borderId="62" xfId="0" applyFont="1" applyFill="1" applyBorder="1" applyAlignment="1" applyProtection="1">
      <alignment vertical="center"/>
      <protection locked="0" hidden="1"/>
    </xf>
    <xf numFmtId="0" fontId="1" fillId="0" borderId="37" xfId="0" applyFont="1" applyBorder="1" applyProtection="1">
      <protection locked="0" hidden="1"/>
    </xf>
    <xf numFmtId="0" fontId="14" fillId="0" borderId="62" xfId="2" applyFont="1" applyFill="1" applyBorder="1" applyProtection="1">
      <protection locked="0" hidden="1"/>
    </xf>
    <xf numFmtId="0" fontId="9" fillId="0" borderId="62" xfId="0" applyFont="1" applyFill="1" applyBorder="1" applyProtection="1">
      <protection locked="0" hidden="1"/>
    </xf>
    <xf numFmtId="0" fontId="13" fillId="0" borderId="62" xfId="0" applyFont="1" applyFill="1" applyBorder="1" applyProtection="1">
      <protection locked="0" hidden="1"/>
    </xf>
    <xf numFmtId="0" fontId="1" fillId="0" borderId="62" xfId="0" applyFont="1" applyFill="1" applyBorder="1" applyProtection="1">
      <protection locked="0" hidden="1"/>
    </xf>
    <xf numFmtId="0" fontId="0" fillId="0" borderId="62" xfId="0" applyFont="1" applyFill="1" applyBorder="1" applyProtection="1">
      <protection locked="0" hidden="1"/>
    </xf>
    <xf numFmtId="0" fontId="4" fillId="0" borderId="54" xfId="0" applyFont="1" applyBorder="1" applyProtection="1">
      <protection locked="0" hidden="1"/>
    </xf>
    <xf numFmtId="0" fontId="0" fillId="7" borderId="37" xfId="2" applyFont="1" applyFill="1" applyBorder="1" applyProtection="1">
      <protection locked="0" hidden="1"/>
    </xf>
    <xf numFmtId="0" fontId="0" fillId="7" borderId="37" xfId="0" applyFont="1" applyFill="1" applyBorder="1" applyProtection="1">
      <protection locked="0" hidden="1"/>
    </xf>
    <xf numFmtId="17" fontId="7" fillId="12" borderId="2" xfId="0" quotePrefix="1" applyNumberFormat="1" applyFont="1" applyFill="1" applyBorder="1" applyAlignment="1" applyProtection="1">
      <alignment horizontal="center"/>
      <protection locked="0" hidden="1"/>
    </xf>
    <xf numFmtId="0" fontId="7" fillId="12" borderId="2" xfId="0" applyFont="1" applyFill="1" applyBorder="1" applyAlignment="1" applyProtection="1">
      <alignment horizontal="center"/>
      <protection locked="0" hidden="1"/>
    </xf>
    <xf numFmtId="0" fontId="7" fillId="12" borderId="1" xfId="0" applyFont="1" applyFill="1" applyBorder="1" applyAlignment="1" applyProtection="1">
      <alignment horizontal="center"/>
      <protection locked="0" hidden="1"/>
    </xf>
    <xf numFmtId="43" fontId="0" fillId="13" borderId="2" xfId="1" applyFont="1" applyFill="1" applyBorder="1" applyProtection="1">
      <protection locked="0" hidden="1"/>
    </xf>
    <xf numFmtId="43" fontId="13" fillId="0" borderId="2" xfId="1" applyFont="1" applyFill="1" applyBorder="1" applyProtection="1">
      <protection locked="0" hidden="1"/>
    </xf>
    <xf numFmtId="43" fontId="13" fillId="0" borderId="62" xfId="1" applyFont="1" applyFill="1" applyBorder="1" applyProtection="1">
      <protection locked="0" hidden="1"/>
    </xf>
    <xf numFmtId="0" fontId="0" fillId="14" borderId="0" xfId="0" applyFill="1" applyBorder="1" applyProtection="1">
      <protection locked="0" hidden="1"/>
    </xf>
    <xf numFmtId="0" fontId="1" fillId="14" borderId="0" xfId="0" applyFont="1" applyFill="1" applyBorder="1" applyAlignment="1" applyProtection="1">
      <alignment horizontal="center"/>
      <protection locked="0" hidden="1"/>
    </xf>
    <xf numFmtId="0" fontId="1" fillId="14" borderId="0" xfId="0" applyFont="1" applyFill="1" applyBorder="1" applyProtection="1">
      <protection locked="0" hidden="1"/>
    </xf>
    <xf numFmtId="0" fontId="18" fillId="14" borderId="0" xfId="0" applyFont="1" applyFill="1" applyBorder="1" applyProtection="1">
      <protection locked="0" hidden="1"/>
    </xf>
    <xf numFmtId="1" fontId="6" fillId="0" borderId="37" xfId="0" applyNumberFormat="1" applyFont="1" applyBorder="1" applyAlignment="1" applyProtection="1">
      <alignment horizontal="center"/>
      <protection locked="0" hidden="1"/>
    </xf>
    <xf numFmtId="43" fontId="4" fillId="0" borderId="32" xfId="1" applyFont="1" applyBorder="1" applyProtection="1">
      <protection locked="0" hidden="1"/>
    </xf>
    <xf numFmtId="43" fontId="7" fillId="0" borderId="2" xfId="1" quotePrefix="1" applyFont="1" applyBorder="1" applyAlignment="1" applyProtection="1">
      <alignment horizontal="center"/>
      <protection locked="0" hidden="1"/>
    </xf>
    <xf numFmtId="43" fontId="7" fillId="0" borderId="1" xfId="1" applyFont="1" applyBorder="1" applyAlignment="1" applyProtection="1">
      <alignment horizontal="center"/>
      <protection locked="0" hidden="1"/>
    </xf>
    <xf numFmtId="43" fontId="7" fillId="0" borderId="58" xfId="1" applyFont="1" applyBorder="1" applyAlignment="1" applyProtection="1">
      <alignment horizontal="center"/>
      <protection locked="0" hidden="1"/>
    </xf>
    <xf numFmtId="43" fontId="7" fillId="0" borderId="2" xfId="1" applyFont="1" applyBorder="1" applyAlignment="1" applyProtection="1">
      <alignment horizontal="center"/>
      <protection locked="0" hidden="1"/>
    </xf>
    <xf numFmtId="43" fontId="9" fillId="0" borderId="55" xfId="1" applyFont="1" applyBorder="1" applyProtection="1">
      <protection locked="0" hidden="1"/>
    </xf>
    <xf numFmtId="43" fontId="18" fillId="2" borderId="34" xfId="1" applyFont="1" applyFill="1" applyBorder="1" applyProtection="1">
      <protection locked="0" hidden="1"/>
    </xf>
    <xf numFmtId="43" fontId="4" fillId="0" borderId="35" xfId="1" applyFont="1" applyBorder="1" applyProtection="1">
      <protection locked="0" hidden="1"/>
    </xf>
    <xf numFmtId="43" fontId="4" fillId="0" borderId="25" xfId="1" applyFont="1" applyBorder="1" applyProtection="1">
      <protection locked="0" hidden="1"/>
    </xf>
    <xf numFmtId="43" fontId="14" fillId="0" borderId="2" xfId="1" applyFont="1" applyBorder="1" applyProtection="1">
      <protection locked="0" hidden="1"/>
    </xf>
    <xf numFmtId="43" fontId="2" fillId="0" borderId="2" xfId="1" applyFont="1" applyBorder="1" applyAlignment="1" applyProtection="1">
      <alignment horizontal="center"/>
      <protection locked="0" hidden="1"/>
    </xf>
    <xf numFmtId="0" fontId="18" fillId="0" borderId="16" xfId="0" applyFont="1" applyFill="1" applyBorder="1" applyProtection="1">
      <protection locked="0" hidden="1"/>
    </xf>
    <xf numFmtId="0" fontId="15" fillId="0" borderId="25" xfId="0" applyFont="1" applyFill="1" applyBorder="1" applyAlignment="1" applyProtection="1">
      <alignment vertical="center"/>
      <protection locked="0" hidden="1"/>
    </xf>
    <xf numFmtId="43" fontId="33" fillId="15" borderId="2" xfId="1" applyFont="1" applyFill="1" applyBorder="1" applyAlignment="1" applyProtection="1">
      <alignment horizontal="center"/>
      <protection locked="0"/>
    </xf>
    <xf numFmtId="43" fontId="24" fillId="15" borderId="2" xfId="1" applyFont="1" applyFill="1" applyBorder="1" applyProtection="1"/>
    <xf numFmtId="43" fontId="34" fillId="15" borderId="17" xfId="1" applyFont="1" applyFill="1" applyBorder="1" applyProtection="1"/>
    <xf numFmtId="43" fontId="24" fillId="15" borderId="2" xfId="1" applyFont="1" applyFill="1" applyBorder="1" applyProtection="1">
      <protection locked="0"/>
    </xf>
    <xf numFmtId="43" fontId="34" fillId="15" borderId="17" xfId="1" applyFont="1" applyFill="1" applyBorder="1" applyProtection="1">
      <protection locked="0"/>
    </xf>
    <xf numFmtId="43" fontId="34" fillId="15" borderId="2" xfId="1" applyFont="1" applyFill="1" applyBorder="1" applyProtection="1">
      <protection locked="0"/>
    </xf>
    <xf numFmtId="43" fontId="34" fillId="15" borderId="1" xfId="1" applyFont="1" applyFill="1" applyBorder="1" applyProtection="1">
      <protection locked="0"/>
    </xf>
    <xf numFmtId="43" fontId="24" fillId="15" borderId="0" xfId="1" applyFont="1" applyFill="1" applyBorder="1" applyProtection="1">
      <protection locked="0"/>
    </xf>
    <xf numFmtId="43" fontId="1" fillId="15" borderId="0" xfId="1" applyFont="1" applyFill="1" applyBorder="1" applyAlignment="1">
      <alignment horizontal="center"/>
    </xf>
    <xf numFmtId="43" fontId="33" fillId="15" borderId="21" xfId="1" applyFont="1" applyFill="1" applyBorder="1" applyAlignment="1">
      <alignment horizontal="center"/>
    </xf>
    <xf numFmtId="0" fontId="15" fillId="16" borderId="37" xfId="0" applyFont="1" applyFill="1" applyBorder="1" applyAlignment="1" applyProtection="1">
      <alignment vertical="center"/>
      <protection locked="0" hidden="1"/>
    </xf>
    <xf numFmtId="0" fontId="0" fillId="13" borderId="37" xfId="0" applyFill="1" applyBorder="1" applyProtection="1">
      <protection locked="0" hidden="1"/>
    </xf>
    <xf numFmtId="165" fontId="1" fillId="16" borderId="2" xfId="0" applyNumberFormat="1" applyFont="1" applyFill="1" applyBorder="1" applyProtection="1">
      <protection locked="0" hidden="1"/>
    </xf>
    <xf numFmtId="0" fontId="1" fillId="13" borderId="37" xfId="0" applyFont="1" applyFill="1" applyBorder="1" applyProtection="1">
      <protection locked="0" hidden="1"/>
    </xf>
    <xf numFmtId="165" fontId="1" fillId="16" borderId="62" xfId="0" applyNumberFormat="1" applyFont="1" applyFill="1" applyBorder="1" applyProtection="1">
      <protection locked="0" hidden="1"/>
    </xf>
    <xf numFmtId="0" fontId="15" fillId="16" borderId="62" xfId="0" applyFont="1" applyFill="1" applyBorder="1" applyAlignment="1" applyProtection="1">
      <alignment vertical="center"/>
      <protection locked="0" hidden="1"/>
    </xf>
    <xf numFmtId="165" fontId="1" fillId="0" borderId="0" xfId="0" applyNumberFormat="1" applyFont="1" applyFill="1" applyBorder="1" applyProtection="1">
      <protection locked="0" hidden="1"/>
    </xf>
    <xf numFmtId="0" fontId="0" fillId="16" borderId="62" xfId="0" applyFill="1" applyBorder="1" applyProtection="1">
      <protection locked="0" hidden="1"/>
    </xf>
    <xf numFmtId="43" fontId="0" fillId="16" borderId="2" xfId="1" applyFont="1" applyFill="1" applyBorder="1" applyProtection="1">
      <protection locked="0" hidden="1"/>
    </xf>
    <xf numFmtId="0" fontId="0" fillId="13" borderId="62" xfId="0" applyFill="1" applyBorder="1" applyProtection="1">
      <protection locked="0" hidden="1"/>
    </xf>
    <xf numFmtId="0" fontId="15" fillId="16" borderId="0" xfId="0" applyFont="1" applyFill="1" applyBorder="1" applyAlignment="1" applyProtection="1">
      <alignment vertical="center"/>
      <protection locked="0" hidden="1"/>
    </xf>
    <xf numFmtId="43" fontId="1" fillId="17" borderId="0" xfId="1" applyFont="1" applyFill="1" applyBorder="1" applyAlignment="1" applyProtection="1">
      <alignment horizontal="center"/>
      <protection locked="0"/>
    </xf>
    <xf numFmtId="0" fontId="36" fillId="17" borderId="30" xfId="0" applyFont="1" applyFill="1" applyBorder="1" applyAlignment="1" applyProtection="1">
      <alignment horizontal="center" wrapText="1"/>
      <protection locked="0"/>
    </xf>
    <xf numFmtId="0" fontId="36" fillId="17" borderId="0" xfId="0" applyFont="1" applyFill="1" applyBorder="1" applyAlignment="1" applyProtection="1">
      <alignment horizontal="center"/>
      <protection locked="0"/>
    </xf>
    <xf numFmtId="43" fontId="35" fillId="17" borderId="0" xfId="1" applyFont="1" applyFill="1" applyBorder="1" applyProtection="1">
      <protection locked="0"/>
    </xf>
    <xf numFmtId="43" fontId="35" fillId="17" borderId="61" xfId="1" applyFont="1" applyFill="1" applyBorder="1" applyProtection="1">
      <protection locked="0"/>
    </xf>
    <xf numFmtId="43" fontId="37" fillId="17" borderId="61" xfId="1" applyFont="1" applyFill="1" applyBorder="1" applyProtection="1">
      <protection locked="0"/>
    </xf>
    <xf numFmtId="43" fontId="35" fillId="17" borderId="30" xfId="1" applyFont="1" applyFill="1" applyBorder="1" applyProtection="1">
      <protection locked="0"/>
    </xf>
    <xf numFmtId="43" fontId="35" fillId="17" borderId="87" xfId="1" applyFont="1" applyFill="1" applyBorder="1" applyProtection="1">
      <protection locked="0"/>
    </xf>
    <xf numFmtId="43" fontId="24" fillId="0" borderId="0" xfId="1" applyFont="1" applyFill="1" applyBorder="1" applyProtection="1">
      <protection locked="0"/>
    </xf>
    <xf numFmtId="43" fontId="33" fillId="0" borderId="0" xfId="1" applyFont="1" applyFill="1" applyBorder="1" applyAlignment="1" applyProtection="1">
      <alignment horizontal="center"/>
      <protection locked="0"/>
    </xf>
    <xf numFmtId="43" fontId="34" fillId="0" borderId="0" xfId="1" applyFont="1" applyFill="1" applyBorder="1" applyProtection="1">
      <protection locked="0"/>
    </xf>
    <xf numFmtId="43" fontId="34" fillId="15" borderId="89" xfId="1" applyFont="1" applyFill="1" applyBorder="1" applyProtection="1">
      <protection locked="0"/>
    </xf>
    <xf numFmtId="43" fontId="34" fillId="15" borderId="90" xfId="1" applyFont="1" applyFill="1" applyBorder="1" applyProtection="1">
      <protection locked="0"/>
    </xf>
    <xf numFmtId="43" fontId="34" fillId="0" borderId="62" xfId="1" applyFont="1" applyFill="1" applyBorder="1" applyProtection="1">
      <protection locked="0"/>
    </xf>
    <xf numFmtId="43" fontId="0" fillId="0" borderId="91" xfId="1" applyFont="1" applyFill="1" applyBorder="1" applyProtection="1">
      <protection locked="0"/>
    </xf>
    <xf numFmtId="43" fontId="1" fillId="7" borderId="0" xfId="1" applyFont="1" applyFill="1" applyAlignment="1">
      <alignment horizontal="left"/>
    </xf>
    <xf numFmtId="43" fontId="35" fillId="17" borderId="0" xfId="1" applyFont="1" applyFill="1" applyBorder="1" applyAlignment="1" applyProtection="1">
      <alignment horizontal="center"/>
      <protection locked="0"/>
    </xf>
    <xf numFmtId="0" fontId="38" fillId="4" borderId="3" xfId="0" applyFont="1" applyFill="1" applyBorder="1"/>
    <xf numFmtId="0" fontId="1" fillId="7" borderId="0" xfId="0" applyFont="1" applyFill="1" applyAlignment="1">
      <alignment horizontal="center"/>
    </xf>
    <xf numFmtId="49" fontId="0" fillId="0" borderId="5" xfId="0" quotePrefix="1" applyNumberFormat="1" applyFill="1" applyBorder="1" applyAlignment="1">
      <alignment horizontal="left"/>
    </xf>
    <xf numFmtId="43" fontId="0" fillId="0" borderId="11" xfId="1" applyFont="1" applyFill="1" applyBorder="1" applyProtection="1">
      <protection locked="0"/>
    </xf>
    <xf numFmtId="43" fontId="9" fillId="0" borderId="12" xfId="1" applyFont="1" applyFill="1" applyBorder="1" applyProtection="1">
      <protection locked="0"/>
    </xf>
    <xf numFmtId="166" fontId="0" fillId="0" borderId="0" xfId="0" applyNumberFormat="1" applyFill="1" applyProtection="1">
      <protection locked="0"/>
    </xf>
    <xf numFmtId="43" fontId="1" fillId="0" borderId="32" xfId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9" xfId="0" quotePrefix="1" applyFont="1" applyFill="1" applyBorder="1" applyAlignment="1" applyProtection="1">
      <alignment horizontal="center"/>
      <protection locked="0"/>
    </xf>
    <xf numFmtId="17" fontId="7" fillId="0" borderId="9" xfId="0" quotePrefix="1" applyNumberFormat="1" applyFont="1" applyFill="1" applyBorder="1" applyAlignment="1" applyProtection="1">
      <alignment horizontal="center"/>
      <protection locked="0"/>
    </xf>
    <xf numFmtId="17" fontId="7" fillId="0" borderId="9" xfId="0" quotePrefix="1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9" xfId="0" quotePrefix="1" applyFont="1" applyFill="1" applyBorder="1" applyAlignment="1">
      <alignment horizontal="center"/>
    </xf>
    <xf numFmtId="43" fontId="1" fillId="0" borderId="43" xfId="1" applyFont="1" applyFill="1" applyBorder="1" applyAlignment="1">
      <alignment horizontal="center"/>
    </xf>
    <xf numFmtId="43" fontId="1" fillId="0" borderId="44" xfId="1" applyFont="1" applyFill="1" applyBorder="1" applyAlignment="1">
      <alignment horizontal="center"/>
    </xf>
    <xf numFmtId="43" fontId="1" fillId="0" borderId="45" xfId="1" applyFont="1" applyFill="1" applyBorder="1" applyAlignment="1">
      <alignment horizontal="center"/>
    </xf>
    <xf numFmtId="43" fontId="1" fillId="0" borderId="43" xfId="1" applyFont="1" applyFill="1" applyBorder="1" applyAlignment="1" applyProtection="1">
      <alignment horizontal="center"/>
      <protection locked="0"/>
    </xf>
    <xf numFmtId="43" fontId="1" fillId="0" borderId="44" xfId="1" applyFont="1" applyFill="1" applyBorder="1" applyAlignment="1" applyProtection="1">
      <alignment horizontal="center"/>
      <protection locked="0"/>
    </xf>
    <xf numFmtId="43" fontId="1" fillId="0" borderId="45" xfId="1" applyFont="1" applyFill="1" applyBorder="1" applyAlignment="1" applyProtection="1">
      <alignment horizontal="center"/>
      <protection locked="0"/>
    </xf>
    <xf numFmtId="17" fontId="7" fillId="0" borderId="43" xfId="0" quotePrefix="1" applyNumberFormat="1" applyFont="1" applyFill="1" applyBorder="1" applyAlignment="1">
      <alignment horizontal="center"/>
    </xf>
    <xf numFmtId="17" fontId="7" fillId="0" borderId="59" xfId="0" quotePrefix="1" applyNumberFormat="1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/>
    </xf>
    <xf numFmtId="0" fontId="7" fillId="0" borderId="43" xfId="0" quotePrefix="1" applyFont="1" applyFill="1" applyBorder="1" applyAlignment="1">
      <alignment horizontal="center"/>
    </xf>
    <xf numFmtId="0" fontId="7" fillId="0" borderId="59" xfId="0" quotePrefix="1" applyFont="1" applyFill="1" applyBorder="1" applyAlignment="1">
      <alignment horizontal="center"/>
    </xf>
    <xf numFmtId="43" fontId="1" fillId="0" borderId="39" xfId="1" applyFont="1" applyFill="1" applyBorder="1" applyAlignment="1" applyProtection="1">
      <alignment horizontal="center"/>
      <protection locked="0"/>
    </xf>
    <xf numFmtId="0" fontId="4" fillId="12" borderId="65" xfId="0" applyFont="1" applyFill="1" applyBorder="1" applyAlignment="1" applyProtection="1">
      <alignment horizontal="center"/>
      <protection locked="0" hidden="1"/>
    </xf>
    <xf numFmtId="0" fontId="4" fillId="12" borderId="18" xfId="0" applyFont="1" applyFill="1" applyBorder="1" applyAlignment="1" applyProtection="1">
      <alignment horizontal="center"/>
      <protection locked="0" hidden="1"/>
    </xf>
    <xf numFmtId="0" fontId="4" fillId="12" borderId="50" xfId="0" applyFont="1" applyFill="1" applyBorder="1" applyAlignment="1" applyProtection="1">
      <alignment horizontal="center"/>
      <protection locked="0" hidden="1"/>
    </xf>
    <xf numFmtId="43" fontId="1" fillId="11" borderId="4" xfId="1" applyFont="1" applyFill="1" applyBorder="1" applyAlignment="1">
      <alignment horizontal="center"/>
    </xf>
    <xf numFmtId="43" fontId="1" fillId="11" borderId="66" xfId="1" applyFont="1" applyFill="1" applyBorder="1" applyAlignment="1">
      <alignment horizontal="center"/>
    </xf>
    <xf numFmtId="43" fontId="1" fillId="11" borderId="67" xfId="1" applyFont="1" applyFill="1" applyBorder="1" applyAlignment="1">
      <alignment horizontal="center"/>
    </xf>
    <xf numFmtId="43" fontId="1" fillId="10" borderId="4" xfId="1" applyFont="1" applyFill="1" applyBorder="1" applyAlignment="1">
      <alignment horizontal="center"/>
    </xf>
    <xf numFmtId="43" fontId="1" fillId="10" borderId="66" xfId="1" applyFont="1" applyFill="1" applyBorder="1" applyAlignment="1">
      <alignment horizontal="center"/>
    </xf>
    <xf numFmtId="43" fontId="1" fillId="10" borderId="67" xfId="1" applyFont="1" applyFill="1" applyBorder="1" applyAlignment="1">
      <alignment horizontal="center"/>
    </xf>
    <xf numFmtId="43" fontId="1" fillId="10" borderId="18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CCCCFF"/>
      <color rgb="FF00FFCC"/>
      <color rgb="FFFFCCFF"/>
      <color rgb="FFFF00FF"/>
      <color rgb="FF99FFCC"/>
      <color rgb="FFFFFF99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RDI  Expenses</a:t>
            </a:r>
          </a:p>
          <a:p>
            <a:pPr>
              <a:defRPr/>
            </a:pPr>
            <a:endParaRPr lang="en-ZA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RDI!$AH$2</c:f>
              <c:strCache>
                <c:ptCount val="1"/>
                <c:pt idx="0">
                  <c:v>Actual Expenses</c:v>
                </c:pt>
              </c:strCache>
            </c:strRef>
          </c:tx>
          <c:invertIfNegative val="0"/>
          <c:cat>
            <c:strRef>
              <c:f>RDI!$AI$1:$AT$1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RDI!$AI$2:$AT$2</c:f>
              <c:numCache>
                <c:formatCode>_ * #,##0_ ;_ * \-#,##0_ ;_ * "-"??_ ;_ @_ </c:formatCode>
                <c:ptCount val="12"/>
                <c:pt idx="0">
                  <c:v>433224.50000000006</c:v>
                </c:pt>
                <c:pt idx="1">
                  <c:v>431488.43000000005</c:v>
                </c:pt>
                <c:pt idx="2">
                  <c:v>444058.36000000004</c:v>
                </c:pt>
                <c:pt idx="3">
                  <c:v>516247.36000000004</c:v>
                </c:pt>
                <c:pt idx="4">
                  <c:v>489461.55999999988</c:v>
                </c:pt>
                <c:pt idx="5">
                  <c:v>482674.76000000007</c:v>
                </c:pt>
                <c:pt idx="6">
                  <c:v>454943.66999999993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RDI!$AH$3</c:f>
              <c:strCache>
                <c:ptCount val="1"/>
                <c:pt idx="0">
                  <c:v>Budget Expenses</c:v>
                </c:pt>
              </c:strCache>
            </c:strRef>
          </c:tx>
          <c:invertIfNegative val="0"/>
          <c:cat>
            <c:strRef>
              <c:f>RDI!$AI$1:$AT$1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RDI!$AI$3:$AT$3</c:f>
              <c:numCache>
                <c:formatCode>_ * #,##0_ ;_ * \-#,##0_ ;_ * "-"??_ ;_ @_ </c:formatCode>
                <c:ptCount val="12"/>
                <c:pt idx="0">
                  <c:v>578363.79430000007</c:v>
                </c:pt>
                <c:pt idx="1">
                  <c:v>563863.79430000007</c:v>
                </c:pt>
                <c:pt idx="2">
                  <c:v>682663.79430000007</c:v>
                </c:pt>
                <c:pt idx="3">
                  <c:v>578973.27797023999</c:v>
                </c:pt>
                <c:pt idx="4">
                  <c:v>577573.27797023999</c:v>
                </c:pt>
                <c:pt idx="5">
                  <c:v>552893.27797023999</c:v>
                </c:pt>
                <c:pt idx="6">
                  <c:v>527093.27797023999</c:v>
                </c:pt>
                <c:pt idx="7">
                  <c:v>526593.27797023999</c:v>
                </c:pt>
                <c:pt idx="8">
                  <c:v>524793.27797023999</c:v>
                </c:pt>
                <c:pt idx="9">
                  <c:v>523793.27797023999</c:v>
                </c:pt>
                <c:pt idx="10">
                  <c:v>524793.27797023999</c:v>
                </c:pt>
                <c:pt idx="11">
                  <c:v>523793.27797023999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0766208"/>
        <c:axId val="200767744"/>
        <c:axId val="0"/>
      </c:bar3DChart>
      <c:catAx>
        <c:axId val="20076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767744"/>
        <c:crosses val="autoZero"/>
        <c:auto val="1"/>
        <c:lblAlgn val="ctr"/>
        <c:lblOffset val="100"/>
        <c:noMultiLvlLbl val="0"/>
      </c:catAx>
      <c:valAx>
        <c:axId val="200767744"/>
        <c:scaling>
          <c:orientation val="minMax"/>
        </c:scaling>
        <c:delete val="0"/>
        <c:axPos val="l"/>
        <c:majorGridlines/>
        <c:title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00766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609599</xdr:colOff>
      <xdr:row>4</xdr:row>
      <xdr:rowOff>19050</xdr:rowOff>
    </xdr:from>
    <xdr:to>
      <xdr:col>45</xdr:col>
      <xdr:colOff>723900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abteknivagroup\MONTHLY%20FINANCIAL%20STATEMENTS\MAANDSTATE%202011\Management%20Pack%20Pastel%20Sep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ransactions"/>
      <sheetName val="Date_Lup"/>
      <sheetName val="Ledger Transaction Details"/>
      <sheetName val="Lookup"/>
      <sheetName val="Instructions"/>
      <sheetName val="MENU"/>
      <sheetName val="Income Statement sept ytd"/>
      <sheetName val="Balance Sheet ytd cashflow"/>
      <sheetName val="Income Statement"/>
      <sheetName val="Balance Sheet"/>
      <sheetName val="Income Statement prior"/>
    </sheetNames>
    <sheetDataSet>
      <sheetData sheetId="0"/>
      <sheetData sheetId="1"/>
      <sheetData sheetId="2"/>
      <sheetData sheetId="3">
        <row r="24">
          <cell r="D24">
            <v>-3388796.6700000018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2"/>
  <sheetViews>
    <sheetView zoomScaleNormal="100" workbookViewId="0">
      <pane xSplit="2" ySplit="2" topLeftCell="C3" activePane="bottomRight" state="frozen"/>
      <selection sqref="A1:XFD1048576"/>
      <selection pane="topRight" sqref="A1:XFD1048576"/>
      <selection pane="bottomLeft" sqref="A1:XFD1048576"/>
      <selection pane="bottomRight" activeCell="J25" sqref="J25"/>
    </sheetView>
  </sheetViews>
  <sheetFormatPr defaultColWidth="9.140625" defaultRowHeight="15" x14ac:dyDescent="0.25"/>
  <cols>
    <col min="1" max="1" width="10.140625" style="18" customWidth="1"/>
    <col min="2" max="2" width="38.7109375" style="31" bestFit="1" customWidth="1"/>
    <col min="3" max="3" width="12.5703125" style="23" customWidth="1"/>
    <col min="4" max="4" width="13.42578125" style="24" bestFit="1" customWidth="1"/>
    <col min="5" max="5" width="12.5703125" style="23" customWidth="1"/>
    <col min="6" max="6" width="13.7109375" style="24" bestFit="1" customWidth="1"/>
    <col min="7" max="7" width="12.5703125" style="23" customWidth="1"/>
    <col min="8" max="8" width="13.28515625" style="24" customWidth="1"/>
    <col min="9" max="9" width="12.5703125" style="23" customWidth="1"/>
    <col min="10" max="10" width="13.5703125" style="24" customWidth="1"/>
    <col min="11" max="11" width="12.5703125" style="23" customWidth="1"/>
    <col min="12" max="12" width="13.42578125" style="24" customWidth="1"/>
    <col min="13" max="13" width="13.42578125" style="23" customWidth="1"/>
    <col min="14" max="14" width="13.42578125" style="24" customWidth="1"/>
    <col min="15" max="15" width="12.5703125" style="23" customWidth="1"/>
    <col min="16" max="16" width="13.42578125" style="24" customWidth="1"/>
    <col min="17" max="17" width="12.5703125" style="23" customWidth="1"/>
    <col min="18" max="18" width="13.42578125" style="24" customWidth="1"/>
    <col min="19" max="19" width="13.7109375" style="23" customWidth="1"/>
    <col min="20" max="20" width="13.42578125" style="24" customWidth="1"/>
    <col min="21" max="21" width="12.5703125" style="23" customWidth="1"/>
    <col min="22" max="22" width="13.42578125" style="24" customWidth="1"/>
    <col min="23" max="23" width="15.140625" style="23" customWidth="1"/>
    <col min="24" max="24" width="13.42578125" style="24" customWidth="1"/>
    <col min="25" max="25" width="6.7109375" style="25" hidden="1" customWidth="1"/>
    <col min="26" max="26" width="13.42578125" style="24" customWidth="1"/>
    <col min="27" max="27" width="13.7109375" style="22" customWidth="1"/>
    <col min="28" max="28" width="16.85546875" style="365" customWidth="1"/>
    <col min="29" max="29" width="13.7109375" style="375" customWidth="1"/>
    <col min="30" max="30" width="9.140625" style="31"/>
    <col min="31" max="31" width="18.28515625" style="22" customWidth="1"/>
    <col min="32" max="32" width="9.140625" style="31"/>
    <col min="33" max="33" width="11.28515625" style="31" customWidth="1"/>
    <col min="34" max="35" width="12.5703125" style="31" bestFit="1" customWidth="1"/>
    <col min="36" max="45" width="13.7109375" style="31" bestFit="1" customWidth="1"/>
    <col min="46" max="16384" width="9.140625" style="31"/>
  </cols>
  <sheetData>
    <row r="1" spans="1:45" s="3" customFormat="1" ht="16.5" thickTop="1" thickBot="1" x14ac:dyDescent="0.3">
      <c r="A1" s="2" t="s">
        <v>167</v>
      </c>
      <c r="B1" s="39" t="s">
        <v>166</v>
      </c>
      <c r="C1" s="537">
        <v>41640</v>
      </c>
      <c r="D1" s="538"/>
      <c r="E1" s="539" t="s">
        <v>55</v>
      </c>
      <c r="F1" s="540"/>
      <c r="G1" s="539" t="s">
        <v>177</v>
      </c>
      <c r="H1" s="540"/>
      <c r="I1" s="539" t="s">
        <v>46</v>
      </c>
      <c r="J1" s="540"/>
      <c r="K1" s="539" t="s">
        <v>47</v>
      </c>
      <c r="L1" s="540"/>
      <c r="M1" s="539" t="s">
        <v>48</v>
      </c>
      <c r="N1" s="540"/>
      <c r="O1" s="539" t="s">
        <v>49</v>
      </c>
      <c r="P1" s="540"/>
      <c r="Q1" s="539" t="s">
        <v>50</v>
      </c>
      <c r="R1" s="540"/>
      <c r="S1" s="539" t="s">
        <v>51</v>
      </c>
      <c r="T1" s="540"/>
      <c r="U1" s="539" t="s">
        <v>52</v>
      </c>
      <c r="V1" s="540"/>
      <c r="W1" s="541" t="s">
        <v>53</v>
      </c>
      <c r="X1" s="542"/>
      <c r="Y1" s="539" t="s">
        <v>54</v>
      </c>
      <c r="Z1" s="540"/>
      <c r="AA1" s="531" t="s">
        <v>59</v>
      </c>
      <c r="AB1" s="532"/>
      <c r="AC1" s="533"/>
      <c r="AE1" s="510" t="s">
        <v>310</v>
      </c>
      <c r="AF1" s="355"/>
      <c r="AG1" s="355"/>
      <c r="AH1" s="355"/>
    </row>
    <row r="2" spans="1:45" s="8" customFormat="1" ht="15.75" thickBot="1" x14ac:dyDescent="0.3">
      <c r="A2" s="40"/>
      <c r="B2" s="41" t="s">
        <v>358</v>
      </c>
      <c r="C2" s="5" t="s">
        <v>2</v>
      </c>
      <c r="D2" s="6" t="s">
        <v>14</v>
      </c>
      <c r="E2" s="5" t="s">
        <v>2</v>
      </c>
      <c r="F2" s="6" t="s">
        <v>14</v>
      </c>
      <c r="G2" s="5" t="s">
        <v>2</v>
      </c>
      <c r="H2" s="6" t="s">
        <v>14</v>
      </c>
      <c r="I2" s="5" t="s">
        <v>2</v>
      </c>
      <c r="J2" s="6" t="s">
        <v>14</v>
      </c>
      <c r="K2" s="5" t="s">
        <v>2</v>
      </c>
      <c r="L2" s="6" t="s">
        <v>14</v>
      </c>
      <c r="M2" s="5" t="s">
        <v>2</v>
      </c>
      <c r="N2" s="6" t="s">
        <v>14</v>
      </c>
      <c r="O2" s="5" t="s">
        <v>2</v>
      </c>
      <c r="P2" s="6" t="s">
        <v>14</v>
      </c>
      <c r="Q2" s="5" t="s">
        <v>2</v>
      </c>
      <c r="R2" s="6" t="s">
        <v>14</v>
      </c>
      <c r="S2" s="5" t="s">
        <v>2</v>
      </c>
      <c r="T2" s="6" t="s">
        <v>14</v>
      </c>
      <c r="U2" s="5" t="s">
        <v>2</v>
      </c>
      <c r="V2" s="6" t="s">
        <v>14</v>
      </c>
      <c r="W2" s="5" t="s">
        <v>2</v>
      </c>
      <c r="X2" s="6" t="s">
        <v>14</v>
      </c>
      <c r="Y2" s="5" t="s">
        <v>2</v>
      </c>
      <c r="Z2" s="6" t="s">
        <v>14</v>
      </c>
      <c r="AA2" s="7" t="s">
        <v>2</v>
      </c>
      <c r="AB2" s="363" t="s">
        <v>313</v>
      </c>
      <c r="AC2" s="369" t="s">
        <v>308</v>
      </c>
      <c r="AD2" s="8" t="s">
        <v>283</v>
      </c>
      <c r="AE2" s="511" t="s">
        <v>357</v>
      </c>
      <c r="AF2" s="513"/>
    </row>
    <row r="3" spans="1:45" s="8" customFormat="1" x14ac:dyDescent="0.25">
      <c r="A3" s="4"/>
      <c r="B3" s="3"/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408"/>
      <c r="T3" s="409"/>
      <c r="U3" s="408"/>
      <c r="V3" s="409"/>
      <c r="W3" s="408"/>
      <c r="X3" s="409"/>
      <c r="Y3" s="9"/>
      <c r="Z3" s="10"/>
      <c r="AA3" s="11"/>
      <c r="AB3" s="364"/>
      <c r="AC3" s="370"/>
      <c r="AE3" s="498"/>
    </row>
    <row r="4" spans="1:45" x14ac:dyDescent="0.25">
      <c r="A4" s="56"/>
      <c r="B4" s="57" t="s">
        <v>169</v>
      </c>
      <c r="C4" s="58">
        <f t="shared" ref="C4:Z4" si="0">SUM(C8:C33)</f>
        <v>0</v>
      </c>
      <c r="D4" s="59">
        <f t="shared" si="0"/>
        <v>0</v>
      </c>
      <c r="E4" s="58">
        <f t="shared" si="0"/>
        <v>0</v>
      </c>
      <c r="F4" s="59">
        <f t="shared" si="0"/>
        <v>0</v>
      </c>
      <c r="G4" s="58">
        <f t="shared" si="0"/>
        <v>0</v>
      </c>
      <c r="H4" s="59">
        <f t="shared" si="0"/>
        <v>0</v>
      </c>
      <c r="I4" s="58">
        <f t="shared" si="0"/>
        <v>0</v>
      </c>
      <c r="J4" s="59">
        <f t="shared" si="0"/>
        <v>0</v>
      </c>
      <c r="K4" s="58">
        <f t="shared" si="0"/>
        <v>0</v>
      </c>
      <c r="L4" s="59">
        <f t="shared" si="0"/>
        <v>0</v>
      </c>
      <c r="M4" s="58">
        <f t="shared" si="0"/>
        <v>0</v>
      </c>
      <c r="N4" s="59">
        <f t="shared" si="0"/>
        <v>0</v>
      </c>
      <c r="O4" s="58">
        <f t="shared" si="0"/>
        <v>0</v>
      </c>
      <c r="P4" s="59">
        <f t="shared" si="0"/>
        <v>0</v>
      </c>
      <c r="Q4" s="58">
        <f t="shared" si="0"/>
        <v>0</v>
      </c>
      <c r="R4" s="59">
        <f t="shared" si="0"/>
        <v>0</v>
      </c>
      <c r="S4" s="58">
        <f t="shared" si="0"/>
        <v>0</v>
      </c>
      <c r="T4" s="59">
        <f t="shared" si="0"/>
        <v>0</v>
      </c>
      <c r="U4" s="58">
        <f t="shared" si="0"/>
        <v>0</v>
      </c>
      <c r="V4" s="59">
        <f t="shared" si="0"/>
        <v>0</v>
      </c>
      <c r="W4" s="58">
        <f t="shared" si="0"/>
        <v>0</v>
      </c>
      <c r="X4" s="59">
        <f t="shared" si="0"/>
        <v>0</v>
      </c>
      <c r="Y4" s="58">
        <f t="shared" si="0"/>
        <v>0</v>
      </c>
      <c r="Z4" s="59">
        <f t="shared" si="0"/>
        <v>0</v>
      </c>
      <c r="AA4" s="60">
        <f>C4+E4+G4+I4+K4+M4+O4+Q4+S4+U4+W4+Y4</f>
        <v>0</v>
      </c>
      <c r="AB4" s="378">
        <f>D4+F4+H4+J4+L4+N4+P4+R4+T4+V4+X4+Z4</f>
        <v>0</v>
      </c>
      <c r="AC4" s="411">
        <f>D4+F4+H4+J4+L4+N4+P4+R4+T4+V4+X4</f>
        <v>0</v>
      </c>
      <c r="AE4" s="498">
        <f>SUM(AE8:AE33)</f>
        <v>0</v>
      </c>
    </row>
    <row r="5" spans="1:45" x14ac:dyDescent="0.25">
      <c r="A5" s="56"/>
      <c r="B5" s="57" t="s">
        <v>168</v>
      </c>
      <c r="C5" s="58">
        <f>SUM(C40:C122)</f>
        <v>0</v>
      </c>
      <c r="D5" s="59">
        <f>SUM(D40:D122)</f>
        <v>0</v>
      </c>
      <c r="E5" s="58">
        <f>SUM(E40:E122)</f>
        <v>0</v>
      </c>
      <c r="F5" s="59">
        <f t="shared" ref="F5:Z5" si="1">SUM(F40:F122)</f>
        <v>0</v>
      </c>
      <c r="G5" s="58">
        <f t="shared" si="1"/>
        <v>0</v>
      </c>
      <c r="H5" s="59">
        <f t="shared" si="1"/>
        <v>0</v>
      </c>
      <c r="I5" s="58">
        <f t="shared" si="1"/>
        <v>0</v>
      </c>
      <c r="J5" s="59">
        <f t="shared" si="1"/>
        <v>0</v>
      </c>
      <c r="K5" s="58">
        <f t="shared" si="1"/>
        <v>0</v>
      </c>
      <c r="L5" s="59">
        <f t="shared" si="1"/>
        <v>0</v>
      </c>
      <c r="M5" s="58">
        <f t="shared" si="1"/>
        <v>0</v>
      </c>
      <c r="N5" s="59">
        <f t="shared" si="1"/>
        <v>0</v>
      </c>
      <c r="O5" s="58">
        <f t="shared" si="1"/>
        <v>0</v>
      </c>
      <c r="P5" s="59">
        <f t="shared" si="1"/>
        <v>0</v>
      </c>
      <c r="Q5" s="58">
        <f t="shared" si="1"/>
        <v>0</v>
      </c>
      <c r="R5" s="59">
        <f t="shared" si="1"/>
        <v>0</v>
      </c>
      <c r="S5" s="58">
        <f t="shared" si="1"/>
        <v>0</v>
      </c>
      <c r="T5" s="59">
        <f t="shared" si="1"/>
        <v>0</v>
      </c>
      <c r="U5" s="58">
        <f t="shared" si="1"/>
        <v>0</v>
      </c>
      <c r="V5" s="59">
        <f t="shared" si="1"/>
        <v>0</v>
      </c>
      <c r="W5" s="58">
        <f t="shared" si="1"/>
        <v>0</v>
      </c>
      <c r="X5" s="59">
        <f t="shared" si="1"/>
        <v>0</v>
      </c>
      <c r="Y5" s="58">
        <f t="shared" si="1"/>
        <v>0</v>
      </c>
      <c r="Z5" s="59">
        <f t="shared" si="1"/>
        <v>0</v>
      </c>
      <c r="AA5" s="60">
        <f>C5+E5+G5+I5+K5+M5+O5+Q5+S5+U5+W5+Y5</f>
        <v>0</v>
      </c>
      <c r="AB5" s="378">
        <f>D5+F5+H5+J5+L5+N5+P5+R5+T5+V5+X5+Z5</f>
        <v>0</v>
      </c>
      <c r="AC5" s="411">
        <f>D5+F5+H5+J5+L5+N5+P5+R5+T5+V5+X5</f>
        <v>0</v>
      </c>
      <c r="AE5" s="498">
        <f>SUM(AE40:AE122)</f>
        <v>0</v>
      </c>
      <c r="AG5" s="31" t="s">
        <v>317</v>
      </c>
    </row>
    <row r="6" spans="1:45" ht="15.75" thickBot="1" x14ac:dyDescent="0.3">
      <c r="A6" s="56"/>
      <c r="B6" s="57" t="s">
        <v>174</v>
      </c>
      <c r="C6" s="61">
        <f>C4-C5</f>
        <v>0</v>
      </c>
      <c r="D6" s="62">
        <f>D4-D5</f>
        <v>0</v>
      </c>
      <c r="E6" s="61">
        <f>E4-E5</f>
        <v>0</v>
      </c>
      <c r="F6" s="62">
        <f>F4-F5</f>
        <v>0</v>
      </c>
      <c r="G6" s="61">
        <f t="shared" ref="G6:AE6" si="2">G4-G5</f>
        <v>0</v>
      </c>
      <c r="H6" s="62">
        <f t="shared" si="2"/>
        <v>0</v>
      </c>
      <c r="I6" s="61">
        <f t="shared" si="2"/>
        <v>0</v>
      </c>
      <c r="J6" s="62">
        <f t="shared" si="2"/>
        <v>0</v>
      </c>
      <c r="K6" s="61">
        <f t="shared" si="2"/>
        <v>0</v>
      </c>
      <c r="L6" s="62">
        <f t="shared" si="2"/>
        <v>0</v>
      </c>
      <c r="M6" s="61">
        <f t="shared" si="2"/>
        <v>0</v>
      </c>
      <c r="N6" s="62">
        <f t="shared" si="2"/>
        <v>0</v>
      </c>
      <c r="O6" s="61">
        <f t="shared" si="2"/>
        <v>0</v>
      </c>
      <c r="P6" s="62">
        <f t="shared" si="2"/>
        <v>0</v>
      </c>
      <c r="Q6" s="61">
        <f t="shared" si="2"/>
        <v>0</v>
      </c>
      <c r="R6" s="62">
        <f t="shared" si="2"/>
        <v>0</v>
      </c>
      <c r="S6" s="61">
        <f t="shared" si="2"/>
        <v>0</v>
      </c>
      <c r="T6" s="62">
        <f t="shared" si="2"/>
        <v>0</v>
      </c>
      <c r="U6" s="61">
        <f t="shared" si="2"/>
        <v>0</v>
      </c>
      <c r="V6" s="62">
        <f t="shared" si="2"/>
        <v>0</v>
      </c>
      <c r="W6" s="61">
        <f t="shared" si="2"/>
        <v>0</v>
      </c>
      <c r="X6" s="62">
        <f t="shared" si="2"/>
        <v>0</v>
      </c>
      <c r="Y6" s="61">
        <f t="shared" si="2"/>
        <v>0</v>
      </c>
      <c r="Z6" s="62">
        <f t="shared" si="2"/>
        <v>0</v>
      </c>
      <c r="AA6" s="63">
        <f t="shared" si="2"/>
        <v>0</v>
      </c>
      <c r="AB6" s="379">
        <f t="shared" si="2"/>
        <v>0</v>
      </c>
      <c r="AC6" s="372">
        <f t="shared" si="2"/>
        <v>0</v>
      </c>
      <c r="AE6" s="499">
        <f t="shared" si="2"/>
        <v>0</v>
      </c>
    </row>
    <row r="7" spans="1:45" ht="15.75" thickTop="1" x14ac:dyDescent="0.25">
      <c r="A7" s="26"/>
      <c r="B7" s="27" t="s">
        <v>4</v>
      </c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  <c r="N7" s="29"/>
      <c r="O7" s="28"/>
      <c r="P7" s="29"/>
      <c r="Q7" s="28"/>
      <c r="R7" s="29"/>
      <c r="S7" s="28"/>
      <c r="T7" s="29"/>
      <c r="U7" s="28"/>
      <c r="V7" s="29"/>
      <c r="W7" s="28"/>
      <c r="X7" s="29"/>
      <c r="Y7" s="28"/>
      <c r="Z7" s="29"/>
      <c r="AA7" s="30"/>
      <c r="AB7" s="359" t="s">
        <v>4</v>
      </c>
      <c r="AC7" s="362"/>
      <c r="AE7" s="498"/>
      <c r="AG7" s="31" t="s">
        <v>2</v>
      </c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</row>
    <row r="8" spans="1:45" ht="18.75" x14ac:dyDescent="0.3">
      <c r="A8" s="42"/>
      <c r="B8" s="53"/>
      <c r="C8" s="43"/>
      <c r="D8" s="44"/>
      <c r="E8" s="43"/>
      <c r="F8" s="44"/>
      <c r="G8" s="43"/>
      <c r="H8" s="44"/>
      <c r="I8" s="43"/>
      <c r="J8" s="44"/>
      <c r="K8" s="43"/>
      <c r="L8" s="44"/>
      <c r="M8" s="43"/>
      <c r="N8" s="44"/>
      <c r="O8" s="43"/>
      <c r="P8" s="44"/>
      <c r="Q8" s="43"/>
      <c r="R8" s="44"/>
      <c r="S8" s="43"/>
      <c r="T8" s="44"/>
      <c r="U8" s="43"/>
      <c r="V8" s="44"/>
      <c r="W8" s="43"/>
      <c r="X8" s="44"/>
      <c r="Y8" s="43"/>
      <c r="Z8" s="44"/>
      <c r="AA8" s="45"/>
      <c r="AB8" s="380"/>
      <c r="AC8" s="371"/>
      <c r="AE8" s="498"/>
      <c r="AH8" s="308"/>
      <c r="AI8" s="308"/>
      <c r="AJ8" s="308"/>
      <c r="AK8" s="308"/>
      <c r="AL8" s="308"/>
      <c r="AM8" s="308"/>
      <c r="AN8" s="308"/>
      <c r="AO8" s="308"/>
      <c r="AP8" s="308"/>
      <c r="AQ8" s="308"/>
      <c r="AR8" s="308"/>
      <c r="AS8" s="308"/>
    </row>
    <row r="9" spans="1:45" x14ac:dyDescent="0.25">
      <c r="A9" s="64"/>
      <c r="B9" s="65"/>
      <c r="C9" s="66"/>
      <c r="D9" s="44"/>
      <c r="E9" s="66"/>
      <c r="F9" s="44"/>
      <c r="G9" s="66"/>
      <c r="H9" s="44"/>
      <c r="I9" s="66"/>
      <c r="J9" s="44"/>
      <c r="K9" s="66"/>
      <c r="L9" s="44"/>
      <c r="M9" s="66"/>
      <c r="N9" s="44"/>
      <c r="O9" s="66"/>
      <c r="P9" s="44"/>
      <c r="Q9" s="66"/>
      <c r="R9" s="44"/>
      <c r="S9" s="66"/>
      <c r="T9" s="44"/>
      <c r="U9" s="66"/>
      <c r="V9" s="44"/>
      <c r="W9" s="66"/>
      <c r="X9" s="44"/>
      <c r="Y9" s="66"/>
      <c r="Z9" s="44"/>
      <c r="AA9" s="67"/>
      <c r="AB9" s="380"/>
      <c r="AC9" s="362"/>
      <c r="AE9" s="498"/>
    </row>
    <row r="10" spans="1:45" x14ac:dyDescent="0.25">
      <c r="A10" s="42"/>
      <c r="B10" s="512"/>
      <c r="C10" s="43"/>
      <c r="D10" s="410"/>
      <c r="E10" s="43"/>
      <c r="F10" s="410"/>
      <c r="G10" s="43"/>
      <c r="H10" s="44"/>
      <c r="I10" s="43"/>
      <c r="J10" s="44"/>
      <c r="K10" s="43"/>
      <c r="L10" s="44"/>
      <c r="M10" s="43"/>
      <c r="N10" s="44"/>
      <c r="O10" s="43"/>
      <c r="P10" s="44"/>
      <c r="Q10" s="43"/>
      <c r="R10" s="44"/>
      <c r="S10" s="43"/>
      <c r="T10" s="44"/>
      <c r="U10" s="43"/>
      <c r="V10" s="44"/>
      <c r="W10" s="43"/>
      <c r="X10" s="44"/>
      <c r="Y10" s="43"/>
      <c r="Z10" s="44"/>
      <c r="AA10" s="45"/>
      <c r="AB10" s="380"/>
      <c r="AC10" s="371"/>
      <c r="AE10" s="498"/>
    </row>
    <row r="11" spans="1:45" x14ac:dyDescent="0.25">
      <c r="A11" s="42"/>
      <c r="B11" s="512"/>
      <c r="C11" s="43"/>
      <c r="D11" s="410"/>
      <c r="E11" s="43"/>
      <c r="F11" s="410"/>
      <c r="G11" s="43"/>
      <c r="H11" s="44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3"/>
      <c r="T11" s="44"/>
      <c r="U11" s="43"/>
      <c r="V11" s="44"/>
      <c r="W11" s="43"/>
      <c r="X11" s="44"/>
      <c r="Y11" s="43"/>
      <c r="Z11" s="44"/>
      <c r="AA11" s="45"/>
      <c r="AB11" s="380"/>
      <c r="AC11" s="371"/>
      <c r="AE11" s="49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</row>
    <row r="12" spans="1:45" x14ac:dyDescent="0.25">
      <c r="A12" s="42"/>
      <c r="B12" s="512"/>
      <c r="C12" s="43"/>
      <c r="D12" s="410"/>
      <c r="E12" s="43"/>
      <c r="F12" s="410"/>
      <c r="G12" s="43"/>
      <c r="H12" s="44"/>
      <c r="I12" s="43"/>
      <c r="J12" s="44"/>
      <c r="K12" s="43"/>
      <c r="L12" s="44"/>
      <c r="M12" s="43"/>
      <c r="N12" s="44"/>
      <c r="O12" s="43"/>
      <c r="P12" s="44"/>
      <c r="Q12" s="43"/>
      <c r="R12" s="44"/>
      <c r="S12" s="43"/>
      <c r="T12" s="44"/>
      <c r="U12" s="43"/>
      <c r="V12" s="44"/>
      <c r="W12" s="43"/>
      <c r="X12" s="44"/>
      <c r="Y12" s="43"/>
      <c r="Z12" s="44"/>
      <c r="AA12" s="45"/>
      <c r="AB12" s="380"/>
      <c r="AC12" s="371"/>
      <c r="AE12" s="49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</row>
    <row r="13" spans="1:45" x14ac:dyDescent="0.25">
      <c r="A13" s="42"/>
      <c r="B13" s="512"/>
      <c r="C13" s="43"/>
      <c r="D13" s="410"/>
      <c r="E13" s="43"/>
      <c r="F13" s="410"/>
      <c r="G13" s="43"/>
      <c r="H13" s="44"/>
      <c r="I13" s="43"/>
      <c r="J13" s="44"/>
      <c r="K13" s="43"/>
      <c r="L13" s="44"/>
      <c r="M13" s="43"/>
      <c r="N13" s="44"/>
      <c r="O13" s="43"/>
      <c r="P13" s="44"/>
      <c r="Q13" s="43"/>
      <c r="R13" s="44"/>
      <c r="S13" s="43"/>
      <c r="T13" s="44"/>
      <c r="U13" s="43"/>
      <c r="V13" s="44"/>
      <c r="W13" s="43"/>
      <c r="X13" s="44"/>
      <c r="Y13" s="43"/>
      <c r="Z13" s="44"/>
      <c r="AA13" s="45"/>
      <c r="AB13" s="380"/>
      <c r="AC13" s="371"/>
      <c r="AE13" s="498"/>
    </row>
    <row r="14" spans="1:45" x14ac:dyDescent="0.25">
      <c r="A14" s="42"/>
      <c r="B14" s="512"/>
      <c r="C14" s="43"/>
      <c r="D14" s="410"/>
      <c r="E14" s="43"/>
      <c r="F14" s="410"/>
      <c r="G14" s="43"/>
      <c r="H14" s="44"/>
      <c r="I14" s="43"/>
      <c r="J14" s="44"/>
      <c r="K14" s="43"/>
      <c r="L14" s="44"/>
      <c r="M14" s="43"/>
      <c r="N14" s="44"/>
      <c r="O14" s="43"/>
      <c r="P14" s="44"/>
      <c r="Q14" s="43"/>
      <c r="R14" s="44"/>
      <c r="S14" s="43"/>
      <c r="T14" s="44"/>
      <c r="U14" s="43"/>
      <c r="V14" s="44"/>
      <c r="W14" s="43"/>
      <c r="X14" s="44"/>
      <c r="Y14" s="43"/>
      <c r="Z14" s="44"/>
      <c r="AA14" s="45"/>
      <c r="AB14" s="380"/>
      <c r="AC14" s="371"/>
      <c r="AE14" s="498"/>
    </row>
    <row r="15" spans="1:45" x14ac:dyDescent="0.25">
      <c r="A15" s="42"/>
      <c r="B15" s="512"/>
      <c r="C15" s="43"/>
      <c r="D15" s="410"/>
      <c r="E15" s="43"/>
      <c r="F15" s="410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4"/>
      <c r="S15" s="43"/>
      <c r="T15" s="44"/>
      <c r="U15" s="43"/>
      <c r="V15" s="44"/>
      <c r="W15" s="43"/>
      <c r="X15" s="44"/>
      <c r="Y15" s="43"/>
      <c r="Z15" s="44"/>
      <c r="AA15" s="45"/>
      <c r="AB15" s="380"/>
      <c r="AC15" s="371"/>
      <c r="AE15" s="498"/>
    </row>
    <row r="16" spans="1:45" x14ac:dyDescent="0.25">
      <c r="A16" s="42"/>
      <c r="B16" s="512"/>
      <c r="C16" s="43"/>
      <c r="D16" s="410"/>
      <c r="E16" s="43"/>
      <c r="F16" s="410"/>
      <c r="G16" s="43"/>
      <c r="H16" s="44"/>
      <c r="I16" s="43"/>
      <c r="J16" s="44"/>
      <c r="K16" s="43"/>
      <c r="L16" s="44"/>
      <c r="M16" s="43"/>
      <c r="N16" s="44"/>
      <c r="O16" s="43"/>
      <c r="P16" s="44"/>
      <c r="Q16" s="43"/>
      <c r="R16" s="44"/>
      <c r="S16" s="416"/>
      <c r="T16" s="44"/>
      <c r="U16" s="43"/>
      <c r="V16" s="44"/>
      <c r="W16" s="43"/>
      <c r="X16" s="44"/>
      <c r="Y16" s="43"/>
      <c r="Z16" s="44"/>
      <c r="AA16" s="45"/>
      <c r="AB16" s="380"/>
      <c r="AC16" s="371"/>
      <c r="AE16" s="498"/>
    </row>
    <row r="17" spans="1:45" x14ac:dyDescent="0.25">
      <c r="A17" s="42"/>
      <c r="B17" s="512"/>
      <c r="C17" s="43"/>
      <c r="D17" s="410"/>
      <c r="E17" s="43"/>
      <c r="F17" s="410"/>
      <c r="G17" s="43"/>
      <c r="H17" s="44"/>
      <c r="I17" s="43"/>
      <c r="J17" s="44"/>
      <c r="K17" s="43"/>
      <c r="L17" s="44"/>
      <c r="M17" s="43"/>
      <c r="N17" s="44"/>
      <c r="O17" s="43"/>
      <c r="P17" s="44"/>
      <c r="Q17" s="43"/>
      <c r="R17" s="44"/>
      <c r="S17" s="416"/>
      <c r="T17" s="44"/>
      <c r="U17" s="43"/>
      <c r="V17" s="44"/>
      <c r="W17" s="43"/>
      <c r="X17" s="44"/>
      <c r="Y17" s="43"/>
      <c r="Z17" s="44"/>
      <c r="AA17" s="45"/>
      <c r="AB17" s="380"/>
      <c r="AC17" s="371"/>
      <c r="AE17" s="498"/>
    </row>
    <row r="18" spans="1:45" x14ac:dyDescent="0.25">
      <c r="A18" s="42"/>
      <c r="B18" s="75"/>
      <c r="C18" s="43"/>
      <c r="D18" s="410"/>
      <c r="E18" s="43"/>
      <c r="F18" s="410"/>
      <c r="G18" s="43"/>
      <c r="H18" s="44"/>
      <c r="I18" s="43"/>
      <c r="J18" s="44"/>
      <c r="K18" s="43"/>
      <c r="L18" s="44"/>
      <c r="M18" s="43"/>
      <c r="N18" s="44"/>
      <c r="O18" s="43"/>
      <c r="P18" s="44"/>
      <c r="Q18" s="43"/>
      <c r="R18" s="44"/>
      <c r="S18" s="43"/>
      <c r="T18" s="44"/>
      <c r="U18" s="43"/>
      <c r="V18" s="44"/>
      <c r="W18" s="43"/>
      <c r="X18" s="44"/>
      <c r="Y18" s="43"/>
      <c r="Z18" s="44"/>
      <c r="AA18" s="45"/>
      <c r="AB18" s="380"/>
      <c r="AC18" s="371"/>
      <c r="AE18" s="49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</row>
    <row r="19" spans="1:45" x14ac:dyDescent="0.25">
      <c r="A19" s="42"/>
      <c r="B19" s="75"/>
      <c r="C19" s="43"/>
      <c r="D19" s="410"/>
      <c r="E19" s="43"/>
      <c r="F19" s="410"/>
      <c r="G19" s="43"/>
      <c r="H19" s="44"/>
      <c r="I19" s="43"/>
      <c r="J19" s="44"/>
      <c r="K19" s="43"/>
      <c r="L19" s="44"/>
      <c r="M19" s="43"/>
      <c r="N19" s="44"/>
      <c r="O19" s="43"/>
      <c r="P19" s="44"/>
      <c r="Q19" s="43"/>
      <c r="R19" s="44"/>
      <c r="S19" s="43"/>
      <c r="T19" s="44"/>
      <c r="U19" s="43"/>
      <c r="V19" s="44"/>
      <c r="W19" s="43"/>
      <c r="X19" s="44"/>
      <c r="Y19" s="43"/>
      <c r="Z19" s="44"/>
      <c r="AA19" s="45"/>
      <c r="AB19" s="380"/>
      <c r="AC19" s="371"/>
      <c r="AE19" s="49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</row>
    <row r="20" spans="1:45" x14ac:dyDescent="0.25">
      <c r="A20" s="42"/>
      <c r="B20" s="512"/>
      <c r="C20" s="43"/>
      <c r="D20" s="410"/>
      <c r="E20" s="43"/>
      <c r="F20" s="410"/>
      <c r="G20" s="43"/>
      <c r="H20" s="44"/>
      <c r="I20" s="43"/>
      <c r="J20" s="44"/>
      <c r="K20" s="43"/>
      <c r="L20" s="44"/>
      <c r="M20" s="43"/>
      <c r="N20" s="44"/>
      <c r="O20" s="43"/>
      <c r="P20" s="44"/>
      <c r="Q20" s="43"/>
      <c r="R20" s="44"/>
      <c r="S20" s="43"/>
      <c r="T20" s="44"/>
      <c r="U20" s="43"/>
      <c r="V20" s="44"/>
      <c r="W20" s="43"/>
      <c r="X20" s="44"/>
      <c r="Y20" s="43"/>
      <c r="Z20" s="44"/>
      <c r="AA20" s="45"/>
      <c r="AB20" s="380"/>
      <c r="AC20" s="371"/>
      <c r="AE20" s="498"/>
    </row>
    <row r="21" spans="1:45" x14ac:dyDescent="0.25">
      <c r="A21" s="42"/>
      <c r="B21" s="512"/>
      <c r="C21" s="43"/>
      <c r="D21" s="410"/>
      <c r="E21" s="43"/>
      <c r="F21" s="410"/>
      <c r="G21" s="43"/>
      <c r="H21" s="44"/>
      <c r="I21" s="43"/>
      <c r="J21" s="44"/>
      <c r="K21" s="43"/>
      <c r="L21" s="44"/>
      <c r="M21" s="43"/>
      <c r="N21" s="44"/>
      <c r="O21" s="43"/>
      <c r="P21" s="44"/>
      <c r="Q21" s="43"/>
      <c r="R21" s="44"/>
      <c r="S21" s="43"/>
      <c r="T21" s="44"/>
      <c r="U21" s="43"/>
      <c r="V21" s="44"/>
      <c r="W21" s="43"/>
      <c r="X21" s="44"/>
      <c r="Y21" s="43"/>
      <c r="Z21" s="44"/>
      <c r="AA21" s="45"/>
      <c r="AB21" s="380"/>
      <c r="AC21" s="371"/>
      <c r="AE21" s="498"/>
    </row>
    <row r="22" spans="1:45" x14ac:dyDescent="0.25">
      <c r="A22" s="42"/>
      <c r="B22" s="75"/>
      <c r="C22" s="43"/>
      <c r="D22" s="410"/>
      <c r="E22" s="43"/>
      <c r="F22" s="410"/>
      <c r="G22" s="43"/>
      <c r="H22" s="44"/>
      <c r="I22" s="43"/>
      <c r="J22" s="44"/>
      <c r="K22" s="43"/>
      <c r="L22" s="44"/>
      <c r="M22" s="43"/>
      <c r="N22" s="44"/>
      <c r="O22" s="43"/>
      <c r="P22" s="44"/>
      <c r="Q22" s="43"/>
      <c r="R22" s="44"/>
      <c r="S22" s="43"/>
      <c r="T22" s="44"/>
      <c r="U22" s="43"/>
      <c r="V22" s="44"/>
      <c r="W22" s="43"/>
      <c r="X22" s="44"/>
      <c r="Y22" s="43"/>
      <c r="Z22" s="44"/>
      <c r="AA22" s="45"/>
      <c r="AB22" s="380"/>
      <c r="AC22" s="371"/>
      <c r="AE22" s="498"/>
    </row>
    <row r="23" spans="1:45" x14ac:dyDescent="0.25">
      <c r="A23" s="42"/>
      <c r="B23" s="75"/>
      <c r="C23" s="43"/>
      <c r="D23" s="410"/>
      <c r="E23" s="43"/>
      <c r="F23" s="410"/>
      <c r="G23" s="43"/>
      <c r="H23" s="44"/>
      <c r="I23" s="43"/>
      <c r="J23" s="44"/>
      <c r="K23" s="43"/>
      <c r="L23" s="44"/>
      <c r="M23" s="43"/>
      <c r="N23" s="44"/>
      <c r="O23" s="43"/>
      <c r="P23" s="44"/>
      <c r="Q23" s="43"/>
      <c r="R23" s="44"/>
      <c r="S23" s="43"/>
      <c r="T23" s="44"/>
      <c r="U23" s="43"/>
      <c r="V23" s="44"/>
      <c r="W23" s="43"/>
      <c r="X23" s="44"/>
      <c r="Y23" s="43"/>
      <c r="Z23" s="44"/>
      <c r="AA23" s="45"/>
      <c r="AB23" s="380"/>
      <c r="AC23" s="371"/>
      <c r="AE23" s="498"/>
    </row>
    <row r="24" spans="1:45" ht="16.5" customHeight="1" x14ac:dyDescent="0.25">
      <c r="A24" s="42"/>
      <c r="B24" s="75"/>
      <c r="C24" s="43"/>
      <c r="D24" s="410"/>
      <c r="E24" s="43"/>
      <c r="F24" s="410"/>
      <c r="G24" s="43"/>
      <c r="H24" s="44"/>
      <c r="I24" s="43"/>
      <c r="J24" s="44"/>
      <c r="K24" s="43"/>
      <c r="L24" s="44"/>
      <c r="M24" s="43"/>
      <c r="N24" s="44"/>
      <c r="O24" s="43"/>
      <c r="P24" s="44"/>
      <c r="Q24" s="43"/>
      <c r="R24" s="44"/>
      <c r="S24" s="43"/>
      <c r="T24" s="44"/>
      <c r="U24" s="43"/>
      <c r="V24" s="44"/>
      <c r="W24" s="43"/>
      <c r="X24" s="44"/>
      <c r="Y24" s="43"/>
      <c r="Z24" s="44"/>
      <c r="AA24" s="45"/>
      <c r="AB24" s="380"/>
      <c r="AC24" s="371"/>
      <c r="AE24" s="498"/>
    </row>
    <row r="25" spans="1:45" x14ac:dyDescent="0.25">
      <c r="A25" s="42"/>
      <c r="B25" s="75"/>
      <c r="C25" s="43"/>
      <c r="D25" s="410"/>
      <c r="E25" s="43"/>
      <c r="F25" s="410"/>
      <c r="G25" s="43"/>
      <c r="H25" s="44"/>
      <c r="I25" s="43"/>
      <c r="J25" s="44"/>
      <c r="K25" s="43"/>
      <c r="L25" s="44"/>
      <c r="M25" s="43"/>
      <c r="N25" s="44"/>
      <c r="O25" s="43"/>
      <c r="P25" s="44"/>
      <c r="Q25" s="43"/>
      <c r="R25" s="44"/>
      <c r="S25" s="43"/>
      <c r="T25" s="44"/>
      <c r="U25" s="43"/>
      <c r="V25" s="44"/>
      <c r="W25" s="43"/>
      <c r="X25" s="44"/>
      <c r="Y25" s="43"/>
      <c r="Z25" s="44"/>
      <c r="AA25" s="45"/>
      <c r="AB25" s="380"/>
      <c r="AC25" s="371"/>
      <c r="AE25" s="498"/>
    </row>
    <row r="26" spans="1:45" x14ac:dyDescent="0.25">
      <c r="A26" s="42"/>
      <c r="B26" s="75"/>
      <c r="C26" s="43"/>
      <c r="D26" s="44"/>
      <c r="E26" s="43"/>
      <c r="F26" s="410"/>
      <c r="G26" s="43"/>
      <c r="H26" s="44"/>
      <c r="I26" s="43"/>
      <c r="J26" s="44"/>
      <c r="K26" s="43"/>
      <c r="L26" s="44"/>
      <c r="M26" s="43"/>
      <c r="N26" s="44"/>
      <c r="O26" s="43"/>
      <c r="P26" s="44"/>
      <c r="Q26" s="43"/>
      <c r="R26" s="44"/>
      <c r="S26" s="43"/>
      <c r="T26" s="44"/>
      <c r="U26" s="43"/>
      <c r="V26" s="44"/>
      <c r="W26" s="43"/>
      <c r="X26" s="44"/>
      <c r="Y26" s="43"/>
      <c r="Z26" s="44"/>
      <c r="AA26" s="45"/>
      <c r="AB26" s="380"/>
      <c r="AC26" s="371"/>
      <c r="AE26" s="498"/>
    </row>
    <row r="27" spans="1:45" x14ac:dyDescent="0.25">
      <c r="A27" s="42"/>
      <c r="B27" s="75"/>
      <c r="C27" s="43"/>
      <c r="D27" s="44"/>
      <c r="E27" s="43"/>
      <c r="F27" s="44"/>
      <c r="G27" s="43"/>
      <c r="H27" s="44"/>
      <c r="I27" s="43"/>
      <c r="J27" s="44"/>
      <c r="K27" s="43"/>
      <c r="L27" s="44"/>
      <c r="M27" s="43"/>
      <c r="N27" s="44"/>
      <c r="O27" s="43"/>
      <c r="P27" s="44"/>
      <c r="Q27" s="43"/>
      <c r="R27" s="44"/>
      <c r="S27" s="43"/>
      <c r="T27" s="44"/>
      <c r="U27" s="43"/>
      <c r="V27" s="44"/>
      <c r="W27" s="43"/>
      <c r="X27" s="44"/>
      <c r="Y27" s="43"/>
      <c r="Z27" s="44"/>
      <c r="AA27" s="45"/>
      <c r="AB27" s="380"/>
      <c r="AC27" s="371"/>
      <c r="AE27" s="498"/>
    </row>
    <row r="28" spans="1:45" x14ac:dyDescent="0.25">
      <c r="A28" s="42"/>
      <c r="B28" s="75"/>
      <c r="C28" s="43"/>
      <c r="D28" s="44"/>
      <c r="E28" s="43"/>
      <c r="F28" s="44"/>
      <c r="G28" s="43"/>
      <c r="H28" s="44"/>
      <c r="I28" s="43"/>
      <c r="J28" s="44"/>
      <c r="K28" s="43"/>
      <c r="L28" s="44"/>
      <c r="M28" s="43"/>
      <c r="N28" s="44"/>
      <c r="O28" s="43"/>
      <c r="P28" s="44"/>
      <c r="Q28" s="43"/>
      <c r="R28" s="44"/>
      <c r="S28" s="43"/>
      <c r="T28" s="44"/>
      <c r="U28" s="43"/>
      <c r="V28" s="44"/>
      <c r="W28" s="43"/>
      <c r="X28" s="44"/>
      <c r="Y28" s="43"/>
      <c r="Z28" s="44"/>
      <c r="AA28" s="45"/>
      <c r="AB28" s="380"/>
      <c r="AC28" s="371"/>
      <c r="AE28" s="498"/>
    </row>
    <row r="29" spans="1:45" x14ac:dyDescent="0.25">
      <c r="A29" s="42"/>
      <c r="B29" s="75"/>
      <c r="C29" s="43"/>
      <c r="D29" s="44"/>
      <c r="E29" s="43"/>
      <c r="F29" s="44"/>
      <c r="G29" s="43"/>
      <c r="H29" s="44"/>
      <c r="I29" s="43"/>
      <c r="J29" s="44"/>
      <c r="K29" s="43"/>
      <c r="L29" s="44"/>
      <c r="M29" s="43"/>
      <c r="N29" s="44"/>
      <c r="O29" s="43"/>
      <c r="P29" s="44"/>
      <c r="Q29" s="43"/>
      <c r="R29" s="44"/>
      <c r="S29" s="43"/>
      <c r="T29" s="44"/>
      <c r="U29" s="43"/>
      <c r="V29" s="44"/>
      <c r="W29" s="43"/>
      <c r="X29" s="44"/>
      <c r="Y29" s="43"/>
      <c r="Z29" s="44"/>
      <c r="AA29" s="45"/>
      <c r="AB29" s="380"/>
      <c r="AC29" s="371"/>
      <c r="AE29" s="498"/>
    </row>
    <row r="30" spans="1:45" x14ac:dyDescent="0.25">
      <c r="A30" s="42"/>
      <c r="B30" s="75"/>
      <c r="C30" s="43"/>
      <c r="D30" s="44"/>
      <c r="E30" s="43"/>
      <c r="F30" s="44"/>
      <c r="G30" s="43"/>
      <c r="H30" s="44"/>
      <c r="I30" s="43"/>
      <c r="J30" s="44"/>
      <c r="K30" s="43"/>
      <c r="L30" s="44"/>
      <c r="M30" s="43"/>
      <c r="N30" s="44"/>
      <c r="O30" s="43"/>
      <c r="P30" s="44"/>
      <c r="Q30" s="43"/>
      <c r="R30" s="44"/>
      <c r="S30" s="43"/>
      <c r="T30" s="44"/>
      <c r="U30" s="43"/>
      <c r="V30" s="44"/>
      <c r="W30" s="43"/>
      <c r="X30" s="44"/>
      <c r="Y30" s="43"/>
      <c r="Z30" s="44"/>
      <c r="AA30" s="45"/>
      <c r="AB30" s="380"/>
      <c r="AC30" s="371"/>
      <c r="AE30" s="498"/>
    </row>
    <row r="31" spans="1:45" x14ac:dyDescent="0.25">
      <c r="A31" s="42"/>
      <c r="B31" s="75"/>
      <c r="C31" s="43"/>
      <c r="D31" s="44"/>
      <c r="E31" s="43"/>
      <c r="F31" s="44"/>
      <c r="G31" s="43"/>
      <c r="H31" s="44"/>
      <c r="I31" s="43"/>
      <c r="J31" s="44"/>
      <c r="K31" s="43"/>
      <c r="L31" s="44"/>
      <c r="M31" s="43"/>
      <c r="N31" s="44"/>
      <c r="O31" s="43"/>
      <c r="P31" s="44"/>
      <c r="Q31" s="43"/>
      <c r="R31" s="44"/>
      <c r="S31" s="43"/>
      <c r="T31" s="44"/>
      <c r="U31" s="43"/>
      <c r="V31" s="44"/>
      <c r="W31" s="43"/>
      <c r="X31" s="44"/>
      <c r="Y31" s="43"/>
      <c r="Z31" s="44"/>
      <c r="AA31" s="45"/>
      <c r="AB31" s="380"/>
      <c r="AC31" s="371"/>
      <c r="AE31" s="498"/>
    </row>
    <row r="32" spans="1:45" x14ac:dyDescent="0.25">
      <c r="A32" s="42"/>
      <c r="B32" s="75"/>
      <c r="C32" s="43"/>
      <c r="D32" s="44"/>
      <c r="E32" s="43"/>
      <c r="F32" s="44"/>
      <c r="G32" s="43"/>
      <c r="H32" s="44"/>
      <c r="I32" s="43"/>
      <c r="J32" s="44"/>
      <c r="K32" s="43"/>
      <c r="L32" s="44"/>
      <c r="M32" s="43"/>
      <c r="N32" s="44"/>
      <c r="O32" s="43"/>
      <c r="P32" s="44"/>
      <c r="Q32" s="43"/>
      <c r="R32" s="44"/>
      <c r="S32" s="43"/>
      <c r="T32" s="44"/>
      <c r="U32" s="43"/>
      <c r="V32" s="44"/>
      <c r="W32" s="43"/>
      <c r="X32" s="44"/>
      <c r="Y32" s="43"/>
      <c r="Z32" s="44"/>
      <c r="AA32" s="45"/>
      <c r="AB32" s="380"/>
      <c r="AC32" s="371"/>
      <c r="AE32" s="498"/>
    </row>
    <row r="33" spans="1:31" x14ac:dyDescent="0.25">
      <c r="A33" s="42"/>
      <c r="B33" s="75"/>
      <c r="C33" s="43"/>
      <c r="D33" s="44"/>
      <c r="E33" s="43"/>
      <c r="F33" s="44"/>
      <c r="G33" s="43"/>
      <c r="H33" s="44"/>
      <c r="I33" s="43"/>
      <c r="J33" s="44"/>
      <c r="K33" s="43"/>
      <c r="L33" s="44"/>
      <c r="M33" s="43"/>
      <c r="N33" s="44"/>
      <c r="O33" s="43"/>
      <c r="P33" s="44"/>
      <c r="Q33" s="43"/>
      <c r="R33" s="44"/>
      <c r="S33" s="43"/>
      <c r="T33" s="44"/>
      <c r="U33" s="43"/>
      <c r="V33" s="44"/>
      <c r="W33" s="43"/>
      <c r="X33" s="44"/>
      <c r="Y33" s="43"/>
      <c r="Z33" s="44"/>
      <c r="AA33" s="45"/>
      <c r="AB33" s="380"/>
      <c r="AC33" s="371"/>
      <c r="AE33" s="498"/>
    </row>
    <row r="34" spans="1:31" ht="15.75" thickBot="1" x14ac:dyDescent="0.3">
      <c r="A34" s="13"/>
      <c r="B34" s="14" t="s">
        <v>4</v>
      </c>
      <c r="C34" s="15"/>
      <c r="D34" s="16"/>
      <c r="E34" s="15" t="s">
        <v>4</v>
      </c>
      <c r="F34" s="17" t="s">
        <v>4</v>
      </c>
      <c r="G34" s="15" t="s">
        <v>4</v>
      </c>
      <c r="H34" s="17" t="s">
        <v>4</v>
      </c>
      <c r="I34" s="15" t="s">
        <v>4</v>
      </c>
      <c r="J34" s="17" t="s">
        <v>4</v>
      </c>
      <c r="K34" s="15" t="s">
        <v>4</v>
      </c>
      <c r="L34" s="17" t="s">
        <v>4</v>
      </c>
      <c r="M34" s="15" t="s">
        <v>4</v>
      </c>
      <c r="N34" s="17" t="s">
        <v>4</v>
      </c>
      <c r="O34" s="15" t="s">
        <v>4</v>
      </c>
      <c r="P34" s="17" t="s">
        <v>4</v>
      </c>
      <c r="Q34" s="15" t="s">
        <v>4</v>
      </c>
      <c r="R34" s="17">
        <v>0</v>
      </c>
      <c r="S34" s="15"/>
      <c r="T34" s="17">
        <v>0</v>
      </c>
      <c r="U34" s="15"/>
      <c r="V34" s="17">
        <v>0</v>
      </c>
      <c r="W34" s="15"/>
      <c r="X34" s="17">
        <v>0</v>
      </c>
      <c r="Y34" s="15"/>
      <c r="Z34" s="17" t="s">
        <v>4</v>
      </c>
      <c r="AA34" s="15"/>
      <c r="AB34" s="17"/>
      <c r="AC34" s="373"/>
      <c r="AE34" s="498"/>
    </row>
    <row r="35" spans="1:31" ht="16.5" thickTop="1" thickBot="1" x14ac:dyDescent="0.3"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9"/>
      <c r="V35" s="20"/>
      <c r="W35" s="19"/>
      <c r="X35" s="20"/>
      <c r="Y35" s="21"/>
      <c r="Z35" s="20"/>
      <c r="AC35" s="374"/>
      <c r="AE35" s="498"/>
    </row>
    <row r="36" spans="1:31" ht="16.5" thickTop="1" thickBot="1" x14ac:dyDescent="0.3">
      <c r="A36" s="32"/>
      <c r="B36" s="33"/>
      <c r="C36" s="34"/>
      <c r="D36" s="35"/>
      <c r="E36" s="34"/>
      <c r="F36" s="35"/>
      <c r="G36" s="34"/>
      <c r="H36" s="35"/>
      <c r="I36" s="34"/>
      <c r="J36" s="35"/>
      <c r="K36" s="34"/>
      <c r="L36" s="36"/>
      <c r="M36" s="34"/>
      <c r="N36" s="35"/>
      <c r="O36" s="34"/>
      <c r="P36" s="35"/>
      <c r="Q36" s="34"/>
      <c r="R36" s="35"/>
      <c r="S36" s="34"/>
      <c r="T36" s="35"/>
      <c r="U36" s="34"/>
      <c r="V36" s="35"/>
      <c r="W36" s="34"/>
      <c r="X36" s="35"/>
      <c r="Y36" s="37"/>
      <c r="Z36" s="35"/>
      <c r="AA36" s="361"/>
      <c r="AB36" s="381"/>
      <c r="AC36" s="376"/>
      <c r="AE36" s="498"/>
    </row>
    <row r="37" spans="1:31" ht="16.5" thickTop="1" thickBot="1" x14ac:dyDescent="0.3">
      <c r="A37" s="74" t="s">
        <v>172</v>
      </c>
      <c r="B37" s="54" t="s">
        <v>173</v>
      </c>
      <c r="C37" s="537">
        <v>41640</v>
      </c>
      <c r="D37" s="538"/>
      <c r="E37" s="539" t="s">
        <v>55</v>
      </c>
      <c r="F37" s="540"/>
      <c r="G37" s="539" t="s">
        <v>177</v>
      </c>
      <c r="H37" s="540"/>
      <c r="I37" s="539" t="s">
        <v>46</v>
      </c>
      <c r="J37" s="540"/>
      <c r="K37" s="539" t="s">
        <v>47</v>
      </c>
      <c r="L37" s="540"/>
      <c r="M37" s="539" t="s">
        <v>48</v>
      </c>
      <c r="N37" s="540"/>
      <c r="O37" s="539" t="s">
        <v>49</v>
      </c>
      <c r="P37" s="540"/>
      <c r="Q37" s="539" t="s">
        <v>50</v>
      </c>
      <c r="R37" s="540"/>
      <c r="S37" s="539" t="s">
        <v>51</v>
      </c>
      <c r="T37" s="540"/>
      <c r="U37" s="539" t="s">
        <v>52</v>
      </c>
      <c r="V37" s="540"/>
      <c r="W37" s="541" t="s">
        <v>53</v>
      </c>
      <c r="X37" s="542"/>
      <c r="Y37" s="539" t="s">
        <v>54</v>
      </c>
      <c r="Z37" s="540"/>
      <c r="AA37" s="531" t="s">
        <v>59</v>
      </c>
      <c r="AB37" s="532"/>
      <c r="AC37" s="533"/>
      <c r="AE37" s="498"/>
    </row>
    <row r="38" spans="1:31" ht="15.75" thickBot="1" x14ac:dyDescent="0.3">
      <c r="A38" s="50"/>
      <c r="B38" s="46" t="s">
        <v>4</v>
      </c>
      <c r="C38" s="5" t="s">
        <v>2</v>
      </c>
      <c r="D38" s="6" t="s">
        <v>14</v>
      </c>
      <c r="E38" s="5" t="s">
        <v>2</v>
      </c>
      <c r="F38" s="6" t="s">
        <v>14</v>
      </c>
      <c r="G38" s="5" t="s">
        <v>2</v>
      </c>
      <c r="H38" s="6" t="s">
        <v>14</v>
      </c>
      <c r="I38" s="5" t="s">
        <v>2</v>
      </c>
      <c r="J38" s="6" t="s">
        <v>14</v>
      </c>
      <c r="K38" s="5" t="s">
        <v>2</v>
      </c>
      <c r="L38" s="6" t="s">
        <v>14</v>
      </c>
      <c r="M38" s="5" t="s">
        <v>2</v>
      </c>
      <c r="N38" s="6" t="s">
        <v>14</v>
      </c>
      <c r="O38" s="5" t="s">
        <v>2</v>
      </c>
      <c r="P38" s="6" t="s">
        <v>14</v>
      </c>
      <c r="Q38" s="5" t="s">
        <v>2</v>
      </c>
      <c r="R38" s="6" t="s">
        <v>14</v>
      </c>
      <c r="S38" s="5" t="s">
        <v>2</v>
      </c>
      <c r="T38" s="6" t="s">
        <v>14</v>
      </c>
      <c r="U38" s="5" t="s">
        <v>2</v>
      </c>
      <c r="V38" s="6" t="s">
        <v>14</v>
      </c>
      <c r="W38" s="5" t="s">
        <v>2</v>
      </c>
      <c r="X38" s="6" t="s">
        <v>14</v>
      </c>
      <c r="Y38" s="5" t="s">
        <v>2</v>
      </c>
      <c r="Z38" s="6" t="s">
        <v>14</v>
      </c>
      <c r="AA38" s="7" t="s">
        <v>2</v>
      </c>
      <c r="AB38" s="363" t="s">
        <v>313</v>
      </c>
      <c r="AC38" s="377" t="s">
        <v>308</v>
      </c>
      <c r="AE38" s="498"/>
    </row>
    <row r="39" spans="1:31" x14ac:dyDescent="0.25">
      <c r="A39" s="51"/>
      <c r="B39" s="1"/>
      <c r="C39" s="28"/>
      <c r="D39" s="29"/>
      <c r="E39" s="28"/>
      <c r="F39" s="29"/>
      <c r="G39" s="28"/>
      <c r="H39" s="29"/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28"/>
      <c r="V39" s="29"/>
      <c r="W39" s="28"/>
      <c r="X39" s="29"/>
      <c r="Y39" s="28"/>
      <c r="Z39" s="29"/>
      <c r="AA39" s="30"/>
      <c r="AB39" s="360"/>
      <c r="AC39" s="371">
        <f t="shared" ref="AC39:AC102" si="3">D39+F39+H39+J39+L39+N39+P39+R39+T39+V39</f>
        <v>0</v>
      </c>
      <c r="AE39" s="498"/>
    </row>
    <row r="40" spans="1:31" ht="18.75" x14ac:dyDescent="0.3">
      <c r="A40" s="52"/>
      <c r="B40" s="55" t="s">
        <v>171</v>
      </c>
      <c r="C40" s="47"/>
      <c r="D40" s="48"/>
      <c r="E40" s="47"/>
      <c r="F40" s="48"/>
      <c r="G40" s="47"/>
      <c r="H40" s="48"/>
      <c r="I40" s="47"/>
      <c r="J40" s="48"/>
      <c r="K40" s="47"/>
      <c r="L40" s="48"/>
      <c r="M40" s="47"/>
      <c r="N40" s="48"/>
      <c r="O40" s="47"/>
      <c r="P40" s="48"/>
      <c r="Q40" s="47"/>
      <c r="R40" s="48"/>
      <c r="S40" s="47"/>
      <c r="T40" s="48"/>
      <c r="U40" s="47"/>
      <c r="V40" s="48"/>
      <c r="W40" s="47"/>
      <c r="X40" s="48"/>
      <c r="Y40" s="47"/>
      <c r="Z40" s="48"/>
      <c r="AA40" s="49">
        <f t="shared" ref="AA40:AB58" si="4">C40+E40+G40+I40+K40+M40+O40+Q40+S40+U40+W40+Y40</f>
        <v>0</v>
      </c>
      <c r="AB40" s="382">
        <f t="shared" si="4"/>
        <v>0</v>
      </c>
      <c r="AC40" s="371">
        <f t="shared" si="3"/>
        <v>0</v>
      </c>
      <c r="AE40" s="498"/>
    </row>
    <row r="41" spans="1:31" x14ac:dyDescent="0.25">
      <c r="A41" s="69"/>
      <c r="B41" s="70"/>
      <c r="C41" s="71"/>
      <c r="D41" s="48"/>
      <c r="E41" s="71"/>
      <c r="F41" s="48"/>
      <c r="G41" s="71"/>
      <c r="H41" s="48"/>
      <c r="I41" s="71"/>
      <c r="J41" s="48"/>
      <c r="K41" s="71"/>
      <c r="L41" s="48"/>
      <c r="M41" s="71"/>
      <c r="N41" s="48"/>
      <c r="O41" s="71"/>
      <c r="P41" s="48"/>
      <c r="Q41" s="71"/>
      <c r="R41" s="48"/>
      <c r="S41" s="71"/>
      <c r="T41" s="48"/>
      <c r="U41" s="71"/>
      <c r="V41" s="48"/>
      <c r="W41" s="71"/>
      <c r="X41" s="48"/>
      <c r="Y41" s="71"/>
      <c r="Z41" s="48"/>
      <c r="AA41" s="72">
        <f t="shared" si="4"/>
        <v>0</v>
      </c>
      <c r="AB41" s="382">
        <f t="shared" si="4"/>
        <v>0</v>
      </c>
      <c r="AC41" s="371">
        <f t="shared" si="3"/>
        <v>0</v>
      </c>
      <c r="AE41" s="498"/>
    </row>
    <row r="42" spans="1:31" x14ac:dyDescent="0.25">
      <c r="A42" s="69"/>
      <c r="B42" s="70"/>
      <c r="C42" s="71"/>
      <c r="D42" s="48"/>
      <c r="E42" s="71"/>
      <c r="F42" s="48"/>
      <c r="G42" s="71"/>
      <c r="H42" s="48"/>
      <c r="I42" s="71"/>
      <c r="J42" s="48"/>
      <c r="K42" s="71"/>
      <c r="L42" s="48"/>
      <c r="M42" s="71"/>
      <c r="N42" s="48"/>
      <c r="O42" s="71"/>
      <c r="P42" s="48"/>
      <c r="Q42" s="71"/>
      <c r="R42" s="48"/>
      <c r="S42" s="71"/>
      <c r="T42" s="48"/>
      <c r="U42" s="71"/>
      <c r="V42" s="48"/>
      <c r="W42" s="71"/>
      <c r="X42" s="48"/>
      <c r="Y42" s="71"/>
      <c r="Z42" s="48"/>
      <c r="AA42" s="72"/>
      <c r="AB42" s="382"/>
      <c r="AC42" s="371"/>
      <c r="AE42" s="498"/>
    </row>
    <row r="43" spans="1:31" x14ac:dyDescent="0.25">
      <c r="A43" s="73"/>
      <c r="B43" s="70"/>
      <c r="C43" s="71"/>
      <c r="D43" s="48"/>
      <c r="E43" s="71"/>
      <c r="F43" s="48"/>
      <c r="G43" s="71"/>
      <c r="H43" s="48"/>
      <c r="I43" s="71"/>
      <c r="J43" s="48"/>
      <c r="K43" s="71"/>
      <c r="L43" s="48"/>
      <c r="M43" s="71"/>
      <c r="N43" s="48"/>
      <c r="O43" s="71"/>
      <c r="P43" s="48"/>
      <c r="Q43" s="71"/>
      <c r="R43" s="48"/>
      <c r="S43" s="71"/>
      <c r="T43" s="48"/>
      <c r="U43" s="71"/>
      <c r="V43" s="48"/>
      <c r="W43" s="71"/>
      <c r="X43" s="48"/>
      <c r="Y43" s="71"/>
      <c r="Z43" s="48"/>
      <c r="AA43" s="72">
        <f t="shared" si="4"/>
        <v>0</v>
      </c>
      <c r="AB43" s="382">
        <f t="shared" si="4"/>
        <v>0</v>
      </c>
      <c r="AC43" s="371">
        <f t="shared" si="3"/>
        <v>0</v>
      </c>
      <c r="AE43" s="498"/>
    </row>
    <row r="44" spans="1:31" x14ac:dyDescent="0.25">
      <c r="A44" s="73"/>
      <c r="B44" s="70"/>
      <c r="C44" s="71"/>
      <c r="D44" s="48"/>
      <c r="E44" s="71"/>
      <c r="F44" s="48"/>
      <c r="G44" s="71"/>
      <c r="H44" s="48"/>
      <c r="I44" s="71"/>
      <c r="J44" s="48"/>
      <c r="K44" s="71"/>
      <c r="L44" s="48"/>
      <c r="M44" s="71"/>
      <c r="N44" s="48"/>
      <c r="O44" s="71"/>
      <c r="P44" s="48"/>
      <c r="Q44" s="71"/>
      <c r="R44" s="48"/>
      <c r="S44" s="71"/>
      <c r="T44" s="48"/>
      <c r="U44" s="71"/>
      <c r="V44" s="48"/>
      <c r="W44" s="71"/>
      <c r="X44" s="48"/>
      <c r="Y44" s="71"/>
      <c r="Z44" s="48"/>
      <c r="AA44" s="72">
        <f t="shared" si="4"/>
        <v>0</v>
      </c>
      <c r="AB44" s="382">
        <f t="shared" si="4"/>
        <v>0</v>
      </c>
      <c r="AC44" s="371">
        <f t="shared" si="3"/>
        <v>0</v>
      </c>
      <c r="AE44" s="498"/>
    </row>
    <row r="45" spans="1:31" x14ac:dyDescent="0.25">
      <c r="A45" s="73"/>
      <c r="B45" s="70"/>
      <c r="C45" s="71"/>
      <c r="D45" s="48"/>
      <c r="E45" s="71"/>
      <c r="F45" s="48"/>
      <c r="G45" s="71"/>
      <c r="H45" s="48"/>
      <c r="I45" s="71"/>
      <c r="J45" s="48"/>
      <c r="K45" s="71"/>
      <c r="L45" s="48"/>
      <c r="M45" s="71"/>
      <c r="N45" s="48"/>
      <c r="O45" s="71"/>
      <c r="P45" s="48"/>
      <c r="Q45" s="71"/>
      <c r="R45" s="48"/>
      <c r="S45" s="71"/>
      <c r="T45" s="48"/>
      <c r="U45" s="71"/>
      <c r="V45" s="48"/>
      <c r="W45" s="71"/>
      <c r="X45" s="48"/>
      <c r="Y45" s="71"/>
      <c r="Z45" s="48"/>
      <c r="AA45" s="72">
        <f t="shared" si="4"/>
        <v>0</v>
      </c>
      <c r="AB45" s="382">
        <f t="shared" si="4"/>
        <v>0</v>
      </c>
      <c r="AC45" s="371">
        <f t="shared" si="3"/>
        <v>0</v>
      </c>
      <c r="AE45" s="498"/>
    </row>
    <row r="46" spans="1:31" x14ac:dyDescent="0.25">
      <c r="A46" s="73"/>
      <c r="B46" s="70"/>
      <c r="C46" s="71"/>
      <c r="D46" s="48"/>
      <c r="E46" s="71"/>
      <c r="F46" s="48"/>
      <c r="G46" s="71"/>
      <c r="H46" s="48"/>
      <c r="I46" s="71"/>
      <c r="J46" s="48"/>
      <c r="K46" s="71"/>
      <c r="L46" s="48"/>
      <c r="M46" s="71"/>
      <c r="N46" s="48"/>
      <c r="O46" s="71"/>
      <c r="P46" s="48"/>
      <c r="Q46" s="71"/>
      <c r="R46" s="48"/>
      <c r="S46" s="71"/>
      <c r="T46" s="48"/>
      <c r="U46" s="71"/>
      <c r="V46" s="48"/>
      <c r="W46" s="71"/>
      <c r="X46" s="48"/>
      <c r="Y46" s="71"/>
      <c r="Z46" s="48"/>
      <c r="AA46" s="72">
        <f t="shared" si="4"/>
        <v>0</v>
      </c>
      <c r="AB46" s="382">
        <f t="shared" si="4"/>
        <v>0</v>
      </c>
      <c r="AC46" s="371">
        <f t="shared" si="3"/>
        <v>0</v>
      </c>
      <c r="AE46" s="498"/>
    </row>
    <row r="47" spans="1:31" x14ac:dyDescent="0.25">
      <c r="A47" s="73"/>
      <c r="B47" s="70"/>
      <c r="C47" s="71"/>
      <c r="D47" s="48"/>
      <c r="E47" s="71"/>
      <c r="F47" s="48"/>
      <c r="G47" s="71"/>
      <c r="H47" s="48"/>
      <c r="I47" s="71"/>
      <c r="J47" s="48"/>
      <c r="K47" s="71"/>
      <c r="L47" s="48"/>
      <c r="M47" s="71"/>
      <c r="N47" s="48"/>
      <c r="O47" s="71"/>
      <c r="P47" s="48"/>
      <c r="Q47" s="71"/>
      <c r="R47" s="48"/>
      <c r="S47" s="71"/>
      <c r="T47" s="48"/>
      <c r="U47" s="71"/>
      <c r="V47" s="48"/>
      <c r="W47" s="71"/>
      <c r="X47" s="48"/>
      <c r="Y47" s="71"/>
      <c r="Z47" s="48"/>
      <c r="AA47" s="72">
        <f t="shared" si="4"/>
        <v>0</v>
      </c>
      <c r="AB47" s="382">
        <f t="shared" si="4"/>
        <v>0</v>
      </c>
      <c r="AC47" s="371">
        <f t="shared" si="3"/>
        <v>0</v>
      </c>
      <c r="AE47" s="498"/>
    </row>
    <row r="48" spans="1:31" x14ac:dyDescent="0.25">
      <c r="A48" s="69"/>
      <c r="B48" s="70"/>
      <c r="C48" s="71"/>
      <c r="D48" s="48"/>
      <c r="E48" s="71"/>
      <c r="F48" s="48"/>
      <c r="G48" s="71"/>
      <c r="H48" s="48"/>
      <c r="I48" s="71"/>
      <c r="J48" s="48"/>
      <c r="K48" s="71"/>
      <c r="L48" s="48"/>
      <c r="M48" s="71"/>
      <c r="N48" s="48"/>
      <c r="O48" s="71"/>
      <c r="P48" s="48"/>
      <c r="Q48" s="71"/>
      <c r="R48" s="48"/>
      <c r="S48" s="71"/>
      <c r="T48" s="48"/>
      <c r="U48" s="71"/>
      <c r="V48" s="48"/>
      <c r="W48" s="71"/>
      <c r="X48" s="48"/>
      <c r="Y48" s="71"/>
      <c r="Z48" s="48"/>
      <c r="AA48" s="72">
        <f t="shared" si="4"/>
        <v>0</v>
      </c>
      <c r="AB48" s="382">
        <f t="shared" si="4"/>
        <v>0</v>
      </c>
      <c r="AC48" s="371">
        <f t="shared" si="3"/>
        <v>0</v>
      </c>
      <c r="AE48" s="498"/>
    </row>
    <row r="49" spans="1:31" x14ac:dyDescent="0.25">
      <c r="A49" s="73"/>
      <c r="B49" s="70"/>
      <c r="C49" s="71"/>
      <c r="D49" s="48"/>
      <c r="E49" s="71"/>
      <c r="F49" s="48"/>
      <c r="G49" s="71"/>
      <c r="H49" s="48"/>
      <c r="I49" s="71"/>
      <c r="J49" s="48"/>
      <c r="K49" s="71"/>
      <c r="L49" s="48"/>
      <c r="M49" s="71"/>
      <c r="N49" s="48"/>
      <c r="O49" s="71"/>
      <c r="P49" s="48"/>
      <c r="Q49" s="71"/>
      <c r="R49" s="48"/>
      <c r="S49" s="71"/>
      <c r="T49" s="48"/>
      <c r="U49" s="71"/>
      <c r="V49" s="48"/>
      <c r="W49" s="71"/>
      <c r="X49" s="48"/>
      <c r="Y49" s="71"/>
      <c r="Z49" s="48"/>
      <c r="AA49" s="72">
        <f t="shared" si="4"/>
        <v>0</v>
      </c>
      <c r="AB49" s="382">
        <f t="shared" si="4"/>
        <v>0</v>
      </c>
      <c r="AC49" s="371">
        <f t="shared" si="3"/>
        <v>0</v>
      </c>
      <c r="AE49" s="498"/>
    </row>
    <row r="50" spans="1:31" x14ac:dyDescent="0.25">
      <c r="A50" s="73"/>
      <c r="B50" s="70"/>
      <c r="C50" s="71"/>
      <c r="D50" s="48"/>
      <c r="E50" s="71"/>
      <c r="F50" s="48"/>
      <c r="G50" s="71"/>
      <c r="H50" s="48"/>
      <c r="I50" s="71"/>
      <c r="J50" s="48"/>
      <c r="K50" s="71"/>
      <c r="L50" s="48"/>
      <c r="M50" s="71"/>
      <c r="N50" s="48"/>
      <c r="O50" s="71"/>
      <c r="P50" s="48"/>
      <c r="Q50" s="71"/>
      <c r="R50" s="48"/>
      <c r="S50" s="71"/>
      <c r="T50" s="48"/>
      <c r="U50" s="71"/>
      <c r="V50" s="48"/>
      <c r="W50" s="71"/>
      <c r="X50" s="48"/>
      <c r="Y50" s="71"/>
      <c r="Z50" s="48"/>
      <c r="AA50" s="72">
        <f t="shared" si="4"/>
        <v>0</v>
      </c>
      <c r="AB50" s="382">
        <f t="shared" si="4"/>
        <v>0</v>
      </c>
      <c r="AC50" s="371">
        <f t="shared" si="3"/>
        <v>0</v>
      </c>
      <c r="AE50" s="498"/>
    </row>
    <row r="51" spans="1:31" x14ac:dyDescent="0.25">
      <c r="A51" s="73"/>
      <c r="B51" s="70"/>
      <c r="C51" s="71"/>
      <c r="D51" s="48"/>
      <c r="E51" s="71"/>
      <c r="F51" s="48"/>
      <c r="G51" s="71"/>
      <c r="H51" s="48"/>
      <c r="I51" s="71"/>
      <c r="J51" s="48"/>
      <c r="K51" s="71"/>
      <c r="L51" s="48"/>
      <c r="M51" s="71"/>
      <c r="N51" s="48"/>
      <c r="O51" s="71"/>
      <c r="P51" s="48"/>
      <c r="Q51" s="71"/>
      <c r="R51" s="48"/>
      <c r="S51" s="71"/>
      <c r="T51" s="48"/>
      <c r="U51" s="71"/>
      <c r="V51" s="48"/>
      <c r="W51" s="71"/>
      <c r="X51" s="48"/>
      <c r="Y51" s="71"/>
      <c r="Z51" s="48"/>
      <c r="AA51" s="72">
        <f t="shared" si="4"/>
        <v>0</v>
      </c>
      <c r="AB51" s="382">
        <f t="shared" si="4"/>
        <v>0</v>
      </c>
      <c r="AC51" s="371">
        <f t="shared" si="3"/>
        <v>0</v>
      </c>
      <c r="AE51" s="498"/>
    </row>
    <row r="52" spans="1:31" x14ac:dyDescent="0.25">
      <c r="A52" s="73"/>
      <c r="B52" s="70"/>
      <c r="C52" s="71"/>
      <c r="D52" s="48"/>
      <c r="E52" s="71"/>
      <c r="F52" s="48"/>
      <c r="G52" s="71"/>
      <c r="H52" s="48"/>
      <c r="I52" s="71"/>
      <c r="J52" s="48"/>
      <c r="K52" s="71"/>
      <c r="L52" s="48"/>
      <c r="M52" s="71"/>
      <c r="N52" s="48"/>
      <c r="O52" s="71"/>
      <c r="P52" s="48"/>
      <c r="Q52" s="71"/>
      <c r="R52" s="48"/>
      <c r="S52" s="71"/>
      <c r="T52" s="48"/>
      <c r="U52" s="71"/>
      <c r="V52" s="48"/>
      <c r="W52" s="71"/>
      <c r="X52" s="48"/>
      <c r="Y52" s="71"/>
      <c r="Z52" s="48"/>
      <c r="AA52" s="72">
        <f t="shared" si="4"/>
        <v>0</v>
      </c>
      <c r="AB52" s="382">
        <f t="shared" si="4"/>
        <v>0</v>
      </c>
      <c r="AC52" s="371">
        <f t="shared" si="3"/>
        <v>0</v>
      </c>
      <c r="AE52" s="498"/>
    </row>
    <row r="53" spans="1:31" x14ac:dyDescent="0.25">
      <c r="A53" s="73"/>
      <c r="B53" s="70"/>
      <c r="C53" s="71"/>
      <c r="D53" s="48"/>
      <c r="E53" s="71"/>
      <c r="F53" s="48"/>
      <c r="G53" s="71"/>
      <c r="H53" s="48"/>
      <c r="I53" s="71"/>
      <c r="J53" s="48"/>
      <c r="K53" s="71"/>
      <c r="L53" s="48"/>
      <c r="M53" s="71"/>
      <c r="N53" s="48"/>
      <c r="O53" s="71"/>
      <c r="P53" s="48"/>
      <c r="Q53" s="71"/>
      <c r="R53" s="48"/>
      <c r="S53" s="71"/>
      <c r="T53" s="48"/>
      <c r="U53" s="71"/>
      <c r="V53" s="48"/>
      <c r="W53" s="71"/>
      <c r="X53" s="48"/>
      <c r="Y53" s="71"/>
      <c r="Z53" s="48"/>
      <c r="AA53" s="72">
        <f t="shared" si="4"/>
        <v>0</v>
      </c>
      <c r="AB53" s="382">
        <f t="shared" si="4"/>
        <v>0</v>
      </c>
      <c r="AC53" s="371">
        <f t="shared" si="3"/>
        <v>0</v>
      </c>
      <c r="AE53" s="498"/>
    </row>
    <row r="54" spans="1:31" x14ac:dyDescent="0.25">
      <c r="A54" s="73"/>
      <c r="B54" s="70"/>
      <c r="C54" s="71"/>
      <c r="D54" s="48"/>
      <c r="E54" s="71"/>
      <c r="F54" s="48"/>
      <c r="G54" s="71"/>
      <c r="H54" s="48"/>
      <c r="I54" s="71"/>
      <c r="J54" s="48"/>
      <c r="K54" s="71"/>
      <c r="L54" s="48"/>
      <c r="M54" s="71"/>
      <c r="N54" s="48"/>
      <c r="O54" s="71"/>
      <c r="P54" s="48"/>
      <c r="Q54" s="71"/>
      <c r="R54" s="48"/>
      <c r="S54" s="71"/>
      <c r="T54" s="48"/>
      <c r="U54" s="71"/>
      <c r="V54" s="48"/>
      <c r="W54" s="71"/>
      <c r="X54" s="48"/>
      <c r="Y54" s="71"/>
      <c r="Z54" s="48"/>
      <c r="AA54" s="72">
        <f t="shared" si="4"/>
        <v>0</v>
      </c>
      <c r="AB54" s="382">
        <f t="shared" si="4"/>
        <v>0</v>
      </c>
      <c r="AC54" s="371">
        <f t="shared" si="3"/>
        <v>0</v>
      </c>
      <c r="AE54" s="498"/>
    </row>
    <row r="55" spans="1:31" x14ac:dyDescent="0.25">
      <c r="A55" s="73"/>
      <c r="B55" s="70"/>
      <c r="C55" s="71"/>
      <c r="D55" s="48"/>
      <c r="E55" s="71"/>
      <c r="F55" s="48"/>
      <c r="G55" s="71"/>
      <c r="H55" s="48"/>
      <c r="I55" s="71"/>
      <c r="J55" s="48"/>
      <c r="K55" s="71"/>
      <c r="L55" s="48"/>
      <c r="M55" s="71"/>
      <c r="N55" s="48"/>
      <c r="O55" s="71"/>
      <c r="P55" s="48"/>
      <c r="Q55" s="71"/>
      <c r="R55" s="48"/>
      <c r="S55" s="71"/>
      <c r="T55" s="48"/>
      <c r="U55" s="71"/>
      <c r="V55" s="48"/>
      <c r="W55" s="71"/>
      <c r="X55" s="48"/>
      <c r="Y55" s="71"/>
      <c r="Z55" s="48"/>
      <c r="AA55" s="72">
        <f t="shared" si="4"/>
        <v>0</v>
      </c>
      <c r="AB55" s="382">
        <f t="shared" si="4"/>
        <v>0</v>
      </c>
      <c r="AC55" s="371">
        <f t="shared" si="3"/>
        <v>0</v>
      </c>
      <c r="AE55" s="498"/>
    </row>
    <row r="56" spans="1:31" x14ac:dyDescent="0.25">
      <c r="A56" s="73"/>
      <c r="B56" s="70"/>
      <c r="C56" s="71"/>
      <c r="D56" s="48"/>
      <c r="E56" s="71"/>
      <c r="F56" s="48"/>
      <c r="G56" s="71"/>
      <c r="H56" s="48"/>
      <c r="I56" s="71"/>
      <c r="J56" s="48"/>
      <c r="K56" s="71"/>
      <c r="L56" s="48"/>
      <c r="M56" s="71"/>
      <c r="N56" s="48"/>
      <c r="O56" s="71"/>
      <c r="P56" s="48"/>
      <c r="Q56" s="71"/>
      <c r="R56" s="48"/>
      <c r="S56" s="71"/>
      <c r="T56" s="48"/>
      <c r="U56" s="71"/>
      <c r="V56" s="48"/>
      <c r="W56" s="71"/>
      <c r="X56" s="48"/>
      <c r="Y56" s="71"/>
      <c r="Z56" s="48"/>
      <c r="AA56" s="72">
        <f t="shared" si="4"/>
        <v>0</v>
      </c>
      <c r="AB56" s="382">
        <f t="shared" si="4"/>
        <v>0</v>
      </c>
      <c r="AC56" s="371">
        <f t="shared" si="3"/>
        <v>0</v>
      </c>
      <c r="AE56" s="498"/>
    </row>
    <row r="57" spans="1:31" x14ac:dyDescent="0.25">
      <c r="A57" s="73"/>
      <c r="B57" s="70"/>
      <c r="C57" s="71"/>
      <c r="D57" s="48"/>
      <c r="E57" s="71"/>
      <c r="F57" s="48"/>
      <c r="G57" s="71"/>
      <c r="H57" s="48"/>
      <c r="I57" s="71"/>
      <c r="J57" s="48"/>
      <c r="K57" s="71"/>
      <c r="L57" s="48"/>
      <c r="M57" s="71"/>
      <c r="N57" s="48"/>
      <c r="O57" s="71"/>
      <c r="P57" s="48"/>
      <c r="Q57" s="71"/>
      <c r="R57" s="48"/>
      <c r="S57" s="71"/>
      <c r="T57" s="48"/>
      <c r="U57" s="71"/>
      <c r="V57" s="48"/>
      <c r="W57" s="71"/>
      <c r="X57" s="48"/>
      <c r="Y57" s="71"/>
      <c r="Z57" s="48"/>
      <c r="AA57" s="72">
        <f t="shared" si="4"/>
        <v>0</v>
      </c>
      <c r="AB57" s="382">
        <f t="shared" si="4"/>
        <v>0</v>
      </c>
      <c r="AC57" s="371">
        <f t="shared" si="3"/>
        <v>0</v>
      </c>
      <c r="AE57" s="498"/>
    </row>
    <row r="58" spans="1:31" x14ac:dyDescent="0.25">
      <c r="A58" s="73"/>
      <c r="B58" s="70"/>
      <c r="C58" s="71"/>
      <c r="D58" s="48"/>
      <c r="E58" s="71"/>
      <c r="F58" s="48"/>
      <c r="G58" s="71"/>
      <c r="H58" s="48"/>
      <c r="I58" s="71"/>
      <c r="J58" s="48"/>
      <c r="K58" s="71"/>
      <c r="L58" s="48"/>
      <c r="M58" s="71"/>
      <c r="N58" s="48"/>
      <c r="O58" s="71"/>
      <c r="P58" s="48"/>
      <c r="Q58" s="71"/>
      <c r="R58" s="48"/>
      <c r="S58" s="71"/>
      <c r="T58" s="48"/>
      <c r="U58" s="71"/>
      <c r="V58" s="48"/>
      <c r="W58" s="71"/>
      <c r="X58" s="48"/>
      <c r="Y58" s="71"/>
      <c r="Z58" s="48"/>
      <c r="AA58" s="72">
        <f t="shared" si="4"/>
        <v>0</v>
      </c>
      <c r="AB58" s="382">
        <f t="shared" si="4"/>
        <v>0</v>
      </c>
      <c r="AC58" s="371">
        <f t="shared" si="3"/>
        <v>0</v>
      </c>
      <c r="AE58" s="498"/>
    </row>
    <row r="59" spans="1:31" x14ac:dyDescent="0.25">
      <c r="A59" s="73"/>
      <c r="B59" s="70"/>
      <c r="C59" s="71"/>
      <c r="D59" s="48"/>
      <c r="E59" s="71"/>
      <c r="F59" s="48"/>
      <c r="G59" s="71"/>
      <c r="H59" s="48"/>
      <c r="I59" s="71"/>
      <c r="J59" s="48"/>
      <c r="K59" s="71"/>
      <c r="L59" s="48"/>
      <c r="M59" s="71"/>
      <c r="N59" s="48"/>
      <c r="O59" s="71"/>
      <c r="P59" s="48"/>
      <c r="Q59" s="71"/>
      <c r="R59" s="48"/>
      <c r="S59" s="71"/>
      <c r="T59" s="48"/>
      <c r="U59" s="71"/>
      <c r="V59" s="48"/>
      <c r="W59" s="71"/>
      <c r="X59" s="48"/>
      <c r="Y59" s="71"/>
      <c r="Z59" s="48"/>
      <c r="AA59" s="72"/>
      <c r="AB59" s="382"/>
      <c r="AC59" s="371">
        <f t="shared" si="3"/>
        <v>0</v>
      </c>
      <c r="AE59" s="498"/>
    </row>
    <row r="60" spans="1:31" x14ac:dyDescent="0.25">
      <c r="A60" s="73"/>
      <c r="B60" s="70"/>
      <c r="C60" s="71"/>
      <c r="D60" s="48"/>
      <c r="E60" s="71"/>
      <c r="F60" s="48"/>
      <c r="G60" s="71"/>
      <c r="H60" s="48"/>
      <c r="I60" s="71"/>
      <c r="J60" s="48"/>
      <c r="K60" s="71"/>
      <c r="L60" s="48"/>
      <c r="M60" s="71"/>
      <c r="N60" s="48"/>
      <c r="O60" s="71"/>
      <c r="P60" s="48"/>
      <c r="Q60" s="71"/>
      <c r="R60" s="48"/>
      <c r="S60" s="71"/>
      <c r="T60" s="48"/>
      <c r="U60" s="71"/>
      <c r="V60" s="48"/>
      <c r="W60" s="71"/>
      <c r="X60" s="48"/>
      <c r="Y60" s="71"/>
      <c r="Z60" s="48"/>
      <c r="AA60" s="72"/>
      <c r="AB60" s="382"/>
      <c r="AC60" s="371">
        <f t="shared" si="3"/>
        <v>0</v>
      </c>
      <c r="AE60" s="498"/>
    </row>
    <row r="61" spans="1:31" x14ac:dyDescent="0.25">
      <c r="A61" s="73"/>
      <c r="B61" s="70"/>
      <c r="C61" s="71"/>
      <c r="D61" s="48"/>
      <c r="E61" s="71"/>
      <c r="F61" s="48"/>
      <c r="G61" s="71"/>
      <c r="H61" s="48"/>
      <c r="I61" s="71"/>
      <c r="J61" s="48"/>
      <c r="K61" s="71"/>
      <c r="L61" s="48"/>
      <c r="M61" s="71"/>
      <c r="N61" s="48"/>
      <c r="O61" s="71"/>
      <c r="P61" s="48"/>
      <c r="Q61" s="71"/>
      <c r="R61" s="48"/>
      <c r="S61" s="71"/>
      <c r="T61" s="48"/>
      <c r="U61" s="71"/>
      <c r="V61" s="48"/>
      <c r="W61" s="71"/>
      <c r="X61" s="48"/>
      <c r="Y61" s="71"/>
      <c r="Z61" s="48"/>
      <c r="AA61" s="72"/>
      <c r="AB61" s="382"/>
      <c r="AC61" s="371">
        <f t="shared" si="3"/>
        <v>0</v>
      </c>
      <c r="AE61" s="498"/>
    </row>
    <row r="62" spans="1:31" x14ac:dyDescent="0.25">
      <c r="A62" s="73"/>
      <c r="B62" s="70"/>
      <c r="C62" s="71"/>
      <c r="D62" s="48"/>
      <c r="E62" s="71"/>
      <c r="F62" s="48"/>
      <c r="G62" s="71"/>
      <c r="H62" s="48"/>
      <c r="I62" s="71"/>
      <c r="J62" s="48"/>
      <c r="K62" s="71"/>
      <c r="L62" s="48"/>
      <c r="M62" s="71"/>
      <c r="N62" s="48"/>
      <c r="O62" s="71"/>
      <c r="P62" s="48"/>
      <c r="Q62" s="71"/>
      <c r="R62" s="48"/>
      <c r="S62" s="71"/>
      <c r="T62" s="48"/>
      <c r="U62" s="71"/>
      <c r="V62" s="48"/>
      <c r="W62" s="71"/>
      <c r="X62" s="48"/>
      <c r="Y62" s="71"/>
      <c r="Z62" s="48"/>
      <c r="AA62" s="72"/>
      <c r="AB62" s="382"/>
      <c r="AC62" s="371">
        <f t="shared" si="3"/>
        <v>0</v>
      </c>
      <c r="AE62" s="498"/>
    </row>
    <row r="63" spans="1:31" x14ac:dyDescent="0.25">
      <c r="A63" s="73"/>
      <c r="B63" s="70"/>
      <c r="C63" s="71"/>
      <c r="D63" s="48"/>
      <c r="E63" s="71"/>
      <c r="F63" s="48"/>
      <c r="G63" s="71"/>
      <c r="H63" s="48"/>
      <c r="I63" s="71"/>
      <c r="J63" s="48"/>
      <c r="K63" s="71"/>
      <c r="L63" s="48"/>
      <c r="M63" s="71"/>
      <c r="N63" s="48"/>
      <c r="O63" s="71"/>
      <c r="P63" s="48"/>
      <c r="Q63" s="71"/>
      <c r="R63" s="48"/>
      <c r="S63" s="71"/>
      <c r="T63" s="48"/>
      <c r="U63" s="71"/>
      <c r="V63" s="48"/>
      <c r="W63" s="71"/>
      <c r="X63" s="48"/>
      <c r="Y63" s="71"/>
      <c r="Z63" s="48"/>
      <c r="AA63" s="72"/>
      <c r="AB63" s="382"/>
      <c r="AC63" s="371">
        <f t="shared" si="3"/>
        <v>0</v>
      </c>
      <c r="AE63" s="498"/>
    </row>
    <row r="64" spans="1:31" x14ac:dyDescent="0.25">
      <c r="A64" s="73"/>
      <c r="B64" s="70"/>
      <c r="C64" s="71"/>
      <c r="D64" s="48"/>
      <c r="E64" s="71"/>
      <c r="F64" s="48"/>
      <c r="G64" s="71"/>
      <c r="H64" s="48"/>
      <c r="I64" s="71"/>
      <c r="J64" s="48"/>
      <c r="K64" s="71"/>
      <c r="L64" s="48"/>
      <c r="M64" s="71"/>
      <c r="N64" s="48"/>
      <c r="O64" s="71"/>
      <c r="P64" s="48"/>
      <c r="Q64" s="71"/>
      <c r="R64" s="48"/>
      <c r="S64" s="71"/>
      <c r="T64" s="48"/>
      <c r="U64" s="71"/>
      <c r="V64" s="48"/>
      <c r="W64" s="71"/>
      <c r="X64" s="48"/>
      <c r="Y64" s="71"/>
      <c r="Z64" s="48"/>
      <c r="AA64" s="72"/>
      <c r="AB64" s="382"/>
      <c r="AC64" s="371">
        <f t="shared" si="3"/>
        <v>0</v>
      </c>
      <c r="AE64" s="498"/>
    </row>
    <row r="65" spans="1:31" x14ac:dyDescent="0.25">
      <c r="A65" s="73"/>
      <c r="B65" s="70"/>
      <c r="C65" s="71"/>
      <c r="D65" s="48"/>
      <c r="E65" s="71"/>
      <c r="F65" s="48"/>
      <c r="G65" s="71"/>
      <c r="H65" s="48"/>
      <c r="I65" s="71"/>
      <c r="J65" s="48"/>
      <c r="K65" s="71"/>
      <c r="L65" s="48"/>
      <c r="M65" s="71"/>
      <c r="N65" s="48"/>
      <c r="O65" s="71"/>
      <c r="P65" s="48"/>
      <c r="Q65" s="71"/>
      <c r="R65" s="48"/>
      <c r="S65" s="71"/>
      <c r="T65" s="48"/>
      <c r="U65" s="71"/>
      <c r="V65" s="48"/>
      <c r="W65" s="71"/>
      <c r="X65" s="48"/>
      <c r="Y65" s="71"/>
      <c r="Z65" s="48"/>
      <c r="AA65" s="72"/>
      <c r="AB65" s="382"/>
      <c r="AC65" s="371">
        <f t="shared" si="3"/>
        <v>0</v>
      </c>
      <c r="AE65" s="498"/>
    </row>
    <row r="66" spans="1:31" x14ac:dyDescent="0.25">
      <c r="A66" s="73"/>
      <c r="B66" s="70"/>
      <c r="C66" s="71"/>
      <c r="D66" s="48"/>
      <c r="E66" s="71"/>
      <c r="F66" s="48"/>
      <c r="G66" s="71"/>
      <c r="H66" s="48"/>
      <c r="I66" s="71"/>
      <c r="J66" s="48"/>
      <c r="K66" s="71"/>
      <c r="L66" s="48"/>
      <c r="M66" s="71"/>
      <c r="N66" s="48"/>
      <c r="O66" s="71"/>
      <c r="P66" s="48"/>
      <c r="Q66" s="71"/>
      <c r="R66" s="48"/>
      <c r="S66" s="71"/>
      <c r="T66" s="48"/>
      <c r="U66" s="71"/>
      <c r="V66" s="48"/>
      <c r="W66" s="71"/>
      <c r="X66" s="48"/>
      <c r="Y66" s="71"/>
      <c r="Z66" s="48"/>
      <c r="AA66" s="72"/>
      <c r="AB66" s="382"/>
      <c r="AC66" s="371">
        <f t="shared" si="3"/>
        <v>0</v>
      </c>
      <c r="AE66" s="498"/>
    </row>
    <row r="67" spans="1:31" x14ac:dyDescent="0.25">
      <c r="A67" s="73"/>
      <c r="B67" s="70"/>
      <c r="C67" s="71"/>
      <c r="D67" s="48"/>
      <c r="E67" s="71"/>
      <c r="F67" s="48"/>
      <c r="G67" s="71"/>
      <c r="H67" s="48"/>
      <c r="I67" s="71"/>
      <c r="J67" s="48"/>
      <c r="K67" s="71"/>
      <c r="L67" s="48"/>
      <c r="M67" s="71"/>
      <c r="N67" s="48"/>
      <c r="O67" s="71"/>
      <c r="P67" s="48"/>
      <c r="Q67" s="71"/>
      <c r="R67" s="48"/>
      <c r="S67" s="71"/>
      <c r="T67" s="48"/>
      <c r="U67" s="71"/>
      <c r="V67" s="48"/>
      <c r="W67" s="71"/>
      <c r="X67" s="48"/>
      <c r="Y67" s="71"/>
      <c r="Z67" s="48"/>
      <c r="AA67" s="72"/>
      <c r="AB67" s="382"/>
      <c r="AC67" s="371">
        <f t="shared" si="3"/>
        <v>0</v>
      </c>
      <c r="AE67" s="498"/>
    </row>
    <row r="68" spans="1:31" x14ac:dyDescent="0.25">
      <c r="A68" s="73"/>
      <c r="B68" s="70"/>
      <c r="C68" s="71"/>
      <c r="D68" s="48"/>
      <c r="E68" s="71"/>
      <c r="F68" s="48"/>
      <c r="G68" s="71"/>
      <c r="H68" s="48"/>
      <c r="I68" s="71"/>
      <c r="J68" s="48"/>
      <c r="K68" s="71"/>
      <c r="L68" s="48"/>
      <c r="M68" s="71"/>
      <c r="N68" s="48"/>
      <c r="O68" s="71"/>
      <c r="P68" s="48"/>
      <c r="Q68" s="71"/>
      <c r="R68" s="48"/>
      <c r="S68" s="71"/>
      <c r="T68" s="48"/>
      <c r="U68" s="71"/>
      <c r="V68" s="48"/>
      <c r="W68" s="71"/>
      <c r="X68" s="48"/>
      <c r="Y68" s="71"/>
      <c r="Z68" s="48"/>
      <c r="AA68" s="72"/>
      <c r="AB68" s="382"/>
      <c r="AC68" s="371">
        <f t="shared" si="3"/>
        <v>0</v>
      </c>
      <c r="AE68" s="498"/>
    </row>
    <row r="69" spans="1:31" x14ac:dyDescent="0.25">
      <c r="A69" s="73"/>
      <c r="B69" s="70"/>
      <c r="C69" s="71"/>
      <c r="D69" s="48"/>
      <c r="E69" s="71"/>
      <c r="F69" s="48"/>
      <c r="G69" s="71"/>
      <c r="H69" s="48"/>
      <c r="I69" s="71"/>
      <c r="J69" s="48"/>
      <c r="K69" s="71"/>
      <c r="L69" s="48"/>
      <c r="M69" s="71"/>
      <c r="N69" s="48"/>
      <c r="O69" s="71"/>
      <c r="P69" s="48"/>
      <c r="Q69" s="71"/>
      <c r="R69" s="48"/>
      <c r="S69" s="71"/>
      <c r="T69" s="48"/>
      <c r="U69" s="71"/>
      <c r="V69" s="48"/>
      <c r="W69" s="71"/>
      <c r="X69" s="48"/>
      <c r="Y69" s="71"/>
      <c r="Z69" s="48"/>
      <c r="AA69" s="72"/>
      <c r="AB69" s="382"/>
      <c r="AC69" s="371">
        <f t="shared" si="3"/>
        <v>0</v>
      </c>
      <c r="AE69" s="498"/>
    </row>
    <row r="70" spans="1:31" x14ac:dyDescent="0.25">
      <c r="A70" s="73"/>
      <c r="B70" s="70"/>
      <c r="C70" s="71"/>
      <c r="D70" s="48"/>
      <c r="E70" s="71"/>
      <c r="F70" s="48"/>
      <c r="G70" s="71"/>
      <c r="H70" s="48"/>
      <c r="I70" s="71"/>
      <c r="J70" s="48"/>
      <c r="K70" s="71"/>
      <c r="L70" s="48"/>
      <c r="M70" s="71"/>
      <c r="N70" s="48"/>
      <c r="O70" s="71"/>
      <c r="P70" s="48"/>
      <c r="Q70" s="71"/>
      <c r="R70" s="48"/>
      <c r="S70" s="71"/>
      <c r="T70" s="48"/>
      <c r="U70" s="71"/>
      <c r="V70" s="48"/>
      <c r="W70" s="71"/>
      <c r="X70" s="48"/>
      <c r="Y70" s="71"/>
      <c r="Z70" s="48"/>
      <c r="AA70" s="72"/>
      <c r="AB70" s="382"/>
      <c r="AC70" s="371">
        <f t="shared" si="3"/>
        <v>0</v>
      </c>
      <c r="AE70" s="498"/>
    </row>
    <row r="71" spans="1:31" x14ac:dyDescent="0.25">
      <c r="A71" s="73"/>
      <c r="B71" s="70"/>
      <c r="C71" s="71"/>
      <c r="D71" s="48"/>
      <c r="E71" s="71"/>
      <c r="F71" s="48"/>
      <c r="G71" s="71"/>
      <c r="H71" s="48"/>
      <c r="I71" s="71"/>
      <c r="J71" s="48"/>
      <c r="K71" s="71"/>
      <c r="L71" s="48"/>
      <c r="M71" s="71"/>
      <c r="N71" s="48"/>
      <c r="O71" s="71"/>
      <c r="P71" s="48"/>
      <c r="Q71" s="71"/>
      <c r="R71" s="48"/>
      <c r="S71" s="71"/>
      <c r="T71" s="48"/>
      <c r="U71" s="71"/>
      <c r="V71" s="48"/>
      <c r="W71" s="71"/>
      <c r="X71" s="48"/>
      <c r="Y71" s="71"/>
      <c r="Z71" s="48"/>
      <c r="AA71" s="72"/>
      <c r="AB71" s="382"/>
      <c r="AC71" s="371">
        <f t="shared" si="3"/>
        <v>0</v>
      </c>
      <c r="AE71" s="498"/>
    </row>
    <row r="72" spans="1:31" x14ac:dyDescent="0.25">
      <c r="A72" s="73"/>
      <c r="B72" s="70"/>
      <c r="C72" s="71"/>
      <c r="D72" s="48"/>
      <c r="E72" s="71"/>
      <c r="F72" s="48"/>
      <c r="G72" s="71"/>
      <c r="H72" s="48"/>
      <c r="I72" s="71"/>
      <c r="J72" s="48"/>
      <c r="K72" s="71"/>
      <c r="L72" s="48"/>
      <c r="M72" s="71"/>
      <c r="N72" s="48"/>
      <c r="O72" s="71"/>
      <c r="P72" s="48"/>
      <c r="Q72" s="71"/>
      <c r="R72" s="48"/>
      <c r="S72" s="71"/>
      <c r="T72" s="48"/>
      <c r="U72" s="71"/>
      <c r="V72" s="48"/>
      <c r="W72" s="71"/>
      <c r="X72" s="48"/>
      <c r="Y72" s="71"/>
      <c r="Z72" s="48"/>
      <c r="AA72" s="72"/>
      <c r="AB72" s="382"/>
      <c r="AC72" s="371">
        <f t="shared" si="3"/>
        <v>0</v>
      </c>
      <c r="AE72" s="498"/>
    </row>
    <row r="73" spans="1:31" x14ac:dyDescent="0.25">
      <c r="A73" s="73"/>
      <c r="B73" s="70"/>
      <c r="C73" s="71"/>
      <c r="D73" s="48"/>
      <c r="E73" s="71"/>
      <c r="F73" s="48"/>
      <c r="G73" s="71"/>
      <c r="H73" s="48"/>
      <c r="I73" s="71"/>
      <c r="J73" s="48"/>
      <c r="K73" s="71"/>
      <c r="L73" s="48"/>
      <c r="M73" s="71"/>
      <c r="N73" s="48"/>
      <c r="O73" s="71"/>
      <c r="P73" s="48"/>
      <c r="Q73" s="71"/>
      <c r="R73" s="48"/>
      <c r="S73" s="71"/>
      <c r="T73" s="48"/>
      <c r="U73" s="71"/>
      <c r="V73" s="48"/>
      <c r="W73" s="71"/>
      <c r="X73" s="48"/>
      <c r="Y73" s="71"/>
      <c r="Z73" s="48"/>
      <c r="AA73" s="72"/>
      <c r="AB73" s="382"/>
      <c r="AC73" s="371">
        <f t="shared" si="3"/>
        <v>0</v>
      </c>
      <c r="AE73" s="498"/>
    </row>
    <row r="74" spans="1:31" x14ac:dyDescent="0.25">
      <c r="A74" s="73"/>
      <c r="B74" s="70"/>
      <c r="C74" s="71"/>
      <c r="D74" s="48"/>
      <c r="E74" s="71"/>
      <c r="F74" s="48"/>
      <c r="G74" s="71"/>
      <c r="H74" s="48"/>
      <c r="I74" s="71"/>
      <c r="J74" s="48"/>
      <c r="K74" s="71"/>
      <c r="L74" s="48"/>
      <c r="M74" s="71"/>
      <c r="N74" s="48"/>
      <c r="O74" s="71"/>
      <c r="P74" s="48"/>
      <c r="Q74" s="71"/>
      <c r="R74" s="48"/>
      <c r="S74" s="71"/>
      <c r="T74" s="48"/>
      <c r="U74" s="71"/>
      <c r="V74" s="48"/>
      <c r="W74" s="71"/>
      <c r="X74" s="48"/>
      <c r="Y74" s="71"/>
      <c r="Z74" s="48"/>
      <c r="AA74" s="72"/>
      <c r="AB74" s="382"/>
      <c r="AC74" s="371">
        <f t="shared" si="3"/>
        <v>0</v>
      </c>
      <c r="AE74" s="498"/>
    </row>
    <row r="75" spans="1:31" x14ac:dyDescent="0.25">
      <c r="A75" s="73"/>
      <c r="B75" s="70"/>
      <c r="C75" s="71"/>
      <c r="D75" s="48"/>
      <c r="E75" s="71"/>
      <c r="F75" s="48"/>
      <c r="G75" s="71"/>
      <c r="H75" s="48"/>
      <c r="I75" s="71"/>
      <c r="J75" s="48"/>
      <c r="K75" s="71"/>
      <c r="L75" s="48"/>
      <c r="M75" s="71"/>
      <c r="N75" s="48"/>
      <c r="O75" s="71"/>
      <c r="P75" s="48"/>
      <c r="Q75" s="71"/>
      <c r="R75" s="48"/>
      <c r="S75" s="71"/>
      <c r="T75" s="48"/>
      <c r="U75" s="71"/>
      <c r="V75" s="48"/>
      <c r="W75" s="71"/>
      <c r="X75" s="48"/>
      <c r="Y75" s="71"/>
      <c r="Z75" s="48"/>
      <c r="AA75" s="72"/>
      <c r="AB75" s="382"/>
      <c r="AC75" s="371">
        <f t="shared" si="3"/>
        <v>0</v>
      </c>
      <c r="AE75" s="498"/>
    </row>
    <row r="76" spans="1:31" x14ac:dyDescent="0.25">
      <c r="A76" s="73"/>
      <c r="B76" s="70"/>
      <c r="C76" s="71"/>
      <c r="D76" s="48"/>
      <c r="E76" s="71"/>
      <c r="F76" s="48"/>
      <c r="G76" s="71"/>
      <c r="H76" s="48"/>
      <c r="I76" s="71"/>
      <c r="J76" s="48"/>
      <c r="K76" s="71"/>
      <c r="L76" s="48"/>
      <c r="M76" s="71"/>
      <c r="N76" s="48"/>
      <c r="O76" s="71"/>
      <c r="P76" s="48"/>
      <c r="Q76" s="71"/>
      <c r="R76" s="48"/>
      <c r="S76" s="71"/>
      <c r="T76" s="48"/>
      <c r="U76" s="71"/>
      <c r="V76" s="48"/>
      <c r="W76" s="71"/>
      <c r="X76" s="48"/>
      <c r="Y76" s="71"/>
      <c r="Z76" s="48"/>
      <c r="AA76" s="72"/>
      <c r="AB76" s="382"/>
      <c r="AC76" s="371">
        <f t="shared" si="3"/>
        <v>0</v>
      </c>
      <c r="AE76" s="498"/>
    </row>
    <row r="77" spans="1:31" x14ac:dyDescent="0.25">
      <c r="A77" s="73"/>
      <c r="B77" s="70"/>
      <c r="C77" s="71"/>
      <c r="D77" s="48"/>
      <c r="E77" s="71"/>
      <c r="F77" s="48"/>
      <c r="G77" s="71"/>
      <c r="H77" s="48"/>
      <c r="I77" s="71"/>
      <c r="J77" s="48"/>
      <c r="K77" s="71"/>
      <c r="L77" s="48"/>
      <c r="M77" s="71"/>
      <c r="N77" s="48"/>
      <c r="O77" s="71"/>
      <c r="P77" s="48"/>
      <c r="Q77" s="71"/>
      <c r="R77" s="48"/>
      <c r="S77" s="71"/>
      <c r="T77" s="48"/>
      <c r="U77" s="71"/>
      <c r="V77" s="48"/>
      <c r="W77" s="71"/>
      <c r="X77" s="48"/>
      <c r="Y77" s="71"/>
      <c r="Z77" s="48"/>
      <c r="AA77" s="72"/>
      <c r="AB77" s="382"/>
      <c r="AC77" s="371">
        <f t="shared" si="3"/>
        <v>0</v>
      </c>
      <c r="AE77" s="498"/>
    </row>
    <row r="78" spans="1:31" x14ac:dyDescent="0.25">
      <c r="A78" s="73"/>
      <c r="B78" s="70"/>
      <c r="C78" s="71"/>
      <c r="D78" s="48"/>
      <c r="E78" s="71"/>
      <c r="F78" s="48"/>
      <c r="G78" s="71"/>
      <c r="H78" s="48"/>
      <c r="I78" s="71"/>
      <c r="J78" s="48"/>
      <c r="K78" s="71"/>
      <c r="L78" s="48"/>
      <c r="M78" s="71"/>
      <c r="N78" s="48"/>
      <c r="O78" s="71"/>
      <c r="P78" s="48"/>
      <c r="Q78" s="71"/>
      <c r="R78" s="48"/>
      <c r="S78" s="71"/>
      <c r="T78" s="48"/>
      <c r="U78" s="71"/>
      <c r="V78" s="48"/>
      <c r="W78" s="71"/>
      <c r="X78" s="48"/>
      <c r="Y78" s="71"/>
      <c r="Z78" s="48"/>
      <c r="AA78" s="72"/>
      <c r="AB78" s="382"/>
      <c r="AC78" s="371">
        <f t="shared" si="3"/>
        <v>0</v>
      </c>
      <c r="AE78" s="498"/>
    </row>
    <row r="79" spans="1:31" x14ac:dyDescent="0.25">
      <c r="A79" s="73"/>
      <c r="B79" s="70"/>
      <c r="C79" s="71"/>
      <c r="D79" s="48"/>
      <c r="E79" s="71"/>
      <c r="F79" s="48"/>
      <c r="G79" s="71"/>
      <c r="H79" s="48"/>
      <c r="I79" s="71"/>
      <c r="J79" s="48"/>
      <c r="K79" s="71"/>
      <c r="L79" s="48"/>
      <c r="M79" s="71"/>
      <c r="N79" s="48"/>
      <c r="O79" s="71"/>
      <c r="P79" s="48"/>
      <c r="Q79" s="71"/>
      <c r="R79" s="48"/>
      <c r="S79" s="71"/>
      <c r="T79" s="48"/>
      <c r="U79" s="71"/>
      <c r="V79" s="48"/>
      <c r="W79" s="71"/>
      <c r="X79" s="48"/>
      <c r="Y79" s="71"/>
      <c r="Z79" s="48"/>
      <c r="AA79" s="72"/>
      <c r="AB79" s="382"/>
      <c r="AC79" s="371">
        <f t="shared" si="3"/>
        <v>0</v>
      </c>
      <c r="AE79" s="498"/>
    </row>
    <row r="80" spans="1:31" x14ac:dyDescent="0.25">
      <c r="A80" s="73"/>
      <c r="B80" s="70"/>
      <c r="C80" s="71"/>
      <c r="D80" s="48"/>
      <c r="E80" s="71"/>
      <c r="F80" s="48"/>
      <c r="G80" s="71"/>
      <c r="H80" s="48"/>
      <c r="I80" s="71"/>
      <c r="J80" s="48"/>
      <c r="K80" s="71"/>
      <c r="L80" s="48"/>
      <c r="M80" s="71"/>
      <c r="N80" s="48"/>
      <c r="O80" s="71"/>
      <c r="P80" s="48"/>
      <c r="Q80" s="71"/>
      <c r="R80" s="48"/>
      <c r="S80" s="71"/>
      <c r="T80" s="48"/>
      <c r="U80" s="71"/>
      <c r="V80" s="48"/>
      <c r="W80" s="71"/>
      <c r="X80" s="48"/>
      <c r="Y80" s="71"/>
      <c r="Z80" s="48"/>
      <c r="AA80" s="72"/>
      <c r="AB80" s="382"/>
      <c r="AC80" s="371">
        <f t="shared" si="3"/>
        <v>0</v>
      </c>
      <c r="AE80" s="498"/>
    </row>
    <row r="81" spans="1:31" x14ac:dyDescent="0.25">
      <c r="A81" s="73"/>
      <c r="B81" s="70"/>
      <c r="C81" s="71"/>
      <c r="D81" s="48"/>
      <c r="E81" s="71"/>
      <c r="F81" s="48"/>
      <c r="G81" s="71"/>
      <c r="H81" s="48"/>
      <c r="I81" s="71"/>
      <c r="J81" s="48"/>
      <c r="K81" s="71"/>
      <c r="L81" s="48"/>
      <c r="M81" s="71"/>
      <c r="N81" s="48"/>
      <c r="O81" s="71"/>
      <c r="P81" s="48"/>
      <c r="Q81" s="71"/>
      <c r="R81" s="48"/>
      <c r="S81" s="71"/>
      <c r="T81" s="48"/>
      <c r="U81" s="71"/>
      <c r="V81" s="48"/>
      <c r="W81" s="71"/>
      <c r="X81" s="48"/>
      <c r="Y81" s="71"/>
      <c r="Z81" s="48"/>
      <c r="AA81" s="72"/>
      <c r="AB81" s="382"/>
      <c r="AC81" s="371">
        <f t="shared" si="3"/>
        <v>0</v>
      </c>
      <c r="AE81" s="498"/>
    </row>
    <row r="82" spans="1:31" x14ac:dyDescent="0.25">
      <c r="A82" s="73"/>
      <c r="B82" s="70"/>
      <c r="C82" s="71"/>
      <c r="D82" s="48"/>
      <c r="E82" s="71"/>
      <c r="F82" s="48"/>
      <c r="G82" s="71"/>
      <c r="H82" s="48"/>
      <c r="I82" s="71"/>
      <c r="J82" s="48"/>
      <c r="K82" s="71"/>
      <c r="L82" s="48"/>
      <c r="M82" s="71"/>
      <c r="N82" s="48"/>
      <c r="O82" s="71"/>
      <c r="P82" s="48"/>
      <c r="Q82" s="71"/>
      <c r="R82" s="48"/>
      <c r="S82" s="71"/>
      <c r="T82" s="48"/>
      <c r="U82" s="71"/>
      <c r="V82" s="48"/>
      <c r="W82" s="71"/>
      <c r="X82" s="48"/>
      <c r="Y82" s="71"/>
      <c r="Z82" s="48"/>
      <c r="AA82" s="72"/>
      <c r="AB82" s="382"/>
      <c r="AC82" s="371">
        <f t="shared" si="3"/>
        <v>0</v>
      </c>
      <c r="AE82" s="498"/>
    </row>
    <row r="83" spans="1:31" x14ac:dyDescent="0.25">
      <c r="A83" s="73"/>
      <c r="B83" s="70"/>
      <c r="C83" s="71"/>
      <c r="D83" s="48"/>
      <c r="E83" s="71"/>
      <c r="F83" s="48"/>
      <c r="G83" s="71"/>
      <c r="H83" s="48"/>
      <c r="I83" s="71"/>
      <c r="J83" s="48"/>
      <c r="K83" s="71"/>
      <c r="L83" s="48"/>
      <c r="M83" s="71"/>
      <c r="N83" s="48"/>
      <c r="O83" s="71"/>
      <c r="P83" s="48"/>
      <c r="Q83" s="71"/>
      <c r="R83" s="48"/>
      <c r="S83" s="71"/>
      <c r="T83" s="48"/>
      <c r="U83" s="71"/>
      <c r="V83" s="48"/>
      <c r="W83" s="71"/>
      <c r="X83" s="48"/>
      <c r="Y83" s="71"/>
      <c r="Z83" s="48"/>
      <c r="AA83" s="72"/>
      <c r="AB83" s="382"/>
      <c r="AC83" s="371">
        <f t="shared" si="3"/>
        <v>0</v>
      </c>
      <c r="AE83" s="498"/>
    </row>
    <row r="84" spans="1:31" x14ac:dyDescent="0.25">
      <c r="A84" s="73"/>
      <c r="B84" s="70"/>
      <c r="C84" s="71"/>
      <c r="D84" s="48"/>
      <c r="E84" s="71"/>
      <c r="F84" s="48"/>
      <c r="G84" s="71"/>
      <c r="H84" s="48"/>
      <c r="I84" s="71"/>
      <c r="J84" s="48"/>
      <c r="K84" s="71"/>
      <c r="L84" s="48"/>
      <c r="M84" s="71"/>
      <c r="N84" s="48"/>
      <c r="O84" s="71"/>
      <c r="P84" s="48"/>
      <c r="Q84" s="71"/>
      <c r="R84" s="48"/>
      <c r="S84" s="71"/>
      <c r="T84" s="48"/>
      <c r="U84" s="71"/>
      <c r="V84" s="48"/>
      <c r="W84" s="71"/>
      <c r="X84" s="48"/>
      <c r="Y84" s="71"/>
      <c r="Z84" s="48"/>
      <c r="AA84" s="72"/>
      <c r="AB84" s="382"/>
      <c r="AC84" s="371">
        <f t="shared" si="3"/>
        <v>0</v>
      </c>
      <c r="AE84" s="498"/>
    </row>
    <row r="85" spans="1:31" x14ac:dyDescent="0.25">
      <c r="A85" s="73"/>
      <c r="B85" s="70"/>
      <c r="C85" s="71"/>
      <c r="D85" s="48"/>
      <c r="E85" s="71"/>
      <c r="F85" s="48"/>
      <c r="G85" s="71"/>
      <c r="H85" s="48"/>
      <c r="I85" s="71"/>
      <c r="J85" s="48"/>
      <c r="K85" s="71"/>
      <c r="L85" s="48"/>
      <c r="M85" s="71"/>
      <c r="N85" s="48"/>
      <c r="O85" s="71"/>
      <c r="P85" s="48"/>
      <c r="Q85" s="71"/>
      <c r="R85" s="48"/>
      <c r="S85" s="71"/>
      <c r="T85" s="48"/>
      <c r="U85" s="71"/>
      <c r="V85" s="48"/>
      <c r="W85" s="71"/>
      <c r="X85" s="48"/>
      <c r="Y85" s="71"/>
      <c r="Z85" s="48"/>
      <c r="AA85" s="72"/>
      <c r="AB85" s="382"/>
      <c r="AC85" s="371">
        <f t="shared" si="3"/>
        <v>0</v>
      </c>
      <c r="AE85" s="498"/>
    </row>
    <row r="86" spans="1:31" x14ac:dyDescent="0.25">
      <c r="A86" s="73"/>
      <c r="B86" s="70"/>
      <c r="C86" s="71"/>
      <c r="D86" s="48"/>
      <c r="E86" s="71"/>
      <c r="F86" s="48"/>
      <c r="G86" s="71"/>
      <c r="H86" s="48"/>
      <c r="I86" s="71"/>
      <c r="J86" s="48"/>
      <c r="K86" s="71"/>
      <c r="L86" s="48"/>
      <c r="M86" s="71"/>
      <c r="N86" s="48"/>
      <c r="O86" s="71"/>
      <c r="P86" s="48"/>
      <c r="Q86" s="71"/>
      <c r="R86" s="48"/>
      <c r="S86" s="71"/>
      <c r="T86" s="48"/>
      <c r="U86" s="71"/>
      <c r="V86" s="48"/>
      <c r="W86" s="71"/>
      <c r="X86" s="48"/>
      <c r="Y86" s="71"/>
      <c r="Z86" s="48"/>
      <c r="AA86" s="72"/>
      <c r="AB86" s="382"/>
      <c r="AC86" s="371">
        <f t="shared" si="3"/>
        <v>0</v>
      </c>
      <c r="AE86" s="498"/>
    </row>
    <row r="87" spans="1:31" x14ac:dyDescent="0.25">
      <c r="A87" s="73"/>
      <c r="B87" s="70"/>
      <c r="C87" s="71"/>
      <c r="D87" s="48"/>
      <c r="E87" s="71"/>
      <c r="F87" s="48"/>
      <c r="G87" s="71"/>
      <c r="H87" s="48"/>
      <c r="I87" s="71"/>
      <c r="J87" s="48"/>
      <c r="K87" s="71"/>
      <c r="L87" s="48"/>
      <c r="M87" s="71"/>
      <c r="N87" s="48"/>
      <c r="O87" s="71"/>
      <c r="P87" s="48"/>
      <c r="Q87" s="71"/>
      <c r="R87" s="48"/>
      <c r="S87" s="71"/>
      <c r="T87" s="48"/>
      <c r="U87" s="71"/>
      <c r="V87" s="48"/>
      <c r="W87" s="71"/>
      <c r="X87" s="48"/>
      <c r="Y87" s="71"/>
      <c r="Z87" s="48"/>
      <c r="AA87" s="72"/>
      <c r="AB87" s="382"/>
      <c r="AC87" s="371">
        <f t="shared" si="3"/>
        <v>0</v>
      </c>
      <c r="AE87" s="498"/>
    </row>
    <row r="88" spans="1:31" x14ac:dyDescent="0.25">
      <c r="A88" s="73"/>
      <c r="B88" s="70"/>
      <c r="C88" s="71"/>
      <c r="D88" s="48"/>
      <c r="E88" s="71"/>
      <c r="F88" s="48"/>
      <c r="G88" s="71"/>
      <c r="H88" s="48"/>
      <c r="I88" s="71"/>
      <c r="J88" s="48"/>
      <c r="K88" s="71"/>
      <c r="L88" s="48"/>
      <c r="M88" s="71"/>
      <c r="N88" s="48"/>
      <c r="O88" s="71"/>
      <c r="P88" s="48"/>
      <c r="Q88" s="71"/>
      <c r="R88" s="48"/>
      <c r="S88" s="71"/>
      <c r="T88" s="48"/>
      <c r="U88" s="71"/>
      <c r="V88" s="48"/>
      <c r="W88" s="71"/>
      <c r="X88" s="48"/>
      <c r="Y88" s="71"/>
      <c r="Z88" s="48"/>
      <c r="AA88" s="72"/>
      <c r="AB88" s="382"/>
      <c r="AC88" s="371">
        <f t="shared" si="3"/>
        <v>0</v>
      </c>
      <c r="AE88" s="498"/>
    </row>
    <row r="89" spans="1:31" x14ac:dyDescent="0.25">
      <c r="A89" s="73"/>
      <c r="B89" s="70"/>
      <c r="C89" s="71"/>
      <c r="D89" s="48"/>
      <c r="E89" s="71"/>
      <c r="F89" s="48"/>
      <c r="G89" s="71"/>
      <c r="H89" s="48"/>
      <c r="I89" s="71"/>
      <c r="J89" s="48"/>
      <c r="K89" s="71"/>
      <c r="L89" s="48"/>
      <c r="M89" s="71"/>
      <c r="N89" s="48"/>
      <c r="O89" s="71"/>
      <c r="P89" s="48"/>
      <c r="Q89" s="71"/>
      <c r="R89" s="48"/>
      <c r="S89" s="71"/>
      <c r="T89" s="48"/>
      <c r="U89" s="71"/>
      <c r="V89" s="48"/>
      <c r="W89" s="71"/>
      <c r="X89" s="48"/>
      <c r="Y89" s="71"/>
      <c r="Z89" s="48"/>
      <c r="AA89" s="72"/>
      <c r="AB89" s="382"/>
      <c r="AC89" s="371">
        <f t="shared" si="3"/>
        <v>0</v>
      </c>
      <c r="AE89" s="498"/>
    </row>
    <row r="90" spans="1:31" x14ac:dyDescent="0.25">
      <c r="A90" s="73"/>
      <c r="B90" s="70"/>
      <c r="C90" s="71"/>
      <c r="D90" s="48"/>
      <c r="E90" s="71"/>
      <c r="F90" s="48"/>
      <c r="G90" s="71"/>
      <c r="H90" s="48"/>
      <c r="I90" s="71"/>
      <c r="J90" s="48"/>
      <c r="K90" s="71"/>
      <c r="L90" s="48"/>
      <c r="M90" s="71"/>
      <c r="N90" s="48"/>
      <c r="O90" s="71"/>
      <c r="P90" s="48"/>
      <c r="Q90" s="71"/>
      <c r="R90" s="48"/>
      <c r="S90" s="71"/>
      <c r="T90" s="48"/>
      <c r="U90" s="71"/>
      <c r="V90" s="48"/>
      <c r="W90" s="71"/>
      <c r="X90" s="48"/>
      <c r="Y90" s="71"/>
      <c r="Z90" s="48"/>
      <c r="AA90" s="72"/>
      <c r="AB90" s="382"/>
      <c r="AC90" s="371">
        <f t="shared" si="3"/>
        <v>0</v>
      </c>
      <c r="AE90" s="498"/>
    </row>
    <row r="91" spans="1:31" x14ac:dyDescent="0.25">
      <c r="A91" s="73"/>
      <c r="B91" s="70"/>
      <c r="C91" s="71"/>
      <c r="D91" s="48"/>
      <c r="E91" s="71"/>
      <c r="F91" s="48"/>
      <c r="G91" s="71"/>
      <c r="H91" s="48"/>
      <c r="I91" s="71"/>
      <c r="J91" s="48"/>
      <c r="K91" s="71"/>
      <c r="L91" s="48"/>
      <c r="M91" s="71"/>
      <c r="N91" s="48"/>
      <c r="O91" s="71"/>
      <c r="P91" s="48"/>
      <c r="Q91" s="71"/>
      <c r="R91" s="48"/>
      <c r="S91" s="71"/>
      <c r="T91" s="48"/>
      <c r="U91" s="71"/>
      <c r="V91" s="48"/>
      <c r="W91" s="71"/>
      <c r="X91" s="48"/>
      <c r="Y91" s="71"/>
      <c r="Z91" s="48"/>
      <c r="AA91" s="72"/>
      <c r="AB91" s="382"/>
      <c r="AC91" s="371">
        <f t="shared" si="3"/>
        <v>0</v>
      </c>
      <c r="AE91" s="498"/>
    </row>
    <row r="92" spans="1:31" x14ac:dyDescent="0.25">
      <c r="A92" s="73"/>
      <c r="B92" s="70"/>
      <c r="C92" s="71"/>
      <c r="D92" s="48"/>
      <c r="E92" s="71"/>
      <c r="F92" s="48"/>
      <c r="G92" s="71"/>
      <c r="H92" s="48"/>
      <c r="I92" s="71"/>
      <c r="J92" s="48"/>
      <c r="K92" s="71"/>
      <c r="L92" s="48"/>
      <c r="M92" s="71"/>
      <c r="N92" s="48"/>
      <c r="O92" s="71"/>
      <c r="P92" s="48"/>
      <c r="Q92" s="71"/>
      <c r="R92" s="48"/>
      <c r="S92" s="71"/>
      <c r="T92" s="48"/>
      <c r="U92" s="71"/>
      <c r="V92" s="48"/>
      <c r="W92" s="71"/>
      <c r="X92" s="48"/>
      <c r="Y92" s="71"/>
      <c r="Z92" s="48"/>
      <c r="AA92" s="72"/>
      <c r="AB92" s="382"/>
      <c r="AC92" s="371">
        <f t="shared" si="3"/>
        <v>0</v>
      </c>
      <c r="AE92" s="498"/>
    </row>
    <row r="93" spans="1:31" x14ac:dyDescent="0.25">
      <c r="A93" s="73"/>
      <c r="B93" s="70"/>
      <c r="C93" s="71"/>
      <c r="D93" s="48"/>
      <c r="E93" s="71"/>
      <c r="F93" s="48"/>
      <c r="G93" s="71"/>
      <c r="H93" s="48"/>
      <c r="I93" s="71"/>
      <c r="J93" s="48"/>
      <c r="K93" s="71"/>
      <c r="L93" s="48"/>
      <c r="M93" s="71"/>
      <c r="N93" s="48"/>
      <c r="O93" s="71"/>
      <c r="P93" s="48"/>
      <c r="Q93" s="71"/>
      <c r="R93" s="48"/>
      <c r="S93" s="71"/>
      <c r="T93" s="48"/>
      <c r="U93" s="71"/>
      <c r="V93" s="48"/>
      <c r="W93" s="71"/>
      <c r="X93" s="48"/>
      <c r="Y93" s="71"/>
      <c r="Z93" s="48"/>
      <c r="AA93" s="72"/>
      <c r="AB93" s="382"/>
      <c r="AC93" s="371">
        <f t="shared" si="3"/>
        <v>0</v>
      </c>
      <c r="AE93" s="498"/>
    </row>
    <row r="94" spans="1:31" x14ac:dyDescent="0.25">
      <c r="A94" s="73"/>
      <c r="B94" s="70"/>
      <c r="C94" s="71"/>
      <c r="D94" s="48"/>
      <c r="E94" s="71"/>
      <c r="F94" s="48"/>
      <c r="G94" s="71"/>
      <c r="H94" s="48"/>
      <c r="I94" s="71"/>
      <c r="J94" s="48"/>
      <c r="K94" s="71"/>
      <c r="L94" s="48"/>
      <c r="M94" s="71"/>
      <c r="N94" s="48"/>
      <c r="O94" s="71"/>
      <c r="P94" s="48"/>
      <c r="Q94" s="71"/>
      <c r="R94" s="48"/>
      <c r="S94" s="71"/>
      <c r="T94" s="48"/>
      <c r="U94" s="71"/>
      <c r="V94" s="48"/>
      <c r="W94" s="71"/>
      <c r="X94" s="48"/>
      <c r="Y94" s="71"/>
      <c r="Z94" s="48"/>
      <c r="AA94" s="72"/>
      <c r="AB94" s="382"/>
      <c r="AC94" s="371">
        <f t="shared" si="3"/>
        <v>0</v>
      </c>
      <c r="AE94" s="498"/>
    </row>
    <row r="95" spans="1:31" x14ac:dyDescent="0.25">
      <c r="A95" s="73"/>
      <c r="B95" s="70"/>
      <c r="C95" s="71"/>
      <c r="D95" s="48"/>
      <c r="E95" s="71"/>
      <c r="F95" s="48"/>
      <c r="G95" s="71"/>
      <c r="H95" s="48"/>
      <c r="I95" s="71"/>
      <c r="J95" s="48"/>
      <c r="K95" s="71"/>
      <c r="L95" s="48"/>
      <c r="M95" s="71"/>
      <c r="N95" s="48"/>
      <c r="O95" s="71"/>
      <c r="P95" s="48"/>
      <c r="Q95" s="71"/>
      <c r="R95" s="48"/>
      <c r="S95" s="71"/>
      <c r="T95" s="48"/>
      <c r="U95" s="71"/>
      <c r="V95" s="48"/>
      <c r="W95" s="71"/>
      <c r="X95" s="48"/>
      <c r="Y95" s="71"/>
      <c r="Z95" s="48"/>
      <c r="AA95" s="72"/>
      <c r="AB95" s="382"/>
      <c r="AC95" s="371">
        <f t="shared" si="3"/>
        <v>0</v>
      </c>
      <c r="AE95" s="498"/>
    </row>
    <row r="96" spans="1:31" x14ac:dyDescent="0.25">
      <c r="A96" s="73"/>
      <c r="B96" s="70"/>
      <c r="C96" s="71"/>
      <c r="D96" s="48"/>
      <c r="E96" s="71"/>
      <c r="F96" s="48"/>
      <c r="G96" s="71"/>
      <c r="H96" s="48"/>
      <c r="I96" s="71"/>
      <c r="J96" s="48"/>
      <c r="K96" s="71"/>
      <c r="L96" s="48"/>
      <c r="M96" s="71"/>
      <c r="N96" s="48"/>
      <c r="O96" s="71"/>
      <c r="P96" s="48"/>
      <c r="Q96" s="71"/>
      <c r="R96" s="48"/>
      <c r="S96" s="71"/>
      <c r="T96" s="48"/>
      <c r="U96" s="71"/>
      <c r="V96" s="48"/>
      <c r="W96" s="71"/>
      <c r="X96" s="48"/>
      <c r="Y96" s="71"/>
      <c r="Z96" s="48"/>
      <c r="AA96" s="72"/>
      <c r="AB96" s="382"/>
      <c r="AC96" s="371">
        <f t="shared" si="3"/>
        <v>0</v>
      </c>
      <c r="AE96" s="498"/>
    </row>
    <row r="97" spans="1:31" x14ac:dyDescent="0.25">
      <c r="A97" s="73"/>
      <c r="B97" s="70"/>
      <c r="C97" s="71"/>
      <c r="D97" s="48"/>
      <c r="E97" s="71"/>
      <c r="F97" s="48"/>
      <c r="G97" s="71"/>
      <c r="H97" s="48"/>
      <c r="I97" s="71"/>
      <c r="J97" s="48"/>
      <c r="K97" s="71"/>
      <c r="L97" s="48"/>
      <c r="M97" s="71"/>
      <c r="N97" s="48"/>
      <c r="O97" s="71"/>
      <c r="P97" s="48"/>
      <c r="Q97" s="71"/>
      <c r="R97" s="48"/>
      <c r="S97" s="71"/>
      <c r="T97" s="48"/>
      <c r="U97" s="71"/>
      <c r="V97" s="48"/>
      <c r="W97" s="71"/>
      <c r="X97" s="48"/>
      <c r="Y97" s="71"/>
      <c r="Z97" s="48"/>
      <c r="AA97" s="72"/>
      <c r="AB97" s="382"/>
      <c r="AC97" s="371">
        <f t="shared" si="3"/>
        <v>0</v>
      </c>
      <c r="AE97" s="498"/>
    </row>
    <row r="98" spans="1:31" x14ac:dyDescent="0.25">
      <c r="A98" s="73"/>
      <c r="B98" s="70"/>
      <c r="C98" s="71"/>
      <c r="D98" s="48"/>
      <c r="E98" s="71"/>
      <c r="F98" s="48"/>
      <c r="G98" s="71"/>
      <c r="H98" s="48"/>
      <c r="I98" s="71"/>
      <c r="J98" s="48"/>
      <c r="K98" s="71"/>
      <c r="L98" s="48"/>
      <c r="M98" s="71"/>
      <c r="N98" s="48"/>
      <c r="O98" s="71"/>
      <c r="P98" s="48"/>
      <c r="Q98" s="71"/>
      <c r="R98" s="48"/>
      <c r="S98" s="71"/>
      <c r="T98" s="48"/>
      <c r="U98" s="71"/>
      <c r="V98" s="48"/>
      <c r="W98" s="71"/>
      <c r="X98" s="48"/>
      <c r="Y98" s="71"/>
      <c r="Z98" s="48"/>
      <c r="AA98" s="72"/>
      <c r="AB98" s="382"/>
      <c r="AC98" s="371">
        <f t="shared" si="3"/>
        <v>0</v>
      </c>
      <c r="AE98" s="498"/>
    </row>
    <row r="99" spans="1:31" x14ac:dyDescent="0.25">
      <c r="A99" s="73"/>
      <c r="B99" s="70"/>
      <c r="C99" s="71"/>
      <c r="D99" s="48"/>
      <c r="E99" s="71"/>
      <c r="F99" s="48"/>
      <c r="G99" s="71"/>
      <c r="H99" s="48"/>
      <c r="I99" s="71"/>
      <c r="J99" s="48"/>
      <c r="K99" s="71"/>
      <c r="L99" s="48"/>
      <c r="M99" s="71"/>
      <c r="N99" s="48"/>
      <c r="O99" s="71"/>
      <c r="P99" s="48"/>
      <c r="Q99" s="71"/>
      <c r="R99" s="48"/>
      <c r="S99" s="71"/>
      <c r="T99" s="48"/>
      <c r="U99" s="71"/>
      <c r="V99" s="48"/>
      <c r="W99" s="71"/>
      <c r="X99" s="48"/>
      <c r="Y99" s="71"/>
      <c r="Z99" s="48"/>
      <c r="AA99" s="72"/>
      <c r="AB99" s="382"/>
      <c r="AC99" s="371">
        <f t="shared" si="3"/>
        <v>0</v>
      </c>
      <c r="AE99" s="498"/>
    </row>
    <row r="100" spans="1:31" x14ac:dyDescent="0.25">
      <c r="A100" s="73"/>
      <c r="B100" s="70"/>
      <c r="C100" s="71"/>
      <c r="D100" s="48"/>
      <c r="E100" s="71"/>
      <c r="F100" s="48"/>
      <c r="G100" s="71"/>
      <c r="H100" s="48"/>
      <c r="I100" s="71"/>
      <c r="J100" s="48"/>
      <c r="K100" s="71"/>
      <c r="L100" s="48"/>
      <c r="M100" s="71"/>
      <c r="N100" s="48"/>
      <c r="O100" s="71"/>
      <c r="P100" s="48"/>
      <c r="Q100" s="71"/>
      <c r="R100" s="48"/>
      <c r="S100" s="71"/>
      <c r="T100" s="48"/>
      <c r="U100" s="71"/>
      <c r="V100" s="48"/>
      <c r="W100" s="71"/>
      <c r="X100" s="48"/>
      <c r="Y100" s="71"/>
      <c r="Z100" s="48"/>
      <c r="AA100" s="72"/>
      <c r="AB100" s="382"/>
      <c r="AC100" s="371">
        <f t="shared" si="3"/>
        <v>0</v>
      </c>
      <c r="AE100" s="498"/>
    </row>
    <row r="101" spans="1:31" x14ac:dyDescent="0.25">
      <c r="A101" s="73"/>
      <c r="B101" s="70"/>
      <c r="C101" s="71"/>
      <c r="D101" s="48"/>
      <c r="E101" s="71"/>
      <c r="F101" s="48"/>
      <c r="G101" s="71"/>
      <c r="H101" s="48"/>
      <c r="I101" s="71"/>
      <c r="J101" s="48"/>
      <c r="K101" s="71"/>
      <c r="L101" s="48"/>
      <c r="M101" s="71"/>
      <c r="N101" s="48"/>
      <c r="O101" s="71"/>
      <c r="P101" s="48"/>
      <c r="Q101" s="71"/>
      <c r="R101" s="48"/>
      <c r="S101" s="71"/>
      <c r="T101" s="48"/>
      <c r="U101" s="71"/>
      <c r="V101" s="48"/>
      <c r="W101" s="71"/>
      <c r="X101" s="48"/>
      <c r="Y101" s="71"/>
      <c r="Z101" s="48"/>
      <c r="AA101" s="72"/>
      <c r="AB101" s="382"/>
      <c r="AC101" s="371">
        <f t="shared" si="3"/>
        <v>0</v>
      </c>
      <c r="AE101" s="498"/>
    </row>
    <row r="102" spans="1:31" x14ac:dyDescent="0.25">
      <c r="A102" s="73"/>
      <c r="B102" s="70"/>
      <c r="C102" s="71"/>
      <c r="D102" s="48"/>
      <c r="E102" s="71"/>
      <c r="F102" s="48"/>
      <c r="G102" s="71"/>
      <c r="H102" s="48"/>
      <c r="I102" s="71"/>
      <c r="J102" s="48"/>
      <c r="K102" s="71"/>
      <c r="L102" s="48"/>
      <c r="M102" s="71"/>
      <c r="N102" s="48"/>
      <c r="O102" s="71"/>
      <c r="P102" s="48"/>
      <c r="Q102" s="71"/>
      <c r="R102" s="48"/>
      <c r="S102" s="71"/>
      <c r="T102" s="48"/>
      <c r="U102" s="71"/>
      <c r="V102" s="48"/>
      <c r="W102" s="71"/>
      <c r="X102" s="48"/>
      <c r="Y102" s="71"/>
      <c r="Z102" s="48"/>
      <c r="AA102" s="72"/>
      <c r="AB102" s="382"/>
      <c r="AC102" s="371">
        <f t="shared" si="3"/>
        <v>0</v>
      </c>
      <c r="AE102" s="498"/>
    </row>
    <row r="103" spans="1:31" x14ac:dyDescent="0.25">
      <c r="A103" s="73"/>
      <c r="B103" s="70"/>
      <c r="C103" s="71"/>
      <c r="D103" s="48"/>
      <c r="E103" s="71"/>
      <c r="F103" s="48"/>
      <c r="G103" s="71"/>
      <c r="H103" s="48"/>
      <c r="I103" s="71"/>
      <c r="J103" s="48"/>
      <c r="K103" s="71"/>
      <c r="L103" s="48"/>
      <c r="M103" s="71"/>
      <c r="N103" s="48"/>
      <c r="O103" s="71"/>
      <c r="P103" s="48"/>
      <c r="Q103" s="71"/>
      <c r="R103" s="48"/>
      <c r="S103" s="71"/>
      <c r="T103" s="48"/>
      <c r="U103" s="71"/>
      <c r="V103" s="48"/>
      <c r="W103" s="71"/>
      <c r="X103" s="48"/>
      <c r="Y103" s="71"/>
      <c r="Z103" s="48"/>
      <c r="AA103" s="72"/>
      <c r="AB103" s="382"/>
      <c r="AC103" s="371">
        <f t="shared" ref="AC103:AC122" si="5">D103+F103+H103+J103+L103+N103+P103+R103+T103+V103</f>
        <v>0</v>
      </c>
      <c r="AE103" s="498"/>
    </row>
    <row r="104" spans="1:31" x14ac:dyDescent="0.25">
      <c r="A104" s="73"/>
      <c r="B104" s="70"/>
      <c r="C104" s="71"/>
      <c r="D104" s="48"/>
      <c r="E104" s="71"/>
      <c r="F104" s="48"/>
      <c r="G104" s="71"/>
      <c r="H104" s="48"/>
      <c r="I104" s="71"/>
      <c r="J104" s="48"/>
      <c r="K104" s="71"/>
      <c r="L104" s="48"/>
      <c r="M104" s="71"/>
      <c r="N104" s="48"/>
      <c r="O104" s="71"/>
      <c r="P104" s="48"/>
      <c r="Q104" s="71"/>
      <c r="R104" s="48"/>
      <c r="S104" s="71"/>
      <c r="T104" s="48"/>
      <c r="U104" s="71"/>
      <c r="V104" s="48"/>
      <c r="W104" s="71"/>
      <c r="X104" s="48"/>
      <c r="Y104" s="71"/>
      <c r="Z104" s="48"/>
      <c r="AA104" s="72"/>
      <c r="AB104" s="382"/>
      <c r="AC104" s="371">
        <f t="shared" si="5"/>
        <v>0</v>
      </c>
      <c r="AE104" s="498"/>
    </row>
    <row r="105" spans="1:31" x14ac:dyDescent="0.25">
      <c r="A105" s="73"/>
      <c r="B105" s="70"/>
      <c r="C105" s="71"/>
      <c r="D105" s="48"/>
      <c r="E105" s="71"/>
      <c r="F105" s="48"/>
      <c r="G105" s="71"/>
      <c r="H105" s="48"/>
      <c r="I105" s="71"/>
      <c r="J105" s="48"/>
      <c r="K105" s="71"/>
      <c r="L105" s="48"/>
      <c r="M105" s="71"/>
      <c r="N105" s="48"/>
      <c r="O105" s="71"/>
      <c r="P105" s="48"/>
      <c r="Q105" s="71"/>
      <c r="R105" s="48"/>
      <c r="S105" s="71"/>
      <c r="T105" s="48"/>
      <c r="U105" s="71"/>
      <c r="V105" s="48"/>
      <c r="W105" s="71"/>
      <c r="X105" s="48"/>
      <c r="Y105" s="71"/>
      <c r="Z105" s="48"/>
      <c r="AA105" s="72"/>
      <c r="AB105" s="382"/>
      <c r="AC105" s="371">
        <f t="shared" si="5"/>
        <v>0</v>
      </c>
      <c r="AE105" s="498"/>
    </row>
    <row r="106" spans="1:31" x14ac:dyDescent="0.25">
      <c r="A106" s="73"/>
      <c r="B106" s="70"/>
      <c r="C106" s="71"/>
      <c r="D106" s="48"/>
      <c r="E106" s="71"/>
      <c r="F106" s="48"/>
      <c r="G106" s="71"/>
      <c r="H106" s="48"/>
      <c r="I106" s="71"/>
      <c r="J106" s="48"/>
      <c r="K106" s="71"/>
      <c r="L106" s="48"/>
      <c r="M106" s="71"/>
      <c r="N106" s="48"/>
      <c r="O106" s="71"/>
      <c r="P106" s="48"/>
      <c r="Q106" s="71"/>
      <c r="R106" s="48"/>
      <c r="S106" s="71"/>
      <c r="T106" s="48"/>
      <c r="U106" s="71"/>
      <c r="V106" s="48"/>
      <c r="W106" s="71"/>
      <c r="X106" s="48"/>
      <c r="Y106" s="71"/>
      <c r="Z106" s="48"/>
      <c r="AA106" s="72"/>
      <c r="AB106" s="382"/>
      <c r="AC106" s="371">
        <f t="shared" si="5"/>
        <v>0</v>
      </c>
      <c r="AE106" s="498"/>
    </row>
    <row r="107" spans="1:31" x14ac:dyDescent="0.25">
      <c r="A107" s="73"/>
      <c r="B107" s="70"/>
      <c r="C107" s="71"/>
      <c r="D107" s="48"/>
      <c r="E107" s="71"/>
      <c r="F107" s="48"/>
      <c r="G107" s="71"/>
      <c r="H107" s="48"/>
      <c r="I107" s="71"/>
      <c r="J107" s="48"/>
      <c r="K107" s="71"/>
      <c r="L107" s="48"/>
      <c r="M107" s="71"/>
      <c r="N107" s="48"/>
      <c r="O107" s="71"/>
      <c r="P107" s="48"/>
      <c r="Q107" s="71"/>
      <c r="R107" s="48"/>
      <c r="S107" s="71"/>
      <c r="T107" s="48"/>
      <c r="U107" s="71"/>
      <c r="V107" s="48"/>
      <c r="W107" s="71"/>
      <c r="X107" s="48"/>
      <c r="Y107" s="71"/>
      <c r="Z107" s="48"/>
      <c r="AA107" s="72"/>
      <c r="AB107" s="382"/>
      <c r="AC107" s="371">
        <f t="shared" si="5"/>
        <v>0</v>
      </c>
      <c r="AE107" s="498"/>
    </row>
    <row r="108" spans="1:31" x14ac:dyDescent="0.25">
      <c r="A108" s="73"/>
      <c r="B108" s="70"/>
      <c r="C108" s="71"/>
      <c r="D108" s="48"/>
      <c r="E108" s="71"/>
      <c r="F108" s="48"/>
      <c r="G108" s="71"/>
      <c r="H108" s="48"/>
      <c r="I108" s="71"/>
      <c r="J108" s="48"/>
      <c r="K108" s="71"/>
      <c r="L108" s="48"/>
      <c r="M108" s="71"/>
      <c r="N108" s="48"/>
      <c r="O108" s="71"/>
      <c r="P108" s="48"/>
      <c r="Q108" s="71"/>
      <c r="R108" s="48"/>
      <c r="S108" s="71"/>
      <c r="T108" s="48"/>
      <c r="U108" s="71"/>
      <c r="V108" s="48"/>
      <c r="W108" s="71"/>
      <c r="X108" s="48"/>
      <c r="Y108" s="71"/>
      <c r="Z108" s="48"/>
      <c r="AA108" s="72"/>
      <c r="AB108" s="382"/>
      <c r="AC108" s="371">
        <f t="shared" si="5"/>
        <v>0</v>
      </c>
      <c r="AE108" s="498"/>
    </row>
    <row r="109" spans="1:31" x14ac:dyDescent="0.25">
      <c r="A109" s="73"/>
      <c r="B109" s="70"/>
      <c r="C109" s="71"/>
      <c r="D109" s="48"/>
      <c r="E109" s="71"/>
      <c r="F109" s="48"/>
      <c r="G109" s="71"/>
      <c r="H109" s="48"/>
      <c r="I109" s="71"/>
      <c r="J109" s="48"/>
      <c r="K109" s="71"/>
      <c r="L109" s="48"/>
      <c r="M109" s="71"/>
      <c r="N109" s="48"/>
      <c r="O109" s="71"/>
      <c r="P109" s="48"/>
      <c r="Q109" s="71"/>
      <c r="R109" s="48"/>
      <c r="S109" s="71"/>
      <c r="T109" s="48"/>
      <c r="U109" s="71"/>
      <c r="V109" s="48"/>
      <c r="W109" s="71"/>
      <c r="X109" s="48"/>
      <c r="Y109" s="71"/>
      <c r="Z109" s="48"/>
      <c r="AA109" s="72"/>
      <c r="AB109" s="382"/>
      <c r="AC109" s="371">
        <f t="shared" si="5"/>
        <v>0</v>
      </c>
      <c r="AE109" s="498"/>
    </row>
    <row r="110" spans="1:31" x14ac:dyDescent="0.25">
      <c r="A110" s="73"/>
      <c r="B110" s="70"/>
      <c r="C110" s="71"/>
      <c r="D110" s="48"/>
      <c r="E110" s="71"/>
      <c r="F110" s="48"/>
      <c r="G110" s="71"/>
      <c r="H110" s="48"/>
      <c r="I110" s="71"/>
      <c r="J110" s="48"/>
      <c r="K110" s="71"/>
      <c r="L110" s="48"/>
      <c r="M110" s="71"/>
      <c r="N110" s="48"/>
      <c r="O110" s="71"/>
      <c r="P110" s="48"/>
      <c r="Q110" s="71"/>
      <c r="R110" s="48"/>
      <c r="S110" s="71"/>
      <c r="T110" s="48"/>
      <c r="U110" s="71"/>
      <c r="V110" s="48"/>
      <c r="W110" s="71"/>
      <c r="X110" s="48"/>
      <c r="Y110" s="71"/>
      <c r="Z110" s="48"/>
      <c r="AA110" s="72"/>
      <c r="AB110" s="382"/>
      <c r="AC110" s="371">
        <f t="shared" si="5"/>
        <v>0</v>
      </c>
      <c r="AE110" s="498"/>
    </row>
    <row r="111" spans="1:31" x14ac:dyDescent="0.25">
      <c r="A111" s="73"/>
      <c r="B111" s="70"/>
      <c r="C111" s="71"/>
      <c r="D111" s="48"/>
      <c r="E111" s="71"/>
      <c r="F111" s="48"/>
      <c r="G111" s="71"/>
      <c r="H111" s="48"/>
      <c r="I111" s="71"/>
      <c r="J111" s="48"/>
      <c r="K111" s="71"/>
      <c r="L111" s="48"/>
      <c r="M111" s="71"/>
      <c r="N111" s="48"/>
      <c r="O111" s="71"/>
      <c r="P111" s="48"/>
      <c r="Q111" s="71"/>
      <c r="R111" s="48"/>
      <c r="S111" s="71"/>
      <c r="T111" s="48"/>
      <c r="U111" s="71"/>
      <c r="V111" s="48"/>
      <c r="W111" s="71"/>
      <c r="X111" s="48"/>
      <c r="Y111" s="71"/>
      <c r="Z111" s="48"/>
      <c r="AA111" s="72"/>
      <c r="AB111" s="382"/>
      <c r="AC111" s="371">
        <f t="shared" si="5"/>
        <v>0</v>
      </c>
      <c r="AE111" s="498"/>
    </row>
    <row r="112" spans="1:31" x14ac:dyDescent="0.25">
      <c r="A112" s="73"/>
      <c r="B112" s="70"/>
      <c r="C112" s="71"/>
      <c r="D112" s="48"/>
      <c r="E112" s="71"/>
      <c r="F112" s="48"/>
      <c r="G112" s="71"/>
      <c r="H112" s="48"/>
      <c r="I112" s="71"/>
      <c r="J112" s="48"/>
      <c r="K112" s="71"/>
      <c r="L112" s="48"/>
      <c r="M112" s="71"/>
      <c r="N112" s="48"/>
      <c r="O112" s="71"/>
      <c r="P112" s="48"/>
      <c r="Q112" s="71"/>
      <c r="R112" s="48"/>
      <c r="S112" s="71"/>
      <c r="T112" s="48"/>
      <c r="U112" s="71"/>
      <c r="V112" s="48"/>
      <c r="W112" s="71"/>
      <c r="X112" s="48"/>
      <c r="Y112" s="71"/>
      <c r="Z112" s="48"/>
      <c r="AA112" s="72"/>
      <c r="AB112" s="382"/>
      <c r="AC112" s="371">
        <f t="shared" si="5"/>
        <v>0</v>
      </c>
      <c r="AE112" s="498"/>
    </row>
    <row r="113" spans="1:31" x14ac:dyDescent="0.25">
      <c r="A113" s="73"/>
      <c r="B113" s="70"/>
      <c r="C113" s="71"/>
      <c r="D113" s="48"/>
      <c r="E113" s="71"/>
      <c r="F113" s="48"/>
      <c r="G113" s="71"/>
      <c r="H113" s="48"/>
      <c r="I113" s="71"/>
      <c r="J113" s="48"/>
      <c r="K113" s="71"/>
      <c r="L113" s="48"/>
      <c r="M113" s="71"/>
      <c r="N113" s="48"/>
      <c r="O113" s="71"/>
      <c r="P113" s="48"/>
      <c r="Q113" s="71"/>
      <c r="R113" s="48"/>
      <c r="S113" s="71"/>
      <c r="T113" s="48"/>
      <c r="U113" s="71"/>
      <c r="V113" s="48"/>
      <c r="W113" s="71"/>
      <c r="X113" s="48"/>
      <c r="Y113" s="71"/>
      <c r="Z113" s="48"/>
      <c r="AA113" s="72"/>
      <c r="AB113" s="382"/>
      <c r="AC113" s="371">
        <f t="shared" si="5"/>
        <v>0</v>
      </c>
      <c r="AE113" s="498"/>
    </row>
    <row r="114" spans="1:31" x14ac:dyDescent="0.25">
      <c r="A114" s="73"/>
      <c r="B114" s="70"/>
      <c r="C114" s="71"/>
      <c r="D114" s="48"/>
      <c r="E114" s="71"/>
      <c r="F114" s="48"/>
      <c r="G114" s="71"/>
      <c r="H114" s="48"/>
      <c r="I114" s="71"/>
      <c r="J114" s="48"/>
      <c r="K114" s="71"/>
      <c r="L114" s="48"/>
      <c r="M114" s="71"/>
      <c r="N114" s="48"/>
      <c r="O114" s="71"/>
      <c r="P114" s="48"/>
      <c r="Q114" s="71"/>
      <c r="R114" s="48"/>
      <c r="S114" s="71"/>
      <c r="T114" s="48"/>
      <c r="U114" s="71"/>
      <c r="V114" s="48"/>
      <c r="W114" s="71"/>
      <c r="X114" s="48"/>
      <c r="Y114" s="71"/>
      <c r="Z114" s="48"/>
      <c r="AA114" s="72"/>
      <c r="AB114" s="382"/>
      <c r="AC114" s="371">
        <f t="shared" si="5"/>
        <v>0</v>
      </c>
      <c r="AE114" s="498"/>
    </row>
    <row r="115" spans="1:31" x14ac:dyDescent="0.25">
      <c r="A115" s="73"/>
      <c r="B115" s="70"/>
      <c r="C115" s="71"/>
      <c r="D115" s="48"/>
      <c r="E115" s="71"/>
      <c r="F115" s="48"/>
      <c r="G115" s="71"/>
      <c r="H115" s="48"/>
      <c r="I115" s="71"/>
      <c r="J115" s="48"/>
      <c r="K115" s="71"/>
      <c r="L115" s="48"/>
      <c r="M115" s="71"/>
      <c r="N115" s="48"/>
      <c r="O115" s="71"/>
      <c r="P115" s="48"/>
      <c r="Q115" s="71"/>
      <c r="R115" s="48"/>
      <c r="S115" s="71"/>
      <c r="T115" s="48"/>
      <c r="U115" s="71"/>
      <c r="V115" s="48"/>
      <c r="W115" s="71"/>
      <c r="X115" s="48"/>
      <c r="Y115" s="71"/>
      <c r="Z115" s="48"/>
      <c r="AA115" s="72"/>
      <c r="AB115" s="382"/>
      <c r="AC115" s="371">
        <f t="shared" si="5"/>
        <v>0</v>
      </c>
      <c r="AE115" s="498"/>
    </row>
    <row r="116" spans="1:31" x14ac:dyDescent="0.25">
      <c r="A116" s="73"/>
      <c r="B116" s="70"/>
      <c r="C116" s="71"/>
      <c r="D116" s="48"/>
      <c r="E116" s="71"/>
      <c r="F116" s="48"/>
      <c r="G116" s="71"/>
      <c r="H116" s="48"/>
      <c r="I116" s="71"/>
      <c r="J116" s="48"/>
      <c r="K116" s="71"/>
      <c r="L116" s="48"/>
      <c r="M116" s="71"/>
      <c r="N116" s="48"/>
      <c r="O116" s="71"/>
      <c r="P116" s="48"/>
      <c r="Q116" s="71"/>
      <c r="R116" s="48"/>
      <c r="S116" s="71"/>
      <c r="T116" s="48"/>
      <c r="U116" s="71"/>
      <c r="V116" s="48"/>
      <c r="W116" s="71"/>
      <c r="X116" s="48"/>
      <c r="Y116" s="71"/>
      <c r="Z116" s="48"/>
      <c r="AA116" s="72"/>
      <c r="AB116" s="382"/>
      <c r="AC116" s="371">
        <f t="shared" si="5"/>
        <v>0</v>
      </c>
      <c r="AE116" s="498"/>
    </row>
    <row r="117" spans="1:31" x14ac:dyDescent="0.25">
      <c r="A117" s="73"/>
      <c r="B117" s="70"/>
      <c r="C117" s="71"/>
      <c r="D117" s="48"/>
      <c r="E117" s="71"/>
      <c r="F117" s="48"/>
      <c r="G117" s="71"/>
      <c r="H117" s="48"/>
      <c r="I117" s="71"/>
      <c r="J117" s="48"/>
      <c r="K117" s="71"/>
      <c r="L117" s="48"/>
      <c r="M117" s="71"/>
      <c r="N117" s="48"/>
      <c r="O117" s="71"/>
      <c r="P117" s="48"/>
      <c r="Q117" s="71"/>
      <c r="R117" s="48"/>
      <c r="S117" s="71"/>
      <c r="T117" s="48"/>
      <c r="U117" s="71"/>
      <c r="V117" s="48"/>
      <c r="W117" s="71"/>
      <c r="X117" s="48"/>
      <c r="Y117" s="71"/>
      <c r="Z117" s="48"/>
      <c r="AA117" s="72"/>
      <c r="AB117" s="382"/>
      <c r="AC117" s="371">
        <f t="shared" si="5"/>
        <v>0</v>
      </c>
      <c r="AE117" s="498"/>
    </row>
    <row r="118" spans="1:31" x14ac:dyDescent="0.25">
      <c r="A118" s="73"/>
      <c r="B118" s="70"/>
      <c r="C118" s="71"/>
      <c r="D118" s="48"/>
      <c r="E118" s="71"/>
      <c r="F118" s="48"/>
      <c r="G118" s="71"/>
      <c r="H118" s="48"/>
      <c r="I118" s="71"/>
      <c r="J118" s="48"/>
      <c r="K118" s="71"/>
      <c r="L118" s="48"/>
      <c r="M118" s="71"/>
      <c r="N118" s="48"/>
      <c r="O118" s="71"/>
      <c r="P118" s="48"/>
      <c r="Q118" s="71"/>
      <c r="R118" s="48"/>
      <c r="S118" s="71"/>
      <c r="T118" s="48"/>
      <c r="U118" s="71"/>
      <c r="V118" s="48"/>
      <c r="W118" s="71"/>
      <c r="X118" s="48"/>
      <c r="Y118" s="71"/>
      <c r="Z118" s="48"/>
      <c r="AA118" s="72"/>
      <c r="AB118" s="382"/>
      <c r="AC118" s="371">
        <f t="shared" si="5"/>
        <v>0</v>
      </c>
      <c r="AE118" s="498"/>
    </row>
    <row r="119" spans="1:31" x14ac:dyDescent="0.25">
      <c r="A119" s="73"/>
      <c r="B119" s="70"/>
      <c r="C119" s="71"/>
      <c r="D119" s="48"/>
      <c r="E119" s="71"/>
      <c r="F119" s="48"/>
      <c r="G119" s="71"/>
      <c r="H119" s="48"/>
      <c r="I119" s="71"/>
      <c r="J119" s="48"/>
      <c r="K119" s="71"/>
      <c r="L119" s="48"/>
      <c r="M119" s="71"/>
      <c r="N119" s="48"/>
      <c r="O119" s="71"/>
      <c r="P119" s="48"/>
      <c r="Q119" s="71"/>
      <c r="R119" s="48"/>
      <c r="S119" s="71"/>
      <c r="T119" s="48"/>
      <c r="U119" s="71"/>
      <c r="V119" s="48"/>
      <c r="W119" s="71"/>
      <c r="X119" s="48"/>
      <c r="Y119" s="71"/>
      <c r="Z119" s="48"/>
      <c r="AA119" s="72"/>
      <c r="AB119" s="382"/>
      <c r="AC119" s="371">
        <f t="shared" si="5"/>
        <v>0</v>
      </c>
      <c r="AE119" s="498"/>
    </row>
    <row r="120" spans="1:31" x14ac:dyDescent="0.25">
      <c r="A120" s="73"/>
      <c r="B120" s="70"/>
      <c r="C120" s="71"/>
      <c r="D120" s="48"/>
      <c r="E120" s="71"/>
      <c r="F120" s="48"/>
      <c r="G120" s="71"/>
      <c r="H120" s="48"/>
      <c r="I120" s="71"/>
      <c r="J120" s="48"/>
      <c r="K120" s="71"/>
      <c r="L120" s="48"/>
      <c r="M120" s="71"/>
      <c r="N120" s="48"/>
      <c r="O120" s="71"/>
      <c r="P120" s="48"/>
      <c r="Q120" s="71"/>
      <c r="R120" s="48"/>
      <c r="S120" s="71"/>
      <c r="T120" s="48"/>
      <c r="U120" s="71"/>
      <c r="V120" s="48"/>
      <c r="W120" s="71"/>
      <c r="X120" s="48"/>
      <c r="Y120" s="71"/>
      <c r="Z120" s="48"/>
      <c r="AA120" s="72"/>
      <c r="AB120" s="382"/>
      <c r="AC120" s="371">
        <f t="shared" si="5"/>
        <v>0</v>
      </c>
      <c r="AE120" s="498"/>
    </row>
    <row r="121" spans="1:31" x14ac:dyDescent="0.25">
      <c r="A121" s="73"/>
      <c r="B121" s="70"/>
      <c r="C121" s="71"/>
      <c r="D121" s="48"/>
      <c r="E121" s="71"/>
      <c r="F121" s="48"/>
      <c r="G121" s="71"/>
      <c r="H121" s="48"/>
      <c r="I121" s="71"/>
      <c r="J121" s="48"/>
      <c r="K121" s="71"/>
      <c r="L121" s="48"/>
      <c r="M121" s="71"/>
      <c r="N121" s="48"/>
      <c r="O121" s="71"/>
      <c r="P121" s="48"/>
      <c r="Q121" s="71"/>
      <c r="R121" s="48"/>
      <c r="S121" s="71"/>
      <c r="T121" s="48"/>
      <c r="U121" s="71"/>
      <c r="V121" s="48"/>
      <c r="W121" s="71"/>
      <c r="X121" s="48"/>
      <c r="Y121" s="71"/>
      <c r="Z121" s="48"/>
      <c r="AA121" s="72"/>
      <c r="AB121" s="382"/>
      <c r="AC121" s="371">
        <f t="shared" si="5"/>
        <v>0</v>
      </c>
      <c r="AE121" s="498"/>
    </row>
    <row r="122" spans="1:31" x14ac:dyDescent="0.25">
      <c r="A122" s="73"/>
      <c r="B122" s="70"/>
      <c r="C122" s="71"/>
      <c r="D122" s="48"/>
      <c r="E122" s="71"/>
      <c r="F122" s="48"/>
      <c r="G122" s="71"/>
      <c r="H122" s="48"/>
      <c r="I122" s="71"/>
      <c r="J122" s="48"/>
      <c r="K122" s="71"/>
      <c r="L122" s="48"/>
      <c r="M122" s="71"/>
      <c r="N122" s="48"/>
      <c r="O122" s="71"/>
      <c r="P122" s="48"/>
      <c r="Q122" s="71"/>
      <c r="R122" s="48"/>
      <c r="S122" s="71"/>
      <c r="T122" s="48"/>
      <c r="U122" s="71"/>
      <c r="V122" s="48"/>
      <c r="W122" s="71"/>
      <c r="X122" s="48"/>
      <c r="Y122" s="71"/>
      <c r="Z122" s="48"/>
      <c r="AA122" s="72"/>
      <c r="AB122" s="382"/>
      <c r="AC122" s="371">
        <f t="shared" si="5"/>
        <v>0</v>
      </c>
      <c r="AE122" s="498"/>
    </row>
    <row r="123" spans="1:31" ht="15.75" thickBot="1" x14ac:dyDescent="0.3">
      <c r="A123" s="13"/>
      <c r="B123" s="14"/>
      <c r="C123" s="15"/>
      <c r="D123" s="17"/>
      <c r="E123" s="15"/>
      <c r="F123" s="17"/>
      <c r="G123" s="15"/>
      <c r="H123" s="17"/>
      <c r="I123" s="15"/>
      <c r="J123" s="17"/>
      <c r="K123" s="15"/>
      <c r="L123" s="17"/>
      <c r="M123" s="15"/>
      <c r="N123" s="17"/>
      <c r="O123" s="15"/>
      <c r="P123" s="17"/>
      <c r="Q123" s="15"/>
      <c r="R123" s="17"/>
      <c r="S123" s="15"/>
      <c r="T123" s="17"/>
      <c r="U123" s="15"/>
      <c r="V123" s="17"/>
      <c r="W123" s="15"/>
      <c r="X123" s="17"/>
      <c r="Y123" s="15"/>
      <c r="Z123" s="17"/>
      <c r="AA123" s="15" t="s">
        <v>4</v>
      </c>
      <c r="AB123" s="17"/>
      <c r="AC123" s="373"/>
      <c r="AE123" s="498"/>
    </row>
    <row r="124" spans="1:31" ht="15.75" thickTop="1" x14ac:dyDescent="0.25">
      <c r="AC124" s="374"/>
    </row>
    <row r="125" spans="1:31" x14ac:dyDescent="0.25">
      <c r="AC125" s="374"/>
    </row>
    <row r="126" spans="1:31" x14ac:dyDescent="0.25">
      <c r="C126" s="19"/>
      <c r="D126" s="20"/>
      <c r="E126" s="19"/>
      <c r="F126" s="20"/>
      <c r="G126" s="19"/>
      <c r="H126" s="20"/>
      <c r="I126" s="19"/>
      <c r="J126" s="20"/>
      <c r="K126" s="19"/>
      <c r="L126" s="20"/>
      <c r="M126" s="19"/>
      <c r="N126" s="20"/>
      <c r="O126" s="19"/>
      <c r="P126" s="20"/>
      <c r="Q126" s="19"/>
      <c r="R126" s="20"/>
      <c r="S126" s="19"/>
      <c r="T126" s="20"/>
      <c r="U126" s="19"/>
      <c r="V126" s="20"/>
      <c r="W126" s="19"/>
      <c r="X126" s="20"/>
      <c r="Y126" s="21"/>
      <c r="Z126" s="20"/>
      <c r="AC126" s="31"/>
    </row>
    <row r="127" spans="1:31" x14ac:dyDescent="0.25">
      <c r="A127" s="31"/>
      <c r="C127" s="19"/>
      <c r="D127" s="20"/>
      <c r="E127" s="19"/>
      <c r="F127" s="20"/>
      <c r="G127" s="19"/>
      <c r="H127" s="20"/>
      <c r="I127" s="19"/>
      <c r="J127" s="20"/>
      <c r="K127" s="19"/>
      <c r="L127" s="20"/>
      <c r="M127" s="19"/>
      <c r="N127" s="20"/>
      <c r="O127" s="19"/>
      <c r="P127" s="20"/>
      <c r="Q127" s="19"/>
      <c r="R127" s="20"/>
      <c r="S127" s="19"/>
      <c r="T127" s="20"/>
      <c r="U127" s="19"/>
      <c r="V127" s="20"/>
      <c r="W127" s="19"/>
      <c r="X127" s="20"/>
      <c r="Y127" s="21"/>
      <c r="Z127" s="20"/>
      <c r="AB127" s="365">
        <v>0</v>
      </c>
      <c r="AC127" s="31"/>
    </row>
    <row r="128" spans="1:31" x14ac:dyDescent="0.25">
      <c r="A128" s="31"/>
      <c r="C128" s="19"/>
      <c r="D128" s="20"/>
      <c r="E128" s="19"/>
      <c r="F128" s="20"/>
      <c r="G128" s="19"/>
      <c r="H128" s="20"/>
      <c r="I128" s="19"/>
      <c r="J128" s="20"/>
      <c r="K128" s="19"/>
      <c r="L128" s="20"/>
      <c r="M128" s="19"/>
      <c r="N128" s="20"/>
      <c r="O128" s="19"/>
      <c r="P128" s="20"/>
      <c r="Q128" s="19"/>
      <c r="R128" s="20"/>
      <c r="S128" s="19"/>
      <c r="T128" s="20"/>
      <c r="U128" s="19"/>
      <c r="V128" s="20"/>
      <c r="W128" s="19"/>
      <c r="X128" s="20"/>
      <c r="Y128" s="21"/>
      <c r="Z128" s="20"/>
      <c r="AC128" s="31"/>
    </row>
    <row r="129" spans="1:29" x14ac:dyDescent="0.25">
      <c r="A129" s="31"/>
      <c r="C129" s="19"/>
      <c r="D129" s="20"/>
      <c r="E129" s="19"/>
      <c r="F129" s="20"/>
      <c r="G129" s="19"/>
      <c r="H129" s="20"/>
      <c r="I129" s="19"/>
      <c r="J129" s="20"/>
      <c r="K129" s="19"/>
      <c r="L129" s="20"/>
      <c r="M129" s="19"/>
      <c r="N129" s="20"/>
      <c r="O129" s="19"/>
      <c r="P129" s="20"/>
      <c r="Q129" s="19"/>
      <c r="R129" s="20"/>
      <c r="S129" s="19"/>
      <c r="T129" s="20"/>
      <c r="U129" s="19"/>
      <c r="V129" s="20"/>
      <c r="W129" s="19"/>
      <c r="X129" s="20"/>
      <c r="Y129" s="21"/>
      <c r="Z129" s="20"/>
      <c r="AB129" s="365">
        <v>0</v>
      </c>
      <c r="AC129" s="31"/>
    </row>
    <row r="130" spans="1:29" x14ac:dyDescent="0.25">
      <c r="A130" s="31"/>
      <c r="C130" s="19"/>
      <c r="D130" s="20"/>
      <c r="E130" s="19"/>
      <c r="F130" s="20"/>
      <c r="G130" s="19"/>
      <c r="H130" s="20"/>
      <c r="I130" s="19"/>
      <c r="J130" s="20"/>
      <c r="K130" s="19"/>
      <c r="L130" s="20"/>
      <c r="M130" s="19"/>
      <c r="N130" s="20"/>
      <c r="O130" s="19"/>
      <c r="P130" s="20"/>
      <c r="Q130" s="19"/>
      <c r="R130" s="20"/>
      <c r="S130" s="19"/>
      <c r="T130" s="20"/>
      <c r="U130" s="19"/>
      <c r="V130" s="20"/>
      <c r="W130" s="19"/>
      <c r="X130" s="20"/>
      <c r="Y130" s="21"/>
      <c r="Z130" s="20"/>
      <c r="AC130" s="31"/>
    </row>
    <row r="131" spans="1:29" x14ac:dyDescent="0.25">
      <c r="A131" s="31"/>
      <c r="C131" s="19"/>
      <c r="D131" s="20"/>
      <c r="E131" s="19"/>
      <c r="F131" s="20"/>
      <c r="G131" s="19"/>
      <c r="H131" s="20"/>
      <c r="I131" s="19"/>
      <c r="J131" s="20"/>
      <c r="K131" s="19"/>
      <c r="L131" s="20"/>
      <c r="M131" s="19"/>
      <c r="N131" s="20"/>
      <c r="O131" s="19"/>
      <c r="P131" s="20"/>
      <c r="Q131" s="19"/>
      <c r="R131" s="20"/>
      <c r="S131" s="19"/>
      <c r="T131" s="20"/>
      <c r="U131" s="19"/>
      <c r="V131" s="20"/>
      <c r="W131" s="19"/>
      <c r="X131" s="20"/>
      <c r="Y131" s="21"/>
      <c r="Z131" s="20"/>
      <c r="AB131" s="365">
        <v>0</v>
      </c>
      <c r="AC131" s="31"/>
    </row>
    <row r="132" spans="1:29" x14ac:dyDescent="0.25">
      <c r="A132" s="31"/>
      <c r="C132" s="19"/>
      <c r="D132" s="20"/>
      <c r="E132" s="19"/>
      <c r="F132" s="20"/>
      <c r="G132" s="19"/>
      <c r="H132" s="20"/>
      <c r="I132" s="19"/>
      <c r="J132" s="20"/>
      <c r="K132" s="19"/>
      <c r="L132" s="20"/>
      <c r="M132" s="19"/>
      <c r="N132" s="20"/>
      <c r="O132" s="19"/>
      <c r="P132" s="20"/>
      <c r="Q132" s="19"/>
      <c r="R132" s="20"/>
      <c r="S132" s="19"/>
      <c r="T132" s="20"/>
      <c r="U132" s="19"/>
      <c r="V132" s="20"/>
      <c r="W132" s="19"/>
      <c r="X132" s="20"/>
      <c r="Y132" s="21"/>
      <c r="Z132" s="20"/>
      <c r="AC132" s="31"/>
    </row>
  </sheetData>
  <sortState ref="A372:AC406">
    <sortCondition ref="A372:A406"/>
  </sortState>
  <mergeCells count="26">
    <mergeCell ref="AA1:AC1"/>
    <mergeCell ref="AA37:AC37"/>
    <mergeCell ref="U37:V37"/>
    <mergeCell ref="W37:X37"/>
    <mergeCell ref="Y37:Z37"/>
    <mergeCell ref="U1:V1"/>
    <mergeCell ref="W1:X1"/>
    <mergeCell ref="Y1:Z1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O1:P1"/>
    <mergeCell ref="Q1:R1"/>
    <mergeCell ref="S1:T1"/>
    <mergeCell ref="M1:N1"/>
    <mergeCell ref="C1:D1"/>
    <mergeCell ref="E1:F1"/>
    <mergeCell ref="G1:H1"/>
    <mergeCell ref="I1:J1"/>
    <mergeCell ref="K1:L1"/>
  </mergeCells>
  <pageMargins left="0" right="0" top="0" bottom="0" header="0" footer="0"/>
  <pageSetup paperSize="9" scale="59" orientation="landscape" r:id="rId1"/>
  <colBreaks count="1" manualBreakCount="1">
    <brk id="28" max="3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zoomScaleNormal="100" workbookViewId="0">
      <pane xSplit="2" ySplit="2" topLeftCell="L150" activePane="bottomRight" state="frozen"/>
      <selection sqref="A1:XFD1048576"/>
      <selection pane="topRight" sqref="A1:XFD1048576"/>
      <selection pane="bottomLeft" sqref="A1:XFD1048576"/>
      <selection pane="bottomRight" activeCell="AB30" sqref="AB30"/>
    </sheetView>
  </sheetViews>
  <sheetFormatPr defaultColWidth="9.140625" defaultRowHeight="15" x14ac:dyDescent="0.25"/>
  <cols>
    <col min="1" max="1" width="10.140625" style="18" customWidth="1"/>
    <col min="2" max="2" width="38.7109375" style="31" bestFit="1" customWidth="1"/>
    <col min="3" max="3" width="12.5703125" style="23" customWidth="1"/>
    <col min="4" max="4" width="13.42578125" style="24" bestFit="1" customWidth="1"/>
    <col min="5" max="5" width="12.5703125" style="23" customWidth="1"/>
    <col min="6" max="6" width="13.140625" style="24" customWidth="1"/>
    <col min="7" max="7" width="12.5703125" style="23" customWidth="1"/>
    <col min="8" max="8" width="13.42578125" style="24" customWidth="1"/>
    <col min="9" max="9" width="12.5703125" style="23" customWidth="1"/>
    <col min="10" max="10" width="13.5703125" style="24" customWidth="1"/>
    <col min="11" max="11" width="12.5703125" style="23" customWidth="1"/>
    <col min="12" max="12" width="13.42578125" style="24" customWidth="1"/>
    <col min="13" max="13" width="13.42578125" style="23" customWidth="1"/>
    <col min="14" max="14" width="13.42578125" style="24" customWidth="1"/>
    <col min="15" max="15" width="12.5703125" style="23" customWidth="1"/>
    <col min="16" max="16" width="13.42578125" style="24" customWidth="1"/>
    <col min="17" max="17" width="12.5703125" style="23" customWidth="1"/>
    <col min="18" max="18" width="13.42578125" style="24" customWidth="1"/>
    <col min="19" max="19" width="13.7109375" style="23" customWidth="1"/>
    <col min="20" max="20" width="13.42578125" style="24" customWidth="1"/>
    <col min="21" max="21" width="12.5703125" style="23" customWidth="1"/>
    <col min="22" max="22" width="13.42578125" style="24" customWidth="1"/>
    <col min="23" max="23" width="6.7109375" style="23" hidden="1" customWidth="1"/>
    <col min="24" max="24" width="13.42578125" style="24" customWidth="1"/>
    <col min="25" max="25" width="6.7109375" style="25" hidden="1" customWidth="1"/>
    <col min="26" max="26" width="13.42578125" style="24" customWidth="1"/>
    <col min="27" max="27" width="13.7109375" style="22" customWidth="1"/>
    <col min="28" max="28" width="16.85546875" style="365" customWidth="1"/>
    <col min="29" max="29" width="12" style="375" customWidth="1"/>
    <col min="30" max="16384" width="9.140625" style="31"/>
  </cols>
  <sheetData>
    <row r="1" spans="1:29" s="3" customFormat="1" ht="16.5" thickTop="1" thickBot="1" x14ac:dyDescent="0.3">
      <c r="A1" s="2" t="s">
        <v>167</v>
      </c>
      <c r="B1" s="39" t="s">
        <v>166</v>
      </c>
      <c r="C1" s="525">
        <v>41640</v>
      </c>
      <c r="D1" s="526"/>
      <c r="E1" s="527" t="s">
        <v>55</v>
      </c>
      <c r="F1" s="528"/>
      <c r="G1" s="529" t="s">
        <v>177</v>
      </c>
      <c r="H1" s="526"/>
      <c r="I1" s="527" t="s">
        <v>46</v>
      </c>
      <c r="J1" s="528"/>
      <c r="K1" s="529" t="s">
        <v>47</v>
      </c>
      <c r="L1" s="526"/>
      <c r="M1" s="527" t="s">
        <v>48</v>
      </c>
      <c r="N1" s="528"/>
      <c r="O1" s="529" t="s">
        <v>49</v>
      </c>
      <c r="P1" s="526"/>
      <c r="Q1" s="527" t="s">
        <v>50</v>
      </c>
      <c r="R1" s="528"/>
      <c r="S1" s="529" t="s">
        <v>51</v>
      </c>
      <c r="T1" s="526"/>
      <c r="U1" s="527" t="s">
        <v>52</v>
      </c>
      <c r="V1" s="528"/>
      <c r="W1" s="530" t="s">
        <v>53</v>
      </c>
      <c r="X1" s="526"/>
      <c r="Y1" s="527" t="s">
        <v>54</v>
      </c>
      <c r="Z1" s="528"/>
      <c r="AA1" s="531" t="s">
        <v>59</v>
      </c>
      <c r="AB1" s="532"/>
      <c r="AC1" s="533"/>
    </row>
    <row r="2" spans="1:29" s="8" customFormat="1" ht="15.75" thickBot="1" x14ac:dyDescent="0.3">
      <c r="A2" s="40"/>
      <c r="B2" s="41" t="s">
        <v>68</v>
      </c>
      <c r="C2" s="5" t="s">
        <v>2</v>
      </c>
      <c r="D2" s="6" t="s">
        <v>14</v>
      </c>
      <c r="E2" s="5" t="s">
        <v>2</v>
      </c>
      <c r="F2" s="6" t="s">
        <v>14</v>
      </c>
      <c r="G2" s="5" t="s">
        <v>2</v>
      </c>
      <c r="H2" s="6" t="s">
        <v>14</v>
      </c>
      <c r="I2" s="5" t="s">
        <v>2</v>
      </c>
      <c r="J2" s="6" t="s">
        <v>14</v>
      </c>
      <c r="K2" s="5" t="s">
        <v>2</v>
      </c>
      <c r="L2" s="6" t="s">
        <v>14</v>
      </c>
      <c r="M2" s="5" t="s">
        <v>2</v>
      </c>
      <c r="N2" s="6" t="s">
        <v>14</v>
      </c>
      <c r="O2" s="5" t="s">
        <v>2</v>
      </c>
      <c r="P2" s="6" t="s">
        <v>14</v>
      </c>
      <c r="Q2" s="5" t="s">
        <v>2</v>
      </c>
      <c r="R2" s="6" t="s">
        <v>14</v>
      </c>
      <c r="S2" s="5" t="s">
        <v>2</v>
      </c>
      <c r="T2" s="6" t="s">
        <v>14</v>
      </c>
      <c r="U2" s="5" t="s">
        <v>2</v>
      </c>
      <c r="V2" s="6" t="s">
        <v>14</v>
      </c>
      <c r="W2" s="5" t="s">
        <v>2</v>
      </c>
      <c r="X2" s="6" t="s">
        <v>14</v>
      </c>
      <c r="Y2" s="5" t="s">
        <v>2</v>
      </c>
      <c r="Z2" s="6" t="s">
        <v>14</v>
      </c>
      <c r="AA2" s="7" t="s">
        <v>2</v>
      </c>
      <c r="AB2" s="363" t="s">
        <v>312</v>
      </c>
      <c r="AC2" s="369" t="s">
        <v>308</v>
      </c>
    </row>
    <row r="3" spans="1:29" s="8" customFormat="1" x14ac:dyDescent="0.25">
      <c r="A3" s="4"/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10"/>
      <c r="AA3" s="11"/>
      <c r="AB3" s="364"/>
      <c r="AC3" s="370"/>
    </row>
    <row r="4" spans="1:29" x14ac:dyDescent="0.25">
      <c r="A4" s="56"/>
      <c r="B4" s="57" t="s">
        <v>169</v>
      </c>
      <c r="C4" s="58">
        <f t="shared" ref="C4:Z4" si="0">SUM(C8:C88)</f>
        <v>0</v>
      </c>
      <c r="D4" s="59">
        <f t="shared" si="0"/>
        <v>0</v>
      </c>
      <c r="E4" s="58">
        <f t="shared" si="0"/>
        <v>0</v>
      </c>
      <c r="F4" s="59">
        <f t="shared" si="0"/>
        <v>0</v>
      </c>
      <c r="G4" s="58">
        <f t="shared" si="0"/>
        <v>0</v>
      </c>
      <c r="H4" s="59">
        <f t="shared" si="0"/>
        <v>0</v>
      </c>
      <c r="I4" s="58">
        <f t="shared" si="0"/>
        <v>0</v>
      </c>
      <c r="J4" s="59">
        <f t="shared" si="0"/>
        <v>0</v>
      </c>
      <c r="K4" s="58">
        <f t="shared" si="0"/>
        <v>0</v>
      </c>
      <c r="L4" s="59">
        <f t="shared" si="0"/>
        <v>0</v>
      </c>
      <c r="M4" s="58">
        <f t="shared" si="0"/>
        <v>0</v>
      </c>
      <c r="N4" s="59">
        <f t="shared" si="0"/>
        <v>0</v>
      </c>
      <c r="O4" s="58">
        <f t="shared" si="0"/>
        <v>0</v>
      </c>
      <c r="P4" s="59">
        <f t="shared" si="0"/>
        <v>0</v>
      </c>
      <c r="Q4" s="58">
        <f t="shared" si="0"/>
        <v>0</v>
      </c>
      <c r="R4" s="59">
        <f t="shared" si="0"/>
        <v>0</v>
      </c>
      <c r="S4" s="58">
        <f t="shared" si="0"/>
        <v>0</v>
      </c>
      <c r="T4" s="59">
        <f t="shared" si="0"/>
        <v>0</v>
      </c>
      <c r="U4" s="58">
        <f t="shared" si="0"/>
        <v>0</v>
      </c>
      <c r="V4" s="59">
        <f t="shared" si="0"/>
        <v>0</v>
      </c>
      <c r="W4" s="58">
        <f t="shared" si="0"/>
        <v>0</v>
      </c>
      <c r="X4" s="59">
        <f t="shared" si="0"/>
        <v>0</v>
      </c>
      <c r="Y4" s="58">
        <f t="shared" si="0"/>
        <v>0</v>
      </c>
      <c r="Z4" s="59">
        <f t="shared" si="0"/>
        <v>0</v>
      </c>
      <c r="AA4" s="60">
        <f t="shared" ref="AA4:AB8" si="1">C4+E4+G4+I4+K4+M4+O4+Q4+S4+U4+W4+Y4</f>
        <v>0</v>
      </c>
      <c r="AB4" s="378">
        <f t="shared" si="1"/>
        <v>0</v>
      </c>
      <c r="AC4" s="371">
        <f>D4</f>
        <v>0</v>
      </c>
    </row>
    <row r="5" spans="1:29" x14ac:dyDescent="0.25">
      <c r="A5" s="56"/>
      <c r="B5" s="57" t="s">
        <v>168</v>
      </c>
      <c r="C5" s="58">
        <f>SUM(C95:C177)</f>
        <v>0</v>
      </c>
      <c r="D5" s="59">
        <f>SUM(D95:D177)</f>
        <v>0</v>
      </c>
      <c r="E5" s="58">
        <f t="shared" ref="E5:Z5" si="2">SUM(E95:E177)</f>
        <v>0</v>
      </c>
      <c r="F5" s="59">
        <f t="shared" si="2"/>
        <v>0</v>
      </c>
      <c r="G5" s="58">
        <f t="shared" si="2"/>
        <v>0</v>
      </c>
      <c r="H5" s="59">
        <f t="shared" si="2"/>
        <v>0</v>
      </c>
      <c r="I5" s="58">
        <f t="shared" si="2"/>
        <v>0</v>
      </c>
      <c r="J5" s="59">
        <f t="shared" si="2"/>
        <v>0</v>
      </c>
      <c r="K5" s="58">
        <f t="shared" si="2"/>
        <v>0</v>
      </c>
      <c r="L5" s="59">
        <f t="shared" si="2"/>
        <v>0</v>
      </c>
      <c r="M5" s="58">
        <f t="shared" si="2"/>
        <v>0</v>
      </c>
      <c r="N5" s="59">
        <f t="shared" si="2"/>
        <v>0</v>
      </c>
      <c r="O5" s="58">
        <f t="shared" si="2"/>
        <v>0</v>
      </c>
      <c r="P5" s="59">
        <f t="shared" si="2"/>
        <v>0</v>
      </c>
      <c r="Q5" s="58">
        <f t="shared" si="2"/>
        <v>0</v>
      </c>
      <c r="R5" s="59">
        <f t="shared" si="2"/>
        <v>0</v>
      </c>
      <c r="S5" s="58">
        <f t="shared" si="2"/>
        <v>0</v>
      </c>
      <c r="T5" s="59">
        <f t="shared" si="2"/>
        <v>0</v>
      </c>
      <c r="U5" s="58">
        <f t="shared" si="2"/>
        <v>0</v>
      </c>
      <c r="V5" s="59">
        <f t="shared" si="2"/>
        <v>0</v>
      </c>
      <c r="W5" s="58">
        <f t="shared" si="2"/>
        <v>0</v>
      </c>
      <c r="X5" s="59">
        <f t="shared" si="2"/>
        <v>0</v>
      </c>
      <c r="Y5" s="58">
        <f t="shared" si="2"/>
        <v>0</v>
      </c>
      <c r="Z5" s="59">
        <f t="shared" si="2"/>
        <v>0</v>
      </c>
      <c r="AA5" s="60">
        <f t="shared" si="1"/>
        <v>0</v>
      </c>
      <c r="AB5" s="378">
        <f t="shared" si="1"/>
        <v>0</v>
      </c>
      <c r="AC5" s="371">
        <f>D5</f>
        <v>0</v>
      </c>
    </row>
    <row r="6" spans="1:29" ht="15.75" thickBot="1" x14ac:dyDescent="0.3">
      <c r="A6" s="56"/>
      <c r="B6" s="57" t="s">
        <v>174</v>
      </c>
      <c r="C6" s="61">
        <f>C4-C5</f>
        <v>0</v>
      </c>
      <c r="D6" s="62">
        <f>D4-D5</f>
        <v>0</v>
      </c>
      <c r="E6" s="61">
        <f>E4-E5</f>
        <v>0</v>
      </c>
      <c r="F6" s="62">
        <f>F4-F5</f>
        <v>0</v>
      </c>
      <c r="G6" s="61">
        <f t="shared" ref="G6:AC6" si="3">G4-G5</f>
        <v>0</v>
      </c>
      <c r="H6" s="62">
        <f t="shared" si="3"/>
        <v>0</v>
      </c>
      <c r="I6" s="61">
        <f t="shared" si="3"/>
        <v>0</v>
      </c>
      <c r="J6" s="62">
        <f t="shared" si="3"/>
        <v>0</v>
      </c>
      <c r="K6" s="61">
        <f t="shared" si="3"/>
        <v>0</v>
      </c>
      <c r="L6" s="62">
        <f t="shared" si="3"/>
        <v>0</v>
      </c>
      <c r="M6" s="61">
        <f t="shared" si="3"/>
        <v>0</v>
      </c>
      <c r="N6" s="62">
        <f t="shared" si="3"/>
        <v>0</v>
      </c>
      <c r="O6" s="61">
        <f t="shared" si="3"/>
        <v>0</v>
      </c>
      <c r="P6" s="62">
        <f t="shared" si="3"/>
        <v>0</v>
      </c>
      <c r="Q6" s="61">
        <f t="shared" si="3"/>
        <v>0</v>
      </c>
      <c r="R6" s="62">
        <f t="shared" si="3"/>
        <v>0</v>
      </c>
      <c r="S6" s="61">
        <f t="shared" si="3"/>
        <v>0</v>
      </c>
      <c r="T6" s="62">
        <f t="shared" si="3"/>
        <v>0</v>
      </c>
      <c r="U6" s="61">
        <f t="shared" si="3"/>
        <v>0</v>
      </c>
      <c r="V6" s="62">
        <f t="shared" si="3"/>
        <v>0</v>
      </c>
      <c r="W6" s="61">
        <f t="shared" si="3"/>
        <v>0</v>
      </c>
      <c r="X6" s="62">
        <f t="shared" si="3"/>
        <v>0</v>
      </c>
      <c r="Y6" s="61">
        <f t="shared" si="3"/>
        <v>0</v>
      </c>
      <c r="Z6" s="62">
        <f t="shared" si="3"/>
        <v>0</v>
      </c>
      <c r="AA6" s="63">
        <f t="shared" si="3"/>
        <v>0</v>
      </c>
      <c r="AB6" s="379">
        <f t="shared" si="3"/>
        <v>0</v>
      </c>
      <c r="AC6" s="372">
        <f t="shared" si="3"/>
        <v>0</v>
      </c>
    </row>
    <row r="7" spans="1:29" ht="15.75" thickTop="1" x14ac:dyDescent="0.25">
      <c r="A7" s="26"/>
      <c r="B7" s="27" t="s">
        <v>4</v>
      </c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  <c r="N7" s="29"/>
      <c r="O7" s="28"/>
      <c r="P7" s="29"/>
      <c r="Q7" s="28"/>
      <c r="R7" s="29"/>
      <c r="S7" s="28"/>
      <c r="T7" s="29"/>
      <c r="U7" s="28"/>
      <c r="V7" s="29"/>
      <c r="W7" s="28"/>
      <c r="X7" s="29"/>
      <c r="Y7" s="28"/>
      <c r="Z7" s="29"/>
      <c r="AA7" s="30"/>
      <c r="AB7" s="359" t="s">
        <v>4</v>
      </c>
      <c r="AC7" s="362"/>
    </row>
    <row r="8" spans="1:29" ht="18.75" x14ac:dyDescent="0.3">
      <c r="A8" s="42"/>
      <c r="B8" s="53" t="s">
        <v>170</v>
      </c>
      <c r="C8" s="43"/>
      <c r="D8" s="44"/>
      <c r="E8" s="43"/>
      <c r="F8" s="44"/>
      <c r="G8" s="43"/>
      <c r="H8" s="44"/>
      <c r="I8" s="43"/>
      <c r="J8" s="44"/>
      <c r="K8" s="43"/>
      <c r="L8" s="44"/>
      <c r="M8" s="43"/>
      <c r="N8" s="44"/>
      <c r="O8" s="43"/>
      <c r="P8" s="44"/>
      <c r="Q8" s="43"/>
      <c r="R8" s="44"/>
      <c r="S8" s="43"/>
      <c r="T8" s="44"/>
      <c r="U8" s="43"/>
      <c r="V8" s="44"/>
      <c r="W8" s="43"/>
      <c r="X8" s="44"/>
      <c r="Y8" s="43"/>
      <c r="Z8" s="44"/>
      <c r="AA8" s="45">
        <f t="shared" si="1"/>
        <v>0</v>
      </c>
      <c r="AB8" s="380">
        <f t="shared" si="1"/>
        <v>0</v>
      </c>
      <c r="AC8" s="371">
        <f>D8</f>
        <v>0</v>
      </c>
    </row>
    <row r="9" spans="1:29" x14ac:dyDescent="0.25">
      <c r="A9" s="64"/>
      <c r="B9" s="65" t="s">
        <v>4</v>
      </c>
      <c r="C9" s="66"/>
      <c r="D9" s="44"/>
      <c r="E9" s="66"/>
      <c r="F9" s="44"/>
      <c r="G9" s="66"/>
      <c r="H9" s="44"/>
      <c r="I9" s="66"/>
      <c r="J9" s="44"/>
      <c r="K9" s="66"/>
      <c r="L9" s="44"/>
      <c r="M9" s="66"/>
      <c r="N9" s="44"/>
      <c r="O9" s="66"/>
      <c r="P9" s="44"/>
      <c r="Q9" s="66"/>
      <c r="R9" s="44"/>
      <c r="S9" s="66"/>
      <c r="T9" s="44"/>
      <c r="U9" s="66"/>
      <c r="V9" s="44"/>
      <c r="W9" s="66"/>
      <c r="X9" s="44"/>
      <c r="Y9" s="66"/>
      <c r="Z9" s="44"/>
      <c r="AA9" s="67">
        <f t="shared" ref="AA9:AA72" si="4">C9+E9+G9+I9+K9+M9+O9+Q9+S9+U9+W9+Y9</f>
        <v>0</v>
      </c>
      <c r="AB9" s="380">
        <f t="shared" ref="AB9:AB72" si="5">D9+F9+H9+J9+L9+N9+P9+R9+T9+V9+X9+Z9</f>
        <v>0</v>
      </c>
      <c r="AC9" s="371">
        <f t="shared" ref="AC9:AC72" si="6">D9</f>
        <v>0</v>
      </c>
    </row>
    <row r="10" spans="1:29" x14ac:dyDescent="0.25">
      <c r="A10" s="42"/>
      <c r="B10" s="75"/>
      <c r="C10" s="43"/>
      <c r="D10" s="44"/>
      <c r="E10" s="43"/>
      <c r="F10" s="44"/>
      <c r="G10" s="43"/>
      <c r="H10" s="44"/>
      <c r="I10" s="43"/>
      <c r="J10" s="44"/>
      <c r="K10" s="43"/>
      <c r="L10" s="44"/>
      <c r="M10" s="43"/>
      <c r="N10" s="44"/>
      <c r="O10" s="43"/>
      <c r="P10" s="44"/>
      <c r="Q10" s="43"/>
      <c r="R10" s="44"/>
      <c r="S10" s="43"/>
      <c r="T10" s="44"/>
      <c r="U10" s="43"/>
      <c r="V10" s="44"/>
      <c r="W10" s="43"/>
      <c r="X10" s="44"/>
      <c r="Y10" s="43"/>
      <c r="Z10" s="44"/>
      <c r="AA10" s="45">
        <f t="shared" si="4"/>
        <v>0</v>
      </c>
      <c r="AB10" s="380">
        <f t="shared" si="5"/>
        <v>0</v>
      </c>
      <c r="AC10" s="371">
        <f t="shared" si="6"/>
        <v>0</v>
      </c>
    </row>
    <row r="11" spans="1:29" x14ac:dyDescent="0.25">
      <c r="A11" s="42"/>
      <c r="B11" s="75"/>
      <c r="C11" s="43"/>
      <c r="D11" s="44"/>
      <c r="E11" s="43"/>
      <c r="F11" s="44"/>
      <c r="G11" s="43"/>
      <c r="H11" s="44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3"/>
      <c r="T11" s="44"/>
      <c r="U11" s="43"/>
      <c r="V11" s="44"/>
      <c r="W11" s="43"/>
      <c r="X11" s="44"/>
      <c r="Y11" s="43"/>
      <c r="Z11" s="44"/>
      <c r="AA11" s="45">
        <f t="shared" si="4"/>
        <v>0</v>
      </c>
      <c r="AB11" s="380">
        <f t="shared" si="5"/>
        <v>0</v>
      </c>
      <c r="AC11" s="371">
        <f t="shared" si="6"/>
        <v>0</v>
      </c>
    </row>
    <row r="12" spans="1:29" s="12" customFormat="1" x14ac:dyDescent="0.25">
      <c r="A12" s="64"/>
      <c r="B12" s="68"/>
      <c r="C12" s="66"/>
      <c r="D12" s="44"/>
      <c r="E12" s="66"/>
      <c r="F12" s="44"/>
      <c r="G12" s="66"/>
      <c r="H12" s="44"/>
      <c r="I12" s="66"/>
      <c r="J12" s="44"/>
      <c r="K12" s="66"/>
      <c r="L12" s="44"/>
      <c r="M12" s="66"/>
      <c r="N12" s="44"/>
      <c r="O12" s="66"/>
      <c r="P12" s="44"/>
      <c r="Q12" s="66"/>
      <c r="R12" s="44"/>
      <c r="S12" s="66"/>
      <c r="T12" s="44"/>
      <c r="U12" s="66"/>
      <c r="V12" s="44"/>
      <c r="W12" s="66"/>
      <c r="X12" s="44"/>
      <c r="Y12" s="66"/>
      <c r="Z12" s="44"/>
      <c r="AA12" s="67">
        <f t="shared" si="4"/>
        <v>0</v>
      </c>
      <c r="AB12" s="380">
        <f t="shared" si="5"/>
        <v>0</v>
      </c>
      <c r="AC12" s="371">
        <f t="shared" si="6"/>
        <v>0</v>
      </c>
    </row>
    <row r="13" spans="1:29" x14ac:dyDescent="0.25">
      <c r="A13" s="64"/>
      <c r="B13" s="65"/>
      <c r="C13" s="66"/>
      <c r="D13" s="44"/>
      <c r="E13" s="66"/>
      <c r="F13" s="44"/>
      <c r="G13" s="66"/>
      <c r="H13" s="44"/>
      <c r="I13" s="66"/>
      <c r="J13" s="44"/>
      <c r="K13" s="66"/>
      <c r="L13" s="44"/>
      <c r="M13" s="66"/>
      <c r="N13" s="44"/>
      <c r="O13" s="66"/>
      <c r="P13" s="44"/>
      <c r="Q13" s="66"/>
      <c r="R13" s="44"/>
      <c r="S13" s="66"/>
      <c r="T13" s="44"/>
      <c r="U13" s="66"/>
      <c r="V13" s="44"/>
      <c r="W13" s="66"/>
      <c r="X13" s="44"/>
      <c r="Y13" s="66"/>
      <c r="Z13" s="44"/>
      <c r="AA13" s="67">
        <f t="shared" si="4"/>
        <v>0</v>
      </c>
      <c r="AB13" s="380">
        <f t="shared" si="5"/>
        <v>0</v>
      </c>
      <c r="AC13" s="371">
        <f t="shared" si="6"/>
        <v>0</v>
      </c>
    </row>
    <row r="14" spans="1:29" x14ac:dyDescent="0.25">
      <c r="A14" s="64"/>
      <c r="B14" s="65"/>
      <c r="C14" s="66"/>
      <c r="D14" s="44"/>
      <c r="E14" s="66"/>
      <c r="F14" s="44"/>
      <c r="G14" s="66"/>
      <c r="H14" s="44"/>
      <c r="I14" s="66"/>
      <c r="J14" s="44"/>
      <c r="K14" s="66"/>
      <c r="L14" s="44"/>
      <c r="M14" s="66"/>
      <c r="N14" s="44"/>
      <c r="O14" s="66"/>
      <c r="P14" s="44"/>
      <c r="Q14" s="66"/>
      <c r="R14" s="44"/>
      <c r="S14" s="66"/>
      <c r="T14" s="44"/>
      <c r="U14" s="66"/>
      <c r="V14" s="44"/>
      <c r="W14" s="66"/>
      <c r="X14" s="44"/>
      <c r="Y14" s="66"/>
      <c r="Z14" s="44"/>
      <c r="AA14" s="67">
        <f t="shared" si="4"/>
        <v>0</v>
      </c>
      <c r="AB14" s="380">
        <f t="shared" si="5"/>
        <v>0</v>
      </c>
      <c r="AC14" s="371">
        <f t="shared" si="6"/>
        <v>0</v>
      </c>
    </row>
    <row r="15" spans="1:29" x14ac:dyDescent="0.25">
      <c r="A15" s="64"/>
      <c r="B15" s="65"/>
      <c r="C15" s="66"/>
      <c r="D15" s="44"/>
      <c r="E15" s="66"/>
      <c r="F15" s="44"/>
      <c r="G15" s="66"/>
      <c r="H15" s="44"/>
      <c r="I15" s="66"/>
      <c r="J15" s="44"/>
      <c r="K15" s="66"/>
      <c r="L15" s="44"/>
      <c r="M15" s="66"/>
      <c r="N15" s="44"/>
      <c r="O15" s="66"/>
      <c r="P15" s="44"/>
      <c r="Q15" s="66"/>
      <c r="R15" s="44"/>
      <c r="S15" s="66"/>
      <c r="T15" s="44"/>
      <c r="U15" s="66"/>
      <c r="V15" s="44"/>
      <c r="W15" s="66"/>
      <c r="X15" s="44"/>
      <c r="Y15" s="66"/>
      <c r="Z15" s="44"/>
      <c r="AA15" s="67">
        <f t="shared" si="4"/>
        <v>0</v>
      </c>
      <c r="AB15" s="380">
        <f t="shared" si="5"/>
        <v>0</v>
      </c>
      <c r="AC15" s="371">
        <f t="shared" si="6"/>
        <v>0</v>
      </c>
    </row>
    <row r="16" spans="1:29" x14ac:dyDescent="0.25">
      <c r="A16" s="64"/>
      <c r="B16" s="65"/>
      <c r="C16" s="66"/>
      <c r="D16" s="44"/>
      <c r="E16" s="66"/>
      <c r="F16" s="44"/>
      <c r="G16" s="66"/>
      <c r="H16" s="44"/>
      <c r="I16" s="66"/>
      <c r="J16" s="44"/>
      <c r="K16" s="66"/>
      <c r="L16" s="44"/>
      <c r="M16" s="66"/>
      <c r="N16" s="44"/>
      <c r="O16" s="66"/>
      <c r="P16" s="44"/>
      <c r="Q16" s="66"/>
      <c r="R16" s="44"/>
      <c r="S16" s="66"/>
      <c r="T16" s="44"/>
      <c r="U16" s="66"/>
      <c r="V16" s="44"/>
      <c r="W16" s="66"/>
      <c r="X16" s="44"/>
      <c r="Y16" s="66"/>
      <c r="Z16" s="44"/>
      <c r="AA16" s="67">
        <f t="shared" si="4"/>
        <v>0</v>
      </c>
      <c r="AB16" s="380">
        <f t="shared" si="5"/>
        <v>0</v>
      </c>
      <c r="AC16" s="371">
        <f t="shared" si="6"/>
        <v>0</v>
      </c>
    </row>
    <row r="17" spans="1:29" x14ac:dyDescent="0.25">
      <c r="A17" s="64"/>
      <c r="B17" s="65"/>
      <c r="C17" s="66"/>
      <c r="D17" s="44"/>
      <c r="E17" s="66"/>
      <c r="F17" s="44"/>
      <c r="G17" s="66"/>
      <c r="H17" s="44"/>
      <c r="I17" s="66"/>
      <c r="J17" s="44"/>
      <c r="K17" s="66"/>
      <c r="L17" s="44"/>
      <c r="M17" s="66"/>
      <c r="N17" s="44"/>
      <c r="O17" s="66"/>
      <c r="P17" s="44"/>
      <c r="Q17" s="66"/>
      <c r="R17" s="44"/>
      <c r="S17" s="66"/>
      <c r="T17" s="44"/>
      <c r="U17" s="66"/>
      <c r="V17" s="44"/>
      <c r="W17" s="66"/>
      <c r="X17" s="44"/>
      <c r="Y17" s="66"/>
      <c r="Z17" s="44"/>
      <c r="AA17" s="67">
        <f t="shared" si="4"/>
        <v>0</v>
      </c>
      <c r="AB17" s="380">
        <f t="shared" si="5"/>
        <v>0</v>
      </c>
      <c r="AC17" s="371">
        <f t="shared" si="6"/>
        <v>0</v>
      </c>
    </row>
    <row r="18" spans="1:29" x14ac:dyDescent="0.25">
      <c r="A18" s="64"/>
      <c r="B18" s="65"/>
      <c r="C18" s="66"/>
      <c r="D18" s="44"/>
      <c r="E18" s="66"/>
      <c r="F18" s="44"/>
      <c r="G18" s="66"/>
      <c r="H18" s="44"/>
      <c r="I18" s="66"/>
      <c r="J18" s="44"/>
      <c r="K18" s="66"/>
      <c r="L18" s="44"/>
      <c r="M18" s="66"/>
      <c r="N18" s="44"/>
      <c r="O18" s="66"/>
      <c r="P18" s="44"/>
      <c r="Q18" s="66"/>
      <c r="R18" s="44"/>
      <c r="S18" s="66"/>
      <c r="T18" s="44"/>
      <c r="U18" s="66"/>
      <c r="V18" s="44"/>
      <c r="W18" s="66"/>
      <c r="X18" s="44"/>
      <c r="Y18" s="66"/>
      <c r="Z18" s="44"/>
      <c r="AA18" s="67">
        <f t="shared" si="4"/>
        <v>0</v>
      </c>
      <c r="AB18" s="380">
        <f t="shared" si="5"/>
        <v>0</v>
      </c>
      <c r="AC18" s="371">
        <f t="shared" si="6"/>
        <v>0</v>
      </c>
    </row>
    <row r="19" spans="1:29" x14ac:dyDescent="0.25">
      <c r="A19" s="64"/>
      <c r="B19" s="65"/>
      <c r="C19" s="66"/>
      <c r="D19" s="44"/>
      <c r="E19" s="66"/>
      <c r="F19" s="44"/>
      <c r="G19" s="66"/>
      <c r="H19" s="44"/>
      <c r="I19" s="66"/>
      <c r="J19" s="44"/>
      <c r="K19" s="66"/>
      <c r="L19" s="44"/>
      <c r="M19" s="66"/>
      <c r="N19" s="44"/>
      <c r="O19" s="66"/>
      <c r="P19" s="44"/>
      <c r="Q19" s="66"/>
      <c r="R19" s="44"/>
      <c r="S19" s="66"/>
      <c r="T19" s="44"/>
      <c r="U19" s="66"/>
      <c r="V19" s="44"/>
      <c r="W19" s="66"/>
      <c r="X19" s="44"/>
      <c r="Y19" s="66"/>
      <c r="Z19" s="44"/>
      <c r="AA19" s="67">
        <f t="shared" si="4"/>
        <v>0</v>
      </c>
      <c r="AB19" s="380">
        <f t="shared" si="5"/>
        <v>0</v>
      </c>
      <c r="AC19" s="371">
        <f t="shared" si="6"/>
        <v>0</v>
      </c>
    </row>
    <row r="20" spans="1:29" x14ac:dyDescent="0.25">
      <c r="A20" s="64"/>
      <c r="B20" s="68"/>
      <c r="C20" s="66"/>
      <c r="D20" s="44"/>
      <c r="E20" s="66"/>
      <c r="F20" s="44"/>
      <c r="G20" s="66"/>
      <c r="H20" s="44"/>
      <c r="I20" s="66"/>
      <c r="J20" s="44"/>
      <c r="K20" s="66"/>
      <c r="L20" s="44"/>
      <c r="M20" s="66"/>
      <c r="N20" s="44"/>
      <c r="O20" s="66"/>
      <c r="P20" s="44"/>
      <c r="Q20" s="66"/>
      <c r="R20" s="44"/>
      <c r="S20" s="66"/>
      <c r="T20" s="44"/>
      <c r="U20" s="66"/>
      <c r="V20" s="44"/>
      <c r="W20" s="66"/>
      <c r="X20" s="44"/>
      <c r="Y20" s="66"/>
      <c r="Z20" s="44"/>
      <c r="AA20" s="67">
        <f t="shared" si="4"/>
        <v>0</v>
      </c>
      <c r="AB20" s="380">
        <f t="shared" si="5"/>
        <v>0</v>
      </c>
      <c r="AC20" s="371">
        <f t="shared" si="6"/>
        <v>0</v>
      </c>
    </row>
    <row r="21" spans="1:29" x14ac:dyDescent="0.25">
      <c r="A21" s="64"/>
      <c r="B21" s="65"/>
      <c r="C21" s="66"/>
      <c r="D21" s="44"/>
      <c r="E21" s="66"/>
      <c r="F21" s="44"/>
      <c r="G21" s="66"/>
      <c r="H21" s="44"/>
      <c r="I21" s="66"/>
      <c r="J21" s="44"/>
      <c r="K21" s="66"/>
      <c r="L21" s="44"/>
      <c r="M21" s="66"/>
      <c r="N21" s="44"/>
      <c r="O21" s="66"/>
      <c r="P21" s="44"/>
      <c r="Q21" s="66"/>
      <c r="R21" s="44"/>
      <c r="S21" s="66"/>
      <c r="T21" s="44"/>
      <c r="U21" s="66"/>
      <c r="V21" s="44"/>
      <c r="W21" s="66"/>
      <c r="X21" s="44"/>
      <c r="Y21" s="66"/>
      <c r="Z21" s="44"/>
      <c r="AA21" s="67">
        <f t="shared" si="4"/>
        <v>0</v>
      </c>
      <c r="AB21" s="380">
        <f t="shared" si="5"/>
        <v>0</v>
      </c>
      <c r="AC21" s="371">
        <f t="shared" si="6"/>
        <v>0</v>
      </c>
    </row>
    <row r="22" spans="1:29" x14ac:dyDescent="0.25">
      <c r="A22" s="64"/>
      <c r="B22" s="65"/>
      <c r="C22" s="66"/>
      <c r="D22" s="44"/>
      <c r="E22" s="66"/>
      <c r="F22" s="44"/>
      <c r="G22" s="66"/>
      <c r="H22" s="44"/>
      <c r="I22" s="66"/>
      <c r="J22" s="44"/>
      <c r="K22" s="66"/>
      <c r="L22" s="44"/>
      <c r="M22" s="66"/>
      <c r="N22" s="44"/>
      <c r="O22" s="66"/>
      <c r="P22" s="44"/>
      <c r="Q22" s="66"/>
      <c r="R22" s="44"/>
      <c r="S22" s="66"/>
      <c r="T22" s="44"/>
      <c r="U22" s="66"/>
      <c r="V22" s="44"/>
      <c r="W22" s="66"/>
      <c r="X22" s="44"/>
      <c r="Y22" s="66"/>
      <c r="Z22" s="44"/>
      <c r="AA22" s="67">
        <f t="shared" si="4"/>
        <v>0</v>
      </c>
      <c r="AB22" s="380">
        <f t="shared" si="5"/>
        <v>0</v>
      </c>
      <c r="AC22" s="371">
        <f t="shared" si="6"/>
        <v>0</v>
      </c>
    </row>
    <row r="23" spans="1:29" x14ac:dyDescent="0.25">
      <c r="A23" s="64"/>
      <c r="B23" s="65"/>
      <c r="C23" s="66"/>
      <c r="D23" s="44"/>
      <c r="E23" s="66"/>
      <c r="F23" s="44"/>
      <c r="G23" s="66"/>
      <c r="H23" s="44"/>
      <c r="I23" s="66"/>
      <c r="J23" s="44"/>
      <c r="K23" s="66"/>
      <c r="L23" s="44"/>
      <c r="M23" s="66"/>
      <c r="N23" s="44"/>
      <c r="O23" s="66"/>
      <c r="P23" s="44"/>
      <c r="Q23" s="66"/>
      <c r="R23" s="44"/>
      <c r="S23" s="66"/>
      <c r="T23" s="44"/>
      <c r="U23" s="66"/>
      <c r="V23" s="44"/>
      <c r="W23" s="66"/>
      <c r="X23" s="44"/>
      <c r="Y23" s="66"/>
      <c r="Z23" s="44"/>
      <c r="AA23" s="67">
        <f t="shared" si="4"/>
        <v>0</v>
      </c>
      <c r="AB23" s="380">
        <f t="shared" si="5"/>
        <v>0</v>
      </c>
      <c r="AC23" s="371">
        <f t="shared" si="6"/>
        <v>0</v>
      </c>
    </row>
    <row r="24" spans="1:29" x14ac:dyDescent="0.25">
      <c r="A24" s="64"/>
      <c r="B24" s="65"/>
      <c r="C24" s="66"/>
      <c r="D24" s="44"/>
      <c r="E24" s="66"/>
      <c r="F24" s="44"/>
      <c r="G24" s="66"/>
      <c r="H24" s="44"/>
      <c r="I24" s="66"/>
      <c r="J24" s="44"/>
      <c r="K24" s="66"/>
      <c r="L24" s="44"/>
      <c r="M24" s="66"/>
      <c r="N24" s="44"/>
      <c r="O24" s="66"/>
      <c r="P24" s="44"/>
      <c r="Q24" s="66"/>
      <c r="R24" s="44"/>
      <c r="S24" s="66"/>
      <c r="T24" s="44"/>
      <c r="U24" s="66"/>
      <c r="V24" s="44"/>
      <c r="W24" s="66"/>
      <c r="X24" s="44"/>
      <c r="Y24" s="66"/>
      <c r="Z24" s="44"/>
      <c r="AA24" s="67">
        <f t="shared" si="4"/>
        <v>0</v>
      </c>
      <c r="AB24" s="380">
        <f t="shared" si="5"/>
        <v>0</v>
      </c>
      <c r="AC24" s="371">
        <f t="shared" si="6"/>
        <v>0</v>
      </c>
    </row>
    <row r="25" spans="1:29" x14ac:dyDescent="0.25">
      <c r="A25" s="64"/>
      <c r="B25" s="65"/>
      <c r="C25" s="66"/>
      <c r="D25" s="44"/>
      <c r="E25" s="66"/>
      <c r="F25" s="44"/>
      <c r="G25" s="66"/>
      <c r="H25" s="44"/>
      <c r="I25" s="66"/>
      <c r="J25" s="44"/>
      <c r="K25" s="66"/>
      <c r="L25" s="44"/>
      <c r="M25" s="66"/>
      <c r="N25" s="44"/>
      <c r="O25" s="66"/>
      <c r="P25" s="44"/>
      <c r="Q25" s="66"/>
      <c r="R25" s="44"/>
      <c r="S25" s="66"/>
      <c r="T25" s="44"/>
      <c r="U25" s="66"/>
      <c r="V25" s="44"/>
      <c r="W25" s="66"/>
      <c r="X25" s="44"/>
      <c r="Y25" s="66"/>
      <c r="Z25" s="44"/>
      <c r="AA25" s="67">
        <f t="shared" si="4"/>
        <v>0</v>
      </c>
      <c r="AB25" s="380">
        <f t="shared" si="5"/>
        <v>0</v>
      </c>
      <c r="AC25" s="371">
        <f t="shared" si="6"/>
        <v>0</v>
      </c>
    </row>
    <row r="26" spans="1:29" x14ac:dyDescent="0.25">
      <c r="A26" s="64"/>
      <c r="B26" s="65"/>
      <c r="C26" s="66"/>
      <c r="D26" s="44"/>
      <c r="E26" s="66"/>
      <c r="F26" s="44"/>
      <c r="G26" s="66"/>
      <c r="H26" s="44"/>
      <c r="I26" s="66"/>
      <c r="J26" s="44"/>
      <c r="K26" s="66"/>
      <c r="L26" s="44"/>
      <c r="M26" s="66"/>
      <c r="N26" s="44"/>
      <c r="O26" s="66"/>
      <c r="P26" s="44"/>
      <c r="Q26" s="66"/>
      <c r="R26" s="44"/>
      <c r="S26" s="66"/>
      <c r="T26" s="44"/>
      <c r="U26" s="66"/>
      <c r="V26" s="44"/>
      <c r="W26" s="66"/>
      <c r="X26" s="44"/>
      <c r="Y26" s="66"/>
      <c r="Z26" s="44"/>
      <c r="AA26" s="67">
        <f t="shared" si="4"/>
        <v>0</v>
      </c>
      <c r="AB26" s="380">
        <f t="shared" si="5"/>
        <v>0</v>
      </c>
      <c r="AC26" s="371">
        <f t="shared" si="6"/>
        <v>0</v>
      </c>
    </row>
    <row r="27" spans="1:29" x14ac:dyDescent="0.25">
      <c r="A27" s="64"/>
      <c r="B27" s="65"/>
      <c r="C27" s="66"/>
      <c r="D27" s="44"/>
      <c r="E27" s="66"/>
      <c r="F27" s="44"/>
      <c r="G27" s="66"/>
      <c r="H27" s="44"/>
      <c r="I27" s="66"/>
      <c r="J27" s="44"/>
      <c r="K27" s="66"/>
      <c r="L27" s="44"/>
      <c r="M27" s="66"/>
      <c r="N27" s="44"/>
      <c r="O27" s="66"/>
      <c r="P27" s="44"/>
      <c r="Q27" s="66"/>
      <c r="R27" s="44"/>
      <c r="S27" s="66"/>
      <c r="T27" s="44"/>
      <c r="U27" s="66"/>
      <c r="V27" s="44"/>
      <c r="W27" s="66"/>
      <c r="X27" s="44"/>
      <c r="Y27" s="66"/>
      <c r="Z27" s="44"/>
      <c r="AA27" s="67">
        <f t="shared" si="4"/>
        <v>0</v>
      </c>
      <c r="AB27" s="380">
        <f t="shared" si="5"/>
        <v>0</v>
      </c>
      <c r="AC27" s="371">
        <f t="shared" si="6"/>
        <v>0</v>
      </c>
    </row>
    <row r="28" spans="1:29" x14ac:dyDescent="0.25">
      <c r="A28" s="64"/>
      <c r="B28" s="65"/>
      <c r="C28" s="66"/>
      <c r="D28" s="44"/>
      <c r="E28" s="66"/>
      <c r="F28" s="44"/>
      <c r="G28" s="66"/>
      <c r="H28" s="44"/>
      <c r="I28" s="66"/>
      <c r="J28" s="44"/>
      <c r="K28" s="66"/>
      <c r="L28" s="44"/>
      <c r="M28" s="66"/>
      <c r="N28" s="44"/>
      <c r="O28" s="66"/>
      <c r="P28" s="44"/>
      <c r="Q28" s="66"/>
      <c r="R28" s="44"/>
      <c r="S28" s="66"/>
      <c r="T28" s="44"/>
      <c r="U28" s="66"/>
      <c r="V28" s="44"/>
      <c r="W28" s="66"/>
      <c r="X28" s="44"/>
      <c r="Y28" s="66"/>
      <c r="Z28" s="44"/>
      <c r="AA28" s="67">
        <f t="shared" si="4"/>
        <v>0</v>
      </c>
      <c r="AB28" s="380">
        <f t="shared" si="5"/>
        <v>0</v>
      </c>
      <c r="AC28" s="371">
        <f t="shared" si="6"/>
        <v>0</v>
      </c>
    </row>
    <row r="29" spans="1:29" x14ac:dyDescent="0.25">
      <c r="A29" s="64"/>
      <c r="B29" s="65"/>
      <c r="C29" s="66"/>
      <c r="D29" s="44"/>
      <c r="E29" s="66"/>
      <c r="F29" s="44"/>
      <c r="G29" s="66"/>
      <c r="H29" s="44"/>
      <c r="I29" s="66"/>
      <c r="J29" s="44"/>
      <c r="K29" s="66"/>
      <c r="L29" s="44"/>
      <c r="M29" s="66"/>
      <c r="N29" s="44"/>
      <c r="O29" s="66"/>
      <c r="P29" s="44"/>
      <c r="Q29" s="66"/>
      <c r="R29" s="44"/>
      <c r="S29" s="66"/>
      <c r="T29" s="44"/>
      <c r="U29" s="66"/>
      <c r="V29" s="44"/>
      <c r="W29" s="66"/>
      <c r="X29" s="44"/>
      <c r="Y29" s="66"/>
      <c r="Z29" s="44"/>
      <c r="AA29" s="67">
        <f t="shared" si="4"/>
        <v>0</v>
      </c>
      <c r="AB29" s="380">
        <f t="shared" si="5"/>
        <v>0</v>
      </c>
      <c r="AC29" s="371">
        <f t="shared" si="6"/>
        <v>0</v>
      </c>
    </row>
    <row r="30" spans="1:29" x14ac:dyDescent="0.25">
      <c r="A30" s="64"/>
      <c r="B30" s="65"/>
      <c r="C30" s="66"/>
      <c r="D30" s="44"/>
      <c r="E30" s="66"/>
      <c r="F30" s="44"/>
      <c r="G30" s="66"/>
      <c r="H30" s="44"/>
      <c r="I30" s="66"/>
      <c r="J30" s="44"/>
      <c r="K30" s="66"/>
      <c r="L30" s="44"/>
      <c r="M30" s="66"/>
      <c r="N30" s="44"/>
      <c r="O30" s="66"/>
      <c r="P30" s="44"/>
      <c r="Q30" s="66"/>
      <c r="R30" s="44"/>
      <c r="S30" s="66"/>
      <c r="T30" s="44"/>
      <c r="U30" s="66"/>
      <c r="V30" s="44"/>
      <c r="W30" s="66"/>
      <c r="X30" s="44"/>
      <c r="Y30" s="66"/>
      <c r="Z30" s="44"/>
      <c r="AA30" s="67">
        <f t="shared" si="4"/>
        <v>0</v>
      </c>
      <c r="AB30" s="380">
        <f t="shared" si="5"/>
        <v>0</v>
      </c>
      <c r="AC30" s="371">
        <f t="shared" si="6"/>
        <v>0</v>
      </c>
    </row>
    <row r="31" spans="1:29" x14ac:dyDescent="0.25">
      <c r="A31" s="64"/>
      <c r="B31" s="65"/>
      <c r="C31" s="66"/>
      <c r="D31" s="44"/>
      <c r="E31" s="66"/>
      <c r="F31" s="44"/>
      <c r="G31" s="66"/>
      <c r="H31" s="44"/>
      <c r="I31" s="66"/>
      <c r="J31" s="44"/>
      <c r="K31" s="66"/>
      <c r="L31" s="44"/>
      <c r="M31" s="66"/>
      <c r="N31" s="44"/>
      <c r="O31" s="66"/>
      <c r="P31" s="44"/>
      <c r="Q31" s="66"/>
      <c r="R31" s="44"/>
      <c r="S31" s="66"/>
      <c r="T31" s="44"/>
      <c r="U31" s="66"/>
      <c r="V31" s="44"/>
      <c r="W31" s="66"/>
      <c r="X31" s="44"/>
      <c r="Y31" s="66"/>
      <c r="Z31" s="44"/>
      <c r="AA31" s="67">
        <f t="shared" si="4"/>
        <v>0</v>
      </c>
      <c r="AB31" s="380">
        <f t="shared" si="5"/>
        <v>0</v>
      </c>
      <c r="AC31" s="371">
        <f t="shared" si="6"/>
        <v>0</v>
      </c>
    </row>
    <row r="32" spans="1:29" x14ac:dyDescent="0.25">
      <c r="A32" s="64"/>
      <c r="B32" s="65"/>
      <c r="C32" s="66"/>
      <c r="D32" s="44"/>
      <c r="E32" s="66"/>
      <c r="F32" s="44"/>
      <c r="G32" s="66"/>
      <c r="H32" s="44"/>
      <c r="I32" s="66"/>
      <c r="J32" s="44"/>
      <c r="K32" s="66"/>
      <c r="L32" s="44"/>
      <c r="M32" s="66"/>
      <c r="N32" s="44"/>
      <c r="O32" s="66"/>
      <c r="P32" s="44"/>
      <c r="Q32" s="66"/>
      <c r="R32" s="44"/>
      <c r="S32" s="66"/>
      <c r="T32" s="44"/>
      <c r="U32" s="66"/>
      <c r="V32" s="44"/>
      <c r="W32" s="66"/>
      <c r="X32" s="44"/>
      <c r="Y32" s="66"/>
      <c r="Z32" s="44"/>
      <c r="AA32" s="67">
        <f t="shared" si="4"/>
        <v>0</v>
      </c>
      <c r="AB32" s="380">
        <f t="shared" si="5"/>
        <v>0</v>
      </c>
      <c r="AC32" s="371">
        <f t="shared" si="6"/>
        <v>0</v>
      </c>
    </row>
    <row r="33" spans="1:29" x14ac:dyDescent="0.25">
      <c r="A33" s="64"/>
      <c r="B33" s="65"/>
      <c r="C33" s="66"/>
      <c r="D33" s="44"/>
      <c r="E33" s="66"/>
      <c r="F33" s="44"/>
      <c r="G33" s="66"/>
      <c r="H33" s="44"/>
      <c r="I33" s="66"/>
      <c r="J33" s="44"/>
      <c r="K33" s="66"/>
      <c r="L33" s="44"/>
      <c r="M33" s="66"/>
      <c r="N33" s="44"/>
      <c r="O33" s="66"/>
      <c r="P33" s="44"/>
      <c r="Q33" s="66"/>
      <c r="R33" s="44"/>
      <c r="S33" s="66"/>
      <c r="T33" s="44"/>
      <c r="U33" s="66"/>
      <c r="V33" s="44"/>
      <c r="W33" s="66"/>
      <c r="X33" s="44"/>
      <c r="Y33" s="66"/>
      <c r="Z33" s="44"/>
      <c r="AA33" s="67">
        <f t="shared" si="4"/>
        <v>0</v>
      </c>
      <c r="AB33" s="380">
        <f t="shared" si="5"/>
        <v>0</v>
      </c>
      <c r="AC33" s="371">
        <f t="shared" si="6"/>
        <v>0</v>
      </c>
    </row>
    <row r="34" spans="1:29" x14ac:dyDescent="0.25">
      <c r="A34" s="64"/>
      <c r="B34" s="65"/>
      <c r="C34" s="66"/>
      <c r="D34" s="44"/>
      <c r="E34" s="66"/>
      <c r="F34" s="44"/>
      <c r="G34" s="66"/>
      <c r="H34" s="44"/>
      <c r="I34" s="66"/>
      <c r="J34" s="44"/>
      <c r="K34" s="66"/>
      <c r="L34" s="44"/>
      <c r="M34" s="66"/>
      <c r="N34" s="44"/>
      <c r="O34" s="66"/>
      <c r="P34" s="44"/>
      <c r="Q34" s="66"/>
      <c r="R34" s="44"/>
      <c r="S34" s="66"/>
      <c r="T34" s="44"/>
      <c r="U34" s="66"/>
      <c r="V34" s="44"/>
      <c r="W34" s="66"/>
      <c r="X34" s="44"/>
      <c r="Y34" s="66"/>
      <c r="Z34" s="44"/>
      <c r="AA34" s="67">
        <f t="shared" si="4"/>
        <v>0</v>
      </c>
      <c r="AB34" s="380">
        <f t="shared" si="5"/>
        <v>0</v>
      </c>
      <c r="AC34" s="371">
        <f t="shared" si="6"/>
        <v>0</v>
      </c>
    </row>
    <row r="35" spans="1:29" x14ac:dyDescent="0.25">
      <c r="A35" s="64"/>
      <c r="B35" s="65"/>
      <c r="C35" s="66"/>
      <c r="D35" s="44"/>
      <c r="E35" s="66"/>
      <c r="F35" s="44"/>
      <c r="G35" s="66"/>
      <c r="H35" s="44"/>
      <c r="I35" s="66"/>
      <c r="J35" s="44"/>
      <c r="K35" s="66"/>
      <c r="L35" s="44"/>
      <c r="M35" s="66"/>
      <c r="N35" s="44"/>
      <c r="O35" s="66"/>
      <c r="P35" s="44"/>
      <c r="Q35" s="66"/>
      <c r="R35" s="44"/>
      <c r="S35" s="66"/>
      <c r="T35" s="44"/>
      <c r="U35" s="66"/>
      <c r="V35" s="44"/>
      <c r="W35" s="66"/>
      <c r="X35" s="44"/>
      <c r="Y35" s="66"/>
      <c r="Z35" s="44"/>
      <c r="AA35" s="67">
        <f t="shared" si="4"/>
        <v>0</v>
      </c>
      <c r="AB35" s="380">
        <f t="shared" si="5"/>
        <v>0</v>
      </c>
      <c r="AC35" s="371">
        <f t="shared" si="6"/>
        <v>0</v>
      </c>
    </row>
    <row r="36" spans="1:29" x14ac:dyDescent="0.25">
      <c r="A36" s="64"/>
      <c r="B36" s="65"/>
      <c r="C36" s="66"/>
      <c r="D36" s="44"/>
      <c r="E36" s="66"/>
      <c r="F36" s="44"/>
      <c r="G36" s="66"/>
      <c r="H36" s="44"/>
      <c r="I36" s="66"/>
      <c r="J36" s="44"/>
      <c r="K36" s="66"/>
      <c r="L36" s="44"/>
      <c r="M36" s="66"/>
      <c r="N36" s="44"/>
      <c r="O36" s="66"/>
      <c r="P36" s="44"/>
      <c r="Q36" s="66"/>
      <c r="R36" s="44"/>
      <c r="S36" s="66"/>
      <c r="T36" s="44"/>
      <c r="U36" s="66"/>
      <c r="V36" s="44"/>
      <c r="W36" s="66"/>
      <c r="X36" s="44"/>
      <c r="Y36" s="66"/>
      <c r="Z36" s="44"/>
      <c r="AA36" s="67">
        <f t="shared" si="4"/>
        <v>0</v>
      </c>
      <c r="AB36" s="380">
        <f t="shared" si="5"/>
        <v>0</v>
      </c>
      <c r="AC36" s="371">
        <f t="shared" si="6"/>
        <v>0</v>
      </c>
    </row>
    <row r="37" spans="1:29" x14ac:dyDescent="0.25">
      <c r="A37" s="64"/>
      <c r="B37" s="65"/>
      <c r="C37" s="66"/>
      <c r="D37" s="44"/>
      <c r="E37" s="66"/>
      <c r="F37" s="44"/>
      <c r="G37" s="66"/>
      <c r="H37" s="44"/>
      <c r="I37" s="66"/>
      <c r="J37" s="44"/>
      <c r="K37" s="66"/>
      <c r="L37" s="44"/>
      <c r="M37" s="66"/>
      <c r="N37" s="44"/>
      <c r="O37" s="66"/>
      <c r="P37" s="44"/>
      <c r="Q37" s="66"/>
      <c r="R37" s="44"/>
      <c r="S37" s="66"/>
      <c r="T37" s="44"/>
      <c r="U37" s="66"/>
      <c r="V37" s="44"/>
      <c r="W37" s="66"/>
      <c r="X37" s="44"/>
      <c r="Y37" s="66"/>
      <c r="Z37" s="44"/>
      <c r="AA37" s="67">
        <f t="shared" si="4"/>
        <v>0</v>
      </c>
      <c r="AB37" s="380">
        <f t="shared" si="5"/>
        <v>0</v>
      </c>
      <c r="AC37" s="371">
        <f t="shared" si="6"/>
        <v>0</v>
      </c>
    </row>
    <row r="38" spans="1:29" x14ac:dyDescent="0.25">
      <c r="A38" s="64"/>
      <c r="B38" s="65"/>
      <c r="C38" s="66"/>
      <c r="D38" s="44"/>
      <c r="E38" s="66"/>
      <c r="F38" s="44"/>
      <c r="G38" s="66"/>
      <c r="H38" s="44"/>
      <c r="I38" s="66"/>
      <c r="J38" s="44"/>
      <c r="K38" s="66"/>
      <c r="L38" s="44"/>
      <c r="M38" s="66"/>
      <c r="N38" s="44"/>
      <c r="O38" s="66"/>
      <c r="P38" s="44"/>
      <c r="Q38" s="66"/>
      <c r="R38" s="44"/>
      <c r="S38" s="66"/>
      <c r="T38" s="44"/>
      <c r="U38" s="66"/>
      <c r="V38" s="44"/>
      <c r="W38" s="66"/>
      <c r="X38" s="44"/>
      <c r="Y38" s="66"/>
      <c r="Z38" s="44"/>
      <c r="AA38" s="67">
        <f t="shared" si="4"/>
        <v>0</v>
      </c>
      <c r="AB38" s="380">
        <f t="shared" si="5"/>
        <v>0</v>
      </c>
      <c r="AC38" s="371">
        <f t="shared" si="6"/>
        <v>0</v>
      </c>
    </row>
    <row r="39" spans="1:29" x14ac:dyDescent="0.25">
      <c r="A39" s="64"/>
      <c r="B39" s="65"/>
      <c r="C39" s="66"/>
      <c r="D39" s="44"/>
      <c r="E39" s="66"/>
      <c r="F39" s="44"/>
      <c r="G39" s="66"/>
      <c r="H39" s="44"/>
      <c r="I39" s="66"/>
      <c r="J39" s="44"/>
      <c r="K39" s="66"/>
      <c r="L39" s="44"/>
      <c r="M39" s="66"/>
      <c r="N39" s="44"/>
      <c r="O39" s="66"/>
      <c r="P39" s="44"/>
      <c r="Q39" s="66"/>
      <c r="R39" s="44"/>
      <c r="S39" s="66"/>
      <c r="T39" s="44"/>
      <c r="U39" s="66"/>
      <c r="V39" s="44"/>
      <c r="W39" s="66"/>
      <c r="X39" s="44"/>
      <c r="Y39" s="66"/>
      <c r="Z39" s="44"/>
      <c r="AA39" s="67">
        <f t="shared" si="4"/>
        <v>0</v>
      </c>
      <c r="AB39" s="380">
        <f t="shared" si="5"/>
        <v>0</v>
      </c>
      <c r="AC39" s="371">
        <f t="shared" si="6"/>
        <v>0</v>
      </c>
    </row>
    <row r="40" spans="1:29" x14ac:dyDescent="0.25">
      <c r="A40" s="64"/>
      <c r="B40" s="65"/>
      <c r="C40" s="66"/>
      <c r="D40" s="44"/>
      <c r="E40" s="66"/>
      <c r="F40" s="44"/>
      <c r="G40" s="66"/>
      <c r="H40" s="44"/>
      <c r="I40" s="66"/>
      <c r="J40" s="44"/>
      <c r="K40" s="66"/>
      <c r="L40" s="44"/>
      <c r="M40" s="66"/>
      <c r="N40" s="44"/>
      <c r="O40" s="66"/>
      <c r="P40" s="44"/>
      <c r="Q40" s="66"/>
      <c r="R40" s="44"/>
      <c r="S40" s="66"/>
      <c r="T40" s="44"/>
      <c r="U40" s="66"/>
      <c r="V40" s="44"/>
      <c r="W40" s="66"/>
      <c r="X40" s="44"/>
      <c r="Y40" s="66"/>
      <c r="Z40" s="44"/>
      <c r="AA40" s="67">
        <f t="shared" si="4"/>
        <v>0</v>
      </c>
      <c r="AB40" s="380">
        <f t="shared" si="5"/>
        <v>0</v>
      </c>
      <c r="AC40" s="371">
        <f t="shared" si="6"/>
        <v>0</v>
      </c>
    </row>
    <row r="41" spans="1:29" x14ac:dyDescent="0.25">
      <c r="A41" s="64"/>
      <c r="B41" s="65"/>
      <c r="C41" s="66"/>
      <c r="D41" s="44"/>
      <c r="E41" s="66"/>
      <c r="F41" s="44"/>
      <c r="G41" s="66"/>
      <c r="H41" s="44"/>
      <c r="I41" s="66"/>
      <c r="J41" s="44"/>
      <c r="K41" s="66"/>
      <c r="L41" s="44"/>
      <c r="M41" s="66"/>
      <c r="N41" s="44"/>
      <c r="O41" s="66"/>
      <c r="P41" s="44"/>
      <c r="Q41" s="66"/>
      <c r="R41" s="44"/>
      <c r="S41" s="66"/>
      <c r="T41" s="44"/>
      <c r="U41" s="66"/>
      <c r="V41" s="44"/>
      <c r="W41" s="66"/>
      <c r="X41" s="44"/>
      <c r="Y41" s="66"/>
      <c r="Z41" s="44"/>
      <c r="AA41" s="67">
        <f t="shared" si="4"/>
        <v>0</v>
      </c>
      <c r="AB41" s="380">
        <f t="shared" si="5"/>
        <v>0</v>
      </c>
      <c r="AC41" s="371">
        <f t="shared" si="6"/>
        <v>0</v>
      </c>
    </row>
    <row r="42" spans="1:29" x14ac:dyDescent="0.25">
      <c r="A42" s="64"/>
      <c r="B42" s="65"/>
      <c r="C42" s="66"/>
      <c r="D42" s="44"/>
      <c r="E42" s="66"/>
      <c r="F42" s="44"/>
      <c r="G42" s="66"/>
      <c r="H42" s="44"/>
      <c r="I42" s="66"/>
      <c r="J42" s="44"/>
      <c r="K42" s="66"/>
      <c r="L42" s="44"/>
      <c r="M42" s="66"/>
      <c r="N42" s="44"/>
      <c r="O42" s="66"/>
      <c r="P42" s="44"/>
      <c r="Q42" s="66"/>
      <c r="R42" s="44"/>
      <c r="S42" s="66"/>
      <c r="T42" s="44"/>
      <c r="U42" s="66"/>
      <c r="V42" s="44"/>
      <c r="W42" s="66"/>
      <c r="X42" s="44"/>
      <c r="Y42" s="66"/>
      <c r="Z42" s="44"/>
      <c r="AA42" s="67">
        <f t="shared" si="4"/>
        <v>0</v>
      </c>
      <c r="AB42" s="380">
        <f t="shared" si="5"/>
        <v>0</v>
      </c>
      <c r="AC42" s="371">
        <f t="shared" si="6"/>
        <v>0</v>
      </c>
    </row>
    <row r="43" spans="1:29" x14ac:dyDescent="0.25">
      <c r="A43" s="64"/>
      <c r="B43" s="65"/>
      <c r="C43" s="66"/>
      <c r="D43" s="44"/>
      <c r="E43" s="66"/>
      <c r="F43" s="44"/>
      <c r="G43" s="66"/>
      <c r="H43" s="44"/>
      <c r="I43" s="66"/>
      <c r="J43" s="44"/>
      <c r="K43" s="66"/>
      <c r="L43" s="44"/>
      <c r="M43" s="66"/>
      <c r="N43" s="44"/>
      <c r="O43" s="66"/>
      <c r="P43" s="44"/>
      <c r="Q43" s="66"/>
      <c r="R43" s="44"/>
      <c r="S43" s="66"/>
      <c r="T43" s="44"/>
      <c r="U43" s="66"/>
      <c r="V43" s="44"/>
      <c r="W43" s="66"/>
      <c r="X43" s="44"/>
      <c r="Y43" s="66"/>
      <c r="Z43" s="44"/>
      <c r="AA43" s="67">
        <f t="shared" si="4"/>
        <v>0</v>
      </c>
      <c r="AB43" s="380">
        <f t="shared" si="5"/>
        <v>0</v>
      </c>
      <c r="AC43" s="371">
        <f t="shared" si="6"/>
        <v>0</v>
      </c>
    </row>
    <row r="44" spans="1:29" x14ac:dyDescent="0.25">
      <c r="A44" s="64"/>
      <c r="B44" s="65"/>
      <c r="C44" s="66"/>
      <c r="D44" s="44"/>
      <c r="E44" s="66"/>
      <c r="F44" s="44"/>
      <c r="G44" s="66"/>
      <c r="H44" s="44"/>
      <c r="I44" s="66"/>
      <c r="J44" s="44"/>
      <c r="K44" s="66"/>
      <c r="L44" s="44"/>
      <c r="M44" s="66"/>
      <c r="N44" s="44"/>
      <c r="O44" s="66"/>
      <c r="P44" s="44"/>
      <c r="Q44" s="66"/>
      <c r="R44" s="44"/>
      <c r="S44" s="66"/>
      <c r="T44" s="44"/>
      <c r="U44" s="66"/>
      <c r="V44" s="44"/>
      <c r="W44" s="66"/>
      <c r="X44" s="44"/>
      <c r="Y44" s="66"/>
      <c r="Z44" s="44"/>
      <c r="AA44" s="67">
        <f t="shared" si="4"/>
        <v>0</v>
      </c>
      <c r="AB44" s="380">
        <f t="shared" si="5"/>
        <v>0</v>
      </c>
      <c r="AC44" s="371">
        <f t="shared" si="6"/>
        <v>0</v>
      </c>
    </row>
    <row r="45" spans="1:29" x14ac:dyDescent="0.25">
      <c r="A45" s="64"/>
      <c r="B45" s="65"/>
      <c r="C45" s="66"/>
      <c r="D45" s="44"/>
      <c r="E45" s="66"/>
      <c r="F45" s="44"/>
      <c r="G45" s="66"/>
      <c r="H45" s="44"/>
      <c r="I45" s="66"/>
      <c r="J45" s="44"/>
      <c r="K45" s="66"/>
      <c r="L45" s="44"/>
      <c r="M45" s="66"/>
      <c r="N45" s="44"/>
      <c r="O45" s="66"/>
      <c r="P45" s="44"/>
      <c r="Q45" s="66"/>
      <c r="R45" s="44"/>
      <c r="S45" s="66"/>
      <c r="T45" s="44"/>
      <c r="U45" s="66"/>
      <c r="V45" s="44"/>
      <c r="W45" s="66"/>
      <c r="X45" s="44"/>
      <c r="Y45" s="66"/>
      <c r="Z45" s="44"/>
      <c r="AA45" s="67">
        <f t="shared" si="4"/>
        <v>0</v>
      </c>
      <c r="AB45" s="380">
        <f t="shared" si="5"/>
        <v>0</v>
      </c>
      <c r="AC45" s="371">
        <f t="shared" si="6"/>
        <v>0</v>
      </c>
    </row>
    <row r="46" spans="1:29" x14ac:dyDescent="0.25">
      <c r="A46" s="64"/>
      <c r="B46" s="65"/>
      <c r="C46" s="66"/>
      <c r="D46" s="44"/>
      <c r="E46" s="66"/>
      <c r="F46" s="44"/>
      <c r="G46" s="66"/>
      <c r="H46" s="44"/>
      <c r="I46" s="66"/>
      <c r="J46" s="44"/>
      <c r="K46" s="66"/>
      <c r="L46" s="44"/>
      <c r="M46" s="66"/>
      <c r="N46" s="44"/>
      <c r="O46" s="66"/>
      <c r="P46" s="44"/>
      <c r="Q46" s="66"/>
      <c r="R46" s="44"/>
      <c r="S46" s="66"/>
      <c r="T46" s="44"/>
      <c r="U46" s="66"/>
      <c r="V46" s="44"/>
      <c r="W46" s="66"/>
      <c r="X46" s="44"/>
      <c r="Y46" s="66"/>
      <c r="Z46" s="44"/>
      <c r="AA46" s="67">
        <f t="shared" si="4"/>
        <v>0</v>
      </c>
      <c r="AB46" s="380">
        <f t="shared" si="5"/>
        <v>0</v>
      </c>
      <c r="AC46" s="371">
        <f t="shared" si="6"/>
        <v>0</v>
      </c>
    </row>
    <row r="47" spans="1:29" x14ac:dyDescent="0.25">
      <c r="A47" s="64"/>
      <c r="B47" s="65"/>
      <c r="C47" s="66"/>
      <c r="D47" s="44"/>
      <c r="E47" s="66"/>
      <c r="F47" s="44"/>
      <c r="G47" s="66"/>
      <c r="H47" s="44"/>
      <c r="I47" s="66"/>
      <c r="J47" s="44"/>
      <c r="K47" s="66"/>
      <c r="L47" s="44"/>
      <c r="M47" s="66"/>
      <c r="N47" s="44"/>
      <c r="O47" s="66"/>
      <c r="P47" s="44"/>
      <c r="Q47" s="66"/>
      <c r="R47" s="44"/>
      <c r="S47" s="66"/>
      <c r="T47" s="44"/>
      <c r="U47" s="66"/>
      <c r="V47" s="44"/>
      <c r="W47" s="66"/>
      <c r="X47" s="44"/>
      <c r="Y47" s="66"/>
      <c r="Z47" s="44"/>
      <c r="AA47" s="67">
        <f t="shared" si="4"/>
        <v>0</v>
      </c>
      <c r="AB47" s="380">
        <f t="shared" si="5"/>
        <v>0</v>
      </c>
      <c r="AC47" s="371">
        <f t="shared" si="6"/>
        <v>0</v>
      </c>
    </row>
    <row r="48" spans="1:29" x14ac:dyDescent="0.25">
      <c r="A48" s="64"/>
      <c r="B48" s="65"/>
      <c r="C48" s="66"/>
      <c r="D48" s="44"/>
      <c r="E48" s="66"/>
      <c r="F48" s="44"/>
      <c r="G48" s="66"/>
      <c r="H48" s="44"/>
      <c r="I48" s="66"/>
      <c r="J48" s="44"/>
      <c r="K48" s="66"/>
      <c r="L48" s="44"/>
      <c r="M48" s="66"/>
      <c r="N48" s="44"/>
      <c r="O48" s="66"/>
      <c r="P48" s="44"/>
      <c r="Q48" s="66"/>
      <c r="R48" s="44"/>
      <c r="S48" s="66"/>
      <c r="T48" s="44"/>
      <c r="U48" s="66"/>
      <c r="V48" s="44"/>
      <c r="W48" s="66"/>
      <c r="X48" s="44"/>
      <c r="Y48" s="66"/>
      <c r="Z48" s="44"/>
      <c r="AA48" s="67">
        <f t="shared" si="4"/>
        <v>0</v>
      </c>
      <c r="AB48" s="380">
        <f t="shared" si="5"/>
        <v>0</v>
      </c>
      <c r="AC48" s="371">
        <f t="shared" si="6"/>
        <v>0</v>
      </c>
    </row>
    <row r="49" spans="1:29" x14ac:dyDescent="0.25">
      <c r="A49" s="64"/>
      <c r="B49" s="65"/>
      <c r="C49" s="66"/>
      <c r="D49" s="44"/>
      <c r="E49" s="66"/>
      <c r="F49" s="44"/>
      <c r="G49" s="66"/>
      <c r="H49" s="44"/>
      <c r="I49" s="66"/>
      <c r="J49" s="44"/>
      <c r="K49" s="66"/>
      <c r="L49" s="44"/>
      <c r="M49" s="66"/>
      <c r="N49" s="44"/>
      <c r="O49" s="66"/>
      <c r="P49" s="44"/>
      <c r="Q49" s="66"/>
      <c r="R49" s="44"/>
      <c r="S49" s="66"/>
      <c r="T49" s="44"/>
      <c r="U49" s="66"/>
      <c r="V49" s="44"/>
      <c r="W49" s="66"/>
      <c r="X49" s="44"/>
      <c r="Y49" s="66"/>
      <c r="Z49" s="44"/>
      <c r="AA49" s="67">
        <f t="shared" si="4"/>
        <v>0</v>
      </c>
      <c r="AB49" s="380">
        <f t="shared" si="5"/>
        <v>0</v>
      </c>
      <c r="AC49" s="371">
        <f t="shared" si="6"/>
        <v>0</v>
      </c>
    </row>
    <row r="50" spans="1:29" x14ac:dyDescent="0.25">
      <c r="A50" s="64"/>
      <c r="B50" s="65"/>
      <c r="C50" s="66"/>
      <c r="D50" s="44"/>
      <c r="E50" s="66"/>
      <c r="F50" s="44"/>
      <c r="G50" s="66"/>
      <c r="H50" s="44"/>
      <c r="I50" s="66"/>
      <c r="J50" s="44"/>
      <c r="K50" s="66"/>
      <c r="L50" s="44"/>
      <c r="M50" s="66"/>
      <c r="N50" s="44"/>
      <c r="O50" s="66"/>
      <c r="P50" s="44"/>
      <c r="Q50" s="66"/>
      <c r="R50" s="44"/>
      <c r="S50" s="66"/>
      <c r="T50" s="44"/>
      <c r="U50" s="66"/>
      <c r="V50" s="44"/>
      <c r="W50" s="66"/>
      <c r="X50" s="44"/>
      <c r="Y50" s="66"/>
      <c r="Z50" s="44"/>
      <c r="AA50" s="67">
        <f t="shared" si="4"/>
        <v>0</v>
      </c>
      <c r="AB50" s="380">
        <f t="shared" si="5"/>
        <v>0</v>
      </c>
      <c r="AC50" s="371">
        <f t="shared" si="6"/>
        <v>0</v>
      </c>
    </row>
    <row r="51" spans="1:29" x14ac:dyDescent="0.25">
      <c r="A51" s="64"/>
      <c r="B51" s="65"/>
      <c r="C51" s="66"/>
      <c r="D51" s="44"/>
      <c r="E51" s="66"/>
      <c r="F51" s="44"/>
      <c r="G51" s="66"/>
      <c r="H51" s="44"/>
      <c r="I51" s="66"/>
      <c r="J51" s="44"/>
      <c r="K51" s="66"/>
      <c r="L51" s="44"/>
      <c r="M51" s="66"/>
      <c r="N51" s="44"/>
      <c r="O51" s="66"/>
      <c r="P51" s="44"/>
      <c r="Q51" s="66"/>
      <c r="R51" s="44"/>
      <c r="S51" s="66"/>
      <c r="T51" s="44"/>
      <c r="U51" s="66"/>
      <c r="V51" s="44"/>
      <c r="W51" s="66"/>
      <c r="X51" s="44"/>
      <c r="Y51" s="66"/>
      <c r="Z51" s="44"/>
      <c r="AA51" s="67">
        <f t="shared" si="4"/>
        <v>0</v>
      </c>
      <c r="AB51" s="380">
        <f t="shared" si="5"/>
        <v>0</v>
      </c>
      <c r="AC51" s="371">
        <f t="shared" si="6"/>
        <v>0</v>
      </c>
    </row>
    <row r="52" spans="1:29" x14ac:dyDescent="0.25">
      <c r="A52" s="64"/>
      <c r="B52" s="65"/>
      <c r="C52" s="66"/>
      <c r="D52" s="44"/>
      <c r="E52" s="66"/>
      <c r="F52" s="44"/>
      <c r="G52" s="66"/>
      <c r="H52" s="44"/>
      <c r="I52" s="66"/>
      <c r="J52" s="44"/>
      <c r="K52" s="66"/>
      <c r="L52" s="44"/>
      <c r="M52" s="66"/>
      <c r="N52" s="44"/>
      <c r="O52" s="66"/>
      <c r="P52" s="44"/>
      <c r="Q52" s="66"/>
      <c r="R52" s="44"/>
      <c r="S52" s="66"/>
      <c r="T52" s="44"/>
      <c r="U52" s="66"/>
      <c r="V52" s="44"/>
      <c r="W52" s="66"/>
      <c r="X52" s="44"/>
      <c r="Y52" s="66"/>
      <c r="Z52" s="44"/>
      <c r="AA52" s="67">
        <f t="shared" si="4"/>
        <v>0</v>
      </c>
      <c r="AB52" s="380">
        <f t="shared" si="5"/>
        <v>0</v>
      </c>
      <c r="AC52" s="371">
        <f t="shared" si="6"/>
        <v>0</v>
      </c>
    </row>
    <row r="53" spans="1:29" x14ac:dyDescent="0.25">
      <c r="A53" s="64"/>
      <c r="B53" s="65"/>
      <c r="C53" s="66"/>
      <c r="D53" s="44"/>
      <c r="E53" s="66"/>
      <c r="F53" s="44"/>
      <c r="G53" s="66"/>
      <c r="H53" s="44"/>
      <c r="I53" s="66"/>
      <c r="J53" s="44"/>
      <c r="K53" s="66"/>
      <c r="L53" s="44"/>
      <c r="M53" s="66"/>
      <c r="N53" s="44"/>
      <c r="O53" s="66"/>
      <c r="P53" s="44"/>
      <c r="Q53" s="66"/>
      <c r="R53" s="44"/>
      <c r="S53" s="66"/>
      <c r="T53" s="44"/>
      <c r="U53" s="66"/>
      <c r="V53" s="44"/>
      <c r="W53" s="66"/>
      <c r="X53" s="44"/>
      <c r="Y53" s="66"/>
      <c r="Z53" s="44"/>
      <c r="AA53" s="67">
        <f t="shared" si="4"/>
        <v>0</v>
      </c>
      <c r="AB53" s="380">
        <f t="shared" si="5"/>
        <v>0</v>
      </c>
      <c r="AC53" s="371">
        <f t="shared" si="6"/>
        <v>0</v>
      </c>
    </row>
    <row r="54" spans="1:29" x14ac:dyDescent="0.25">
      <c r="A54" s="64"/>
      <c r="B54" s="65"/>
      <c r="C54" s="66"/>
      <c r="D54" s="44"/>
      <c r="E54" s="66"/>
      <c r="F54" s="44"/>
      <c r="G54" s="66"/>
      <c r="H54" s="44"/>
      <c r="I54" s="66"/>
      <c r="J54" s="44"/>
      <c r="K54" s="66"/>
      <c r="L54" s="44"/>
      <c r="M54" s="66"/>
      <c r="N54" s="44"/>
      <c r="O54" s="66"/>
      <c r="P54" s="44"/>
      <c r="Q54" s="66"/>
      <c r="R54" s="44"/>
      <c r="S54" s="66"/>
      <c r="T54" s="44"/>
      <c r="U54" s="66"/>
      <c r="V54" s="44"/>
      <c r="W54" s="66"/>
      <c r="X54" s="44"/>
      <c r="Y54" s="66"/>
      <c r="Z54" s="44"/>
      <c r="AA54" s="67">
        <f t="shared" si="4"/>
        <v>0</v>
      </c>
      <c r="AB54" s="380">
        <f t="shared" si="5"/>
        <v>0</v>
      </c>
      <c r="AC54" s="371">
        <f t="shared" si="6"/>
        <v>0</v>
      </c>
    </row>
    <row r="55" spans="1:29" x14ac:dyDescent="0.25">
      <c r="A55" s="64"/>
      <c r="B55" s="65"/>
      <c r="C55" s="66"/>
      <c r="D55" s="44"/>
      <c r="E55" s="66"/>
      <c r="F55" s="44"/>
      <c r="G55" s="66"/>
      <c r="H55" s="44"/>
      <c r="I55" s="66"/>
      <c r="J55" s="44"/>
      <c r="K55" s="66"/>
      <c r="L55" s="44"/>
      <c r="M55" s="66"/>
      <c r="N55" s="44"/>
      <c r="O55" s="66"/>
      <c r="P55" s="44"/>
      <c r="Q55" s="66"/>
      <c r="R55" s="44"/>
      <c r="S55" s="66"/>
      <c r="T55" s="44"/>
      <c r="U55" s="66"/>
      <c r="V55" s="44"/>
      <c r="W55" s="66"/>
      <c r="X55" s="44"/>
      <c r="Y55" s="66"/>
      <c r="Z55" s="44"/>
      <c r="AA55" s="67">
        <f t="shared" si="4"/>
        <v>0</v>
      </c>
      <c r="AB55" s="380">
        <f t="shared" si="5"/>
        <v>0</v>
      </c>
      <c r="AC55" s="371">
        <f t="shared" si="6"/>
        <v>0</v>
      </c>
    </row>
    <row r="56" spans="1:29" x14ac:dyDescent="0.25">
      <c r="A56" s="64"/>
      <c r="B56" s="65"/>
      <c r="C56" s="66"/>
      <c r="D56" s="44"/>
      <c r="E56" s="66"/>
      <c r="F56" s="44"/>
      <c r="G56" s="66"/>
      <c r="H56" s="44"/>
      <c r="I56" s="66"/>
      <c r="J56" s="44"/>
      <c r="K56" s="66"/>
      <c r="L56" s="44"/>
      <c r="M56" s="66"/>
      <c r="N56" s="44"/>
      <c r="O56" s="66"/>
      <c r="P56" s="44"/>
      <c r="Q56" s="66"/>
      <c r="R56" s="44"/>
      <c r="S56" s="66"/>
      <c r="T56" s="44"/>
      <c r="U56" s="66"/>
      <c r="V56" s="44"/>
      <c r="W56" s="66"/>
      <c r="X56" s="44"/>
      <c r="Y56" s="66"/>
      <c r="Z56" s="44"/>
      <c r="AA56" s="67">
        <f t="shared" si="4"/>
        <v>0</v>
      </c>
      <c r="AB56" s="380">
        <f t="shared" si="5"/>
        <v>0</v>
      </c>
      <c r="AC56" s="371">
        <f t="shared" si="6"/>
        <v>0</v>
      </c>
    </row>
    <row r="57" spans="1:29" x14ac:dyDescent="0.25">
      <c r="A57" s="64"/>
      <c r="B57" s="65"/>
      <c r="C57" s="66"/>
      <c r="D57" s="44"/>
      <c r="E57" s="66"/>
      <c r="F57" s="44"/>
      <c r="G57" s="66"/>
      <c r="H57" s="44"/>
      <c r="I57" s="66"/>
      <c r="J57" s="44"/>
      <c r="K57" s="66"/>
      <c r="L57" s="44"/>
      <c r="M57" s="66"/>
      <c r="N57" s="44"/>
      <c r="O57" s="66"/>
      <c r="P57" s="44"/>
      <c r="Q57" s="66"/>
      <c r="R57" s="44"/>
      <c r="S57" s="66"/>
      <c r="T57" s="44"/>
      <c r="U57" s="66"/>
      <c r="V57" s="44"/>
      <c r="W57" s="66"/>
      <c r="X57" s="44"/>
      <c r="Y57" s="66"/>
      <c r="Z57" s="44"/>
      <c r="AA57" s="67">
        <f t="shared" si="4"/>
        <v>0</v>
      </c>
      <c r="AB57" s="380">
        <f t="shared" si="5"/>
        <v>0</v>
      </c>
      <c r="AC57" s="371">
        <f t="shared" si="6"/>
        <v>0</v>
      </c>
    </row>
    <row r="58" spans="1:29" x14ac:dyDescent="0.25">
      <c r="A58" s="64"/>
      <c r="B58" s="65"/>
      <c r="C58" s="66"/>
      <c r="D58" s="44"/>
      <c r="E58" s="66"/>
      <c r="F58" s="44"/>
      <c r="G58" s="66"/>
      <c r="H58" s="44"/>
      <c r="I58" s="66"/>
      <c r="J58" s="44"/>
      <c r="K58" s="66"/>
      <c r="L58" s="44"/>
      <c r="M58" s="66"/>
      <c r="N58" s="44"/>
      <c r="O58" s="66"/>
      <c r="P58" s="44"/>
      <c r="Q58" s="66"/>
      <c r="R58" s="44"/>
      <c r="S58" s="66"/>
      <c r="T58" s="44"/>
      <c r="U58" s="66"/>
      <c r="V58" s="44"/>
      <c r="W58" s="66"/>
      <c r="X58" s="44"/>
      <c r="Y58" s="66"/>
      <c r="Z58" s="44"/>
      <c r="AA58" s="67">
        <f t="shared" si="4"/>
        <v>0</v>
      </c>
      <c r="AB58" s="380">
        <f t="shared" si="5"/>
        <v>0</v>
      </c>
      <c r="AC58" s="371">
        <f t="shared" si="6"/>
        <v>0</v>
      </c>
    </row>
    <row r="59" spans="1:29" x14ac:dyDescent="0.25">
      <c r="A59" s="64"/>
      <c r="B59" s="65"/>
      <c r="C59" s="66"/>
      <c r="D59" s="44"/>
      <c r="E59" s="66"/>
      <c r="F59" s="44"/>
      <c r="G59" s="66"/>
      <c r="H59" s="44"/>
      <c r="I59" s="66"/>
      <c r="J59" s="44"/>
      <c r="K59" s="66"/>
      <c r="L59" s="44"/>
      <c r="M59" s="66"/>
      <c r="N59" s="44"/>
      <c r="O59" s="66"/>
      <c r="P59" s="44"/>
      <c r="Q59" s="66"/>
      <c r="R59" s="44"/>
      <c r="S59" s="66"/>
      <c r="T59" s="44"/>
      <c r="U59" s="66"/>
      <c r="V59" s="44"/>
      <c r="W59" s="66"/>
      <c r="X59" s="44"/>
      <c r="Y59" s="66"/>
      <c r="Z59" s="44"/>
      <c r="AA59" s="67">
        <f t="shared" si="4"/>
        <v>0</v>
      </c>
      <c r="AB59" s="380">
        <f t="shared" si="5"/>
        <v>0</v>
      </c>
      <c r="AC59" s="371">
        <f t="shared" si="6"/>
        <v>0</v>
      </c>
    </row>
    <row r="60" spans="1:29" x14ac:dyDescent="0.25">
      <c r="A60" s="64"/>
      <c r="B60" s="65"/>
      <c r="C60" s="66"/>
      <c r="D60" s="44"/>
      <c r="E60" s="66"/>
      <c r="F60" s="44"/>
      <c r="G60" s="66"/>
      <c r="H60" s="44"/>
      <c r="I60" s="66"/>
      <c r="J60" s="44"/>
      <c r="K60" s="66"/>
      <c r="L60" s="44"/>
      <c r="M60" s="66"/>
      <c r="N60" s="44"/>
      <c r="O60" s="66"/>
      <c r="P60" s="44"/>
      <c r="Q60" s="66"/>
      <c r="R60" s="44"/>
      <c r="S60" s="66"/>
      <c r="T60" s="44"/>
      <c r="U60" s="66"/>
      <c r="V60" s="44"/>
      <c r="W60" s="66"/>
      <c r="X60" s="44"/>
      <c r="Y60" s="66"/>
      <c r="Z60" s="44"/>
      <c r="AA60" s="67">
        <f t="shared" si="4"/>
        <v>0</v>
      </c>
      <c r="AB60" s="380">
        <f t="shared" si="5"/>
        <v>0</v>
      </c>
      <c r="AC60" s="371">
        <f t="shared" si="6"/>
        <v>0</v>
      </c>
    </row>
    <row r="61" spans="1:29" x14ac:dyDescent="0.25">
      <c r="A61" s="64"/>
      <c r="B61" s="65"/>
      <c r="C61" s="66"/>
      <c r="D61" s="44"/>
      <c r="E61" s="66"/>
      <c r="F61" s="44"/>
      <c r="G61" s="66"/>
      <c r="H61" s="44"/>
      <c r="I61" s="66"/>
      <c r="J61" s="44"/>
      <c r="K61" s="66"/>
      <c r="L61" s="44"/>
      <c r="M61" s="66"/>
      <c r="N61" s="44"/>
      <c r="O61" s="66"/>
      <c r="P61" s="44"/>
      <c r="Q61" s="66"/>
      <c r="R61" s="44"/>
      <c r="S61" s="66"/>
      <c r="T61" s="44"/>
      <c r="U61" s="66"/>
      <c r="V61" s="44"/>
      <c r="W61" s="66"/>
      <c r="X61" s="44"/>
      <c r="Y61" s="66"/>
      <c r="Z61" s="44"/>
      <c r="AA61" s="67">
        <f t="shared" si="4"/>
        <v>0</v>
      </c>
      <c r="AB61" s="380">
        <f t="shared" si="5"/>
        <v>0</v>
      </c>
      <c r="AC61" s="371">
        <f t="shared" si="6"/>
        <v>0</v>
      </c>
    </row>
    <row r="62" spans="1:29" x14ac:dyDescent="0.25">
      <c r="A62" s="64"/>
      <c r="B62" s="65"/>
      <c r="C62" s="66"/>
      <c r="D62" s="44"/>
      <c r="E62" s="66"/>
      <c r="F62" s="44"/>
      <c r="G62" s="66"/>
      <c r="H62" s="44"/>
      <c r="I62" s="66"/>
      <c r="J62" s="44"/>
      <c r="K62" s="66"/>
      <c r="L62" s="44"/>
      <c r="M62" s="66"/>
      <c r="N62" s="44"/>
      <c r="O62" s="66"/>
      <c r="P62" s="44"/>
      <c r="Q62" s="66"/>
      <c r="R62" s="44"/>
      <c r="S62" s="66"/>
      <c r="T62" s="44"/>
      <c r="U62" s="66"/>
      <c r="V62" s="44"/>
      <c r="W62" s="66"/>
      <c r="X62" s="44"/>
      <c r="Y62" s="66"/>
      <c r="Z62" s="44"/>
      <c r="AA62" s="67">
        <f t="shared" si="4"/>
        <v>0</v>
      </c>
      <c r="AB62" s="380">
        <f t="shared" si="5"/>
        <v>0</v>
      </c>
      <c r="AC62" s="371">
        <f t="shared" si="6"/>
        <v>0</v>
      </c>
    </row>
    <row r="63" spans="1:29" x14ac:dyDescent="0.25">
      <c r="A63" s="64"/>
      <c r="B63" s="65"/>
      <c r="C63" s="66"/>
      <c r="D63" s="44"/>
      <c r="E63" s="66"/>
      <c r="F63" s="44"/>
      <c r="G63" s="66"/>
      <c r="H63" s="44"/>
      <c r="I63" s="66"/>
      <c r="J63" s="44"/>
      <c r="K63" s="66"/>
      <c r="L63" s="44"/>
      <c r="M63" s="66"/>
      <c r="N63" s="44"/>
      <c r="O63" s="66"/>
      <c r="P63" s="44"/>
      <c r="Q63" s="66"/>
      <c r="R63" s="44"/>
      <c r="S63" s="66"/>
      <c r="T63" s="44"/>
      <c r="U63" s="66"/>
      <c r="V63" s="44"/>
      <c r="W63" s="66"/>
      <c r="X63" s="44"/>
      <c r="Y63" s="66"/>
      <c r="Z63" s="44"/>
      <c r="AA63" s="67">
        <f t="shared" si="4"/>
        <v>0</v>
      </c>
      <c r="AB63" s="380">
        <f t="shared" si="5"/>
        <v>0</v>
      </c>
      <c r="AC63" s="371">
        <f t="shared" si="6"/>
        <v>0</v>
      </c>
    </row>
    <row r="64" spans="1:29" x14ac:dyDescent="0.25">
      <c r="A64" s="64"/>
      <c r="B64" s="65"/>
      <c r="C64" s="66"/>
      <c r="D64" s="44"/>
      <c r="E64" s="66"/>
      <c r="F64" s="44"/>
      <c r="G64" s="66"/>
      <c r="H64" s="44"/>
      <c r="I64" s="66"/>
      <c r="J64" s="44"/>
      <c r="K64" s="66"/>
      <c r="L64" s="44"/>
      <c r="M64" s="66"/>
      <c r="N64" s="44"/>
      <c r="O64" s="66"/>
      <c r="P64" s="44"/>
      <c r="Q64" s="66"/>
      <c r="R64" s="44"/>
      <c r="S64" s="66"/>
      <c r="T64" s="44"/>
      <c r="U64" s="66"/>
      <c r="V64" s="44"/>
      <c r="W64" s="66"/>
      <c r="X64" s="44"/>
      <c r="Y64" s="66"/>
      <c r="Z64" s="44"/>
      <c r="AA64" s="67">
        <f t="shared" si="4"/>
        <v>0</v>
      </c>
      <c r="AB64" s="380">
        <f t="shared" si="5"/>
        <v>0</v>
      </c>
      <c r="AC64" s="371">
        <f t="shared" si="6"/>
        <v>0</v>
      </c>
    </row>
    <row r="65" spans="1:29" x14ac:dyDescent="0.25">
      <c r="A65" s="64"/>
      <c r="B65" s="65"/>
      <c r="C65" s="66"/>
      <c r="D65" s="44"/>
      <c r="E65" s="66"/>
      <c r="F65" s="44"/>
      <c r="G65" s="66"/>
      <c r="H65" s="44"/>
      <c r="I65" s="66"/>
      <c r="J65" s="44"/>
      <c r="K65" s="66"/>
      <c r="L65" s="44"/>
      <c r="M65" s="66"/>
      <c r="N65" s="44"/>
      <c r="O65" s="66"/>
      <c r="P65" s="44"/>
      <c r="Q65" s="66"/>
      <c r="R65" s="44"/>
      <c r="S65" s="66"/>
      <c r="T65" s="44"/>
      <c r="U65" s="66"/>
      <c r="V65" s="44"/>
      <c r="W65" s="66"/>
      <c r="X65" s="44"/>
      <c r="Y65" s="66"/>
      <c r="Z65" s="44"/>
      <c r="AA65" s="67">
        <f t="shared" si="4"/>
        <v>0</v>
      </c>
      <c r="AB65" s="380">
        <f t="shared" si="5"/>
        <v>0</v>
      </c>
      <c r="AC65" s="371">
        <f t="shared" si="6"/>
        <v>0</v>
      </c>
    </row>
    <row r="66" spans="1:29" x14ac:dyDescent="0.25">
      <c r="A66" s="64"/>
      <c r="B66" s="65"/>
      <c r="C66" s="66"/>
      <c r="D66" s="44"/>
      <c r="E66" s="66"/>
      <c r="F66" s="44"/>
      <c r="G66" s="66"/>
      <c r="H66" s="44"/>
      <c r="I66" s="66"/>
      <c r="J66" s="44"/>
      <c r="K66" s="66"/>
      <c r="L66" s="44"/>
      <c r="M66" s="66"/>
      <c r="N66" s="44"/>
      <c r="O66" s="66"/>
      <c r="P66" s="44"/>
      <c r="Q66" s="66"/>
      <c r="R66" s="44"/>
      <c r="S66" s="66"/>
      <c r="T66" s="44"/>
      <c r="U66" s="66"/>
      <c r="V66" s="44"/>
      <c r="W66" s="66"/>
      <c r="X66" s="44"/>
      <c r="Y66" s="66"/>
      <c r="Z66" s="44"/>
      <c r="AA66" s="67">
        <f t="shared" si="4"/>
        <v>0</v>
      </c>
      <c r="AB66" s="380">
        <f t="shared" si="5"/>
        <v>0</v>
      </c>
      <c r="AC66" s="371">
        <f t="shared" si="6"/>
        <v>0</v>
      </c>
    </row>
    <row r="67" spans="1:29" x14ac:dyDescent="0.25">
      <c r="A67" s="64"/>
      <c r="B67" s="65"/>
      <c r="C67" s="66"/>
      <c r="D67" s="44"/>
      <c r="E67" s="66"/>
      <c r="F67" s="44"/>
      <c r="G67" s="66"/>
      <c r="H67" s="44"/>
      <c r="I67" s="66"/>
      <c r="J67" s="44"/>
      <c r="K67" s="66"/>
      <c r="L67" s="44"/>
      <c r="M67" s="66"/>
      <c r="N67" s="44"/>
      <c r="O67" s="66"/>
      <c r="P67" s="44"/>
      <c r="Q67" s="66"/>
      <c r="R67" s="44"/>
      <c r="S67" s="66"/>
      <c r="T67" s="44"/>
      <c r="U67" s="66"/>
      <c r="V67" s="44"/>
      <c r="W67" s="66"/>
      <c r="X67" s="44"/>
      <c r="Y67" s="66"/>
      <c r="Z67" s="44"/>
      <c r="AA67" s="67">
        <f t="shared" si="4"/>
        <v>0</v>
      </c>
      <c r="AB67" s="380">
        <f t="shared" si="5"/>
        <v>0</v>
      </c>
      <c r="AC67" s="371">
        <f t="shared" si="6"/>
        <v>0</v>
      </c>
    </row>
    <row r="68" spans="1:29" x14ac:dyDescent="0.25">
      <c r="A68" s="64"/>
      <c r="B68" s="65"/>
      <c r="C68" s="66"/>
      <c r="D68" s="44"/>
      <c r="E68" s="66"/>
      <c r="F68" s="44"/>
      <c r="G68" s="66"/>
      <c r="H68" s="44"/>
      <c r="I68" s="66"/>
      <c r="J68" s="44"/>
      <c r="K68" s="66"/>
      <c r="L68" s="44"/>
      <c r="M68" s="66"/>
      <c r="N68" s="44"/>
      <c r="O68" s="66"/>
      <c r="P68" s="44"/>
      <c r="Q68" s="66"/>
      <c r="R68" s="44"/>
      <c r="S68" s="66"/>
      <c r="T68" s="44"/>
      <c r="U68" s="66"/>
      <c r="V68" s="44"/>
      <c r="W68" s="66"/>
      <c r="X68" s="44"/>
      <c r="Y68" s="66"/>
      <c r="Z68" s="44"/>
      <c r="AA68" s="67">
        <f t="shared" si="4"/>
        <v>0</v>
      </c>
      <c r="AB68" s="380">
        <f t="shared" si="5"/>
        <v>0</v>
      </c>
      <c r="AC68" s="371">
        <f t="shared" si="6"/>
        <v>0</v>
      </c>
    </row>
    <row r="69" spans="1:29" x14ac:dyDescent="0.25">
      <c r="A69" s="64"/>
      <c r="B69" s="65"/>
      <c r="C69" s="66"/>
      <c r="D69" s="44"/>
      <c r="E69" s="66"/>
      <c r="F69" s="44"/>
      <c r="G69" s="66"/>
      <c r="H69" s="44"/>
      <c r="I69" s="66"/>
      <c r="J69" s="44"/>
      <c r="K69" s="66"/>
      <c r="L69" s="44"/>
      <c r="M69" s="66"/>
      <c r="N69" s="44"/>
      <c r="O69" s="66"/>
      <c r="P69" s="44"/>
      <c r="Q69" s="66"/>
      <c r="R69" s="44"/>
      <c r="S69" s="66"/>
      <c r="T69" s="44"/>
      <c r="U69" s="66"/>
      <c r="V69" s="44"/>
      <c r="W69" s="66"/>
      <c r="X69" s="44"/>
      <c r="Y69" s="66"/>
      <c r="Z69" s="44"/>
      <c r="AA69" s="67">
        <f t="shared" si="4"/>
        <v>0</v>
      </c>
      <c r="AB69" s="380">
        <f t="shared" si="5"/>
        <v>0</v>
      </c>
      <c r="AC69" s="371">
        <f t="shared" si="6"/>
        <v>0</v>
      </c>
    </row>
    <row r="70" spans="1:29" x14ac:dyDescent="0.25">
      <c r="A70" s="64"/>
      <c r="B70" s="65"/>
      <c r="C70" s="66"/>
      <c r="D70" s="44"/>
      <c r="E70" s="66"/>
      <c r="F70" s="44"/>
      <c r="G70" s="66"/>
      <c r="H70" s="44"/>
      <c r="I70" s="66"/>
      <c r="J70" s="44"/>
      <c r="K70" s="66"/>
      <c r="L70" s="44"/>
      <c r="M70" s="66"/>
      <c r="N70" s="44"/>
      <c r="O70" s="66"/>
      <c r="P70" s="44"/>
      <c r="Q70" s="66"/>
      <c r="R70" s="44"/>
      <c r="S70" s="66"/>
      <c r="T70" s="44"/>
      <c r="U70" s="66"/>
      <c r="V70" s="44"/>
      <c r="W70" s="66"/>
      <c r="X70" s="44"/>
      <c r="Y70" s="66"/>
      <c r="Z70" s="44"/>
      <c r="AA70" s="67">
        <f t="shared" si="4"/>
        <v>0</v>
      </c>
      <c r="AB70" s="380">
        <f t="shared" si="5"/>
        <v>0</v>
      </c>
      <c r="AC70" s="371">
        <f t="shared" si="6"/>
        <v>0</v>
      </c>
    </row>
    <row r="71" spans="1:29" x14ac:dyDescent="0.25">
      <c r="A71" s="64"/>
      <c r="B71" s="65"/>
      <c r="C71" s="66"/>
      <c r="D71" s="44"/>
      <c r="E71" s="66"/>
      <c r="F71" s="44"/>
      <c r="G71" s="66"/>
      <c r="H71" s="44"/>
      <c r="I71" s="66"/>
      <c r="J71" s="44"/>
      <c r="K71" s="66"/>
      <c r="L71" s="44"/>
      <c r="M71" s="66"/>
      <c r="N71" s="44"/>
      <c r="O71" s="66"/>
      <c r="P71" s="44"/>
      <c r="Q71" s="66"/>
      <c r="R71" s="44"/>
      <c r="S71" s="66"/>
      <c r="T71" s="44"/>
      <c r="U71" s="66"/>
      <c r="V71" s="44"/>
      <c r="W71" s="66"/>
      <c r="X71" s="44"/>
      <c r="Y71" s="66"/>
      <c r="Z71" s="44"/>
      <c r="AA71" s="67">
        <f t="shared" si="4"/>
        <v>0</v>
      </c>
      <c r="AB71" s="380">
        <f t="shared" si="5"/>
        <v>0</v>
      </c>
      <c r="AC71" s="371">
        <f t="shared" si="6"/>
        <v>0</v>
      </c>
    </row>
    <row r="72" spans="1:29" x14ac:dyDescent="0.25">
      <c r="A72" s="64"/>
      <c r="B72" s="65"/>
      <c r="C72" s="66"/>
      <c r="D72" s="44"/>
      <c r="E72" s="66"/>
      <c r="F72" s="44"/>
      <c r="G72" s="66"/>
      <c r="H72" s="44"/>
      <c r="I72" s="66"/>
      <c r="J72" s="44"/>
      <c r="K72" s="66"/>
      <c r="L72" s="44"/>
      <c r="M72" s="66"/>
      <c r="N72" s="44"/>
      <c r="O72" s="66"/>
      <c r="P72" s="44"/>
      <c r="Q72" s="66"/>
      <c r="R72" s="44"/>
      <c r="S72" s="66"/>
      <c r="T72" s="44"/>
      <c r="U72" s="66"/>
      <c r="V72" s="44"/>
      <c r="W72" s="66"/>
      <c r="X72" s="44"/>
      <c r="Y72" s="66"/>
      <c r="Z72" s="44"/>
      <c r="AA72" s="67">
        <f t="shared" si="4"/>
        <v>0</v>
      </c>
      <c r="AB72" s="380">
        <f t="shared" si="5"/>
        <v>0</v>
      </c>
      <c r="AC72" s="371">
        <f t="shared" si="6"/>
        <v>0</v>
      </c>
    </row>
    <row r="73" spans="1:29" x14ac:dyDescent="0.25">
      <c r="A73" s="64"/>
      <c r="B73" s="65"/>
      <c r="C73" s="66"/>
      <c r="D73" s="44"/>
      <c r="E73" s="66"/>
      <c r="F73" s="44"/>
      <c r="G73" s="66"/>
      <c r="H73" s="44"/>
      <c r="I73" s="66"/>
      <c r="J73" s="44"/>
      <c r="K73" s="66"/>
      <c r="L73" s="44"/>
      <c r="M73" s="66"/>
      <c r="N73" s="44"/>
      <c r="O73" s="66"/>
      <c r="P73" s="44"/>
      <c r="Q73" s="66"/>
      <c r="R73" s="44"/>
      <c r="S73" s="66"/>
      <c r="T73" s="44"/>
      <c r="U73" s="66"/>
      <c r="V73" s="44"/>
      <c r="W73" s="66"/>
      <c r="X73" s="44"/>
      <c r="Y73" s="66"/>
      <c r="Z73" s="44"/>
      <c r="AA73" s="67">
        <f t="shared" ref="AA73:AA88" si="7">C73+E73+G73+I73+K73+M73+O73+Q73+S73+U73+W73+Y73</f>
        <v>0</v>
      </c>
      <c r="AB73" s="380">
        <f t="shared" ref="AB73:AB88" si="8">D73+F73+H73+J73+L73+N73+P73+R73+T73+V73+X73+Z73</f>
        <v>0</v>
      </c>
      <c r="AC73" s="371">
        <f t="shared" ref="AC73:AC88" si="9">D73</f>
        <v>0</v>
      </c>
    </row>
    <row r="74" spans="1:29" x14ac:dyDescent="0.25">
      <c r="A74" s="64"/>
      <c r="B74" s="65"/>
      <c r="C74" s="66"/>
      <c r="D74" s="44"/>
      <c r="E74" s="66"/>
      <c r="F74" s="44"/>
      <c r="G74" s="66"/>
      <c r="H74" s="44"/>
      <c r="I74" s="66"/>
      <c r="J74" s="44"/>
      <c r="K74" s="66"/>
      <c r="L74" s="44"/>
      <c r="M74" s="66"/>
      <c r="N74" s="44"/>
      <c r="O74" s="66"/>
      <c r="P74" s="44"/>
      <c r="Q74" s="66"/>
      <c r="R74" s="44"/>
      <c r="S74" s="66"/>
      <c r="T74" s="44"/>
      <c r="U74" s="66"/>
      <c r="V74" s="44"/>
      <c r="W74" s="66"/>
      <c r="X74" s="44"/>
      <c r="Y74" s="66"/>
      <c r="Z74" s="44"/>
      <c r="AA74" s="67">
        <f t="shared" si="7"/>
        <v>0</v>
      </c>
      <c r="AB74" s="380">
        <f t="shared" si="8"/>
        <v>0</v>
      </c>
      <c r="AC74" s="371">
        <f t="shared" si="9"/>
        <v>0</v>
      </c>
    </row>
    <row r="75" spans="1:29" x14ac:dyDescent="0.25">
      <c r="A75" s="64"/>
      <c r="B75" s="65"/>
      <c r="C75" s="66"/>
      <c r="D75" s="44"/>
      <c r="E75" s="66"/>
      <c r="F75" s="44"/>
      <c r="G75" s="66"/>
      <c r="H75" s="44"/>
      <c r="I75" s="66"/>
      <c r="J75" s="44"/>
      <c r="K75" s="66"/>
      <c r="L75" s="44"/>
      <c r="M75" s="66"/>
      <c r="N75" s="44"/>
      <c r="O75" s="66"/>
      <c r="P75" s="44"/>
      <c r="Q75" s="66"/>
      <c r="R75" s="44"/>
      <c r="S75" s="66"/>
      <c r="T75" s="44"/>
      <c r="U75" s="66"/>
      <c r="V75" s="44"/>
      <c r="W75" s="66"/>
      <c r="X75" s="44"/>
      <c r="Y75" s="66"/>
      <c r="Z75" s="44"/>
      <c r="AA75" s="67">
        <f t="shared" si="7"/>
        <v>0</v>
      </c>
      <c r="AB75" s="380">
        <f t="shared" si="8"/>
        <v>0</v>
      </c>
      <c r="AC75" s="371">
        <f t="shared" si="9"/>
        <v>0</v>
      </c>
    </row>
    <row r="76" spans="1:29" x14ac:dyDescent="0.25">
      <c r="A76" s="64"/>
      <c r="B76" s="65"/>
      <c r="C76" s="66"/>
      <c r="D76" s="44"/>
      <c r="E76" s="66"/>
      <c r="F76" s="44"/>
      <c r="G76" s="66"/>
      <c r="H76" s="44"/>
      <c r="I76" s="66"/>
      <c r="J76" s="44"/>
      <c r="K76" s="66"/>
      <c r="L76" s="44"/>
      <c r="M76" s="66"/>
      <c r="N76" s="44"/>
      <c r="O76" s="66"/>
      <c r="P76" s="44"/>
      <c r="Q76" s="66"/>
      <c r="R76" s="44"/>
      <c r="S76" s="66"/>
      <c r="T76" s="44"/>
      <c r="U76" s="66"/>
      <c r="V76" s="44"/>
      <c r="W76" s="66"/>
      <c r="X76" s="44"/>
      <c r="Y76" s="66"/>
      <c r="Z76" s="44"/>
      <c r="AA76" s="67">
        <f t="shared" si="7"/>
        <v>0</v>
      </c>
      <c r="AB76" s="380">
        <f t="shared" si="8"/>
        <v>0</v>
      </c>
      <c r="AC76" s="371">
        <f t="shared" si="9"/>
        <v>0</v>
      </c>
    </row>
    <row r="77" spans="1:29" x14ac:dyDescent="0.25">
      <c r="A77" s="64"/>
      <c r="B77" s="65"/>
      <c r="C77" s="66"/>
      <c r="D77" s="44"/>
      <c r="E77" s="66"/>
      <c r="F77" s="44"/>
      <c r="G77" s="66"/>
      <c r="H77" s="44"/>
      <c r="I77" s="66"/>
      <c r="J77" s="44"/>
      <c r="K77" s="66"/>
      <c r="L77" s="44"/>
      <c r="M77" s="66"/>
      <c r="N77" s="44"/>
      <c r="O77" s="66"/>
      <c r="P77" s="44"/>
      <c r="Q77" s="66"/>
      <c r="R77" s="44"/>
      <c r="S77" s="66"/>
      <c r="T77" s="44"/>
      <c r="U77" s="66"/>
      <c r="V77" s="44"/>
      <c r="W77" s="66"/>
      <c r="X77" s="44"/>
      <c r="Y77" s="66"/>
      <c r="Z77" s="44"/>
      <c r="AA77" s="67">
        <f t="shared" si="7"/>
        <v>0</v>
      </c>
      <c r="AB77" s="380">
        <f t="shared" si="8"/>
        <v>0</v>
      </c>
      <c r="AC77" s="371">
        <f t="shared" si="9"/>
        <v>0</v>
      </c>
    </row>
    <row r="78" spans="1:29" x14ac:dyDescent="0.25">
      <c r="A78" s="64"/>
      <c r="B78" s="65"/>
      <c r="C78" s="66"/>
      <c r="D78" s="44"/>
      <c r="E78" s="66"/>
      <c r="F78" s="44"/>
      <c r="G78" s="66"/>
      <c r="H78" s="44"/>
      <c r="I78" s="66"/>
      <c r="J78" s="44"/>
      <c r="K78" s="66"/>
      <c r="L78" s="44"/>
      <c r="M78" s="66"/>
      <c r="N78" s="44"/>
      <c r="O78" s="66"/>
      <c r="P78" s="44"/>
      <c r="Q78" s="66"/>
      <c r="R78" s="44"/>
      <c r="S78" s="66"/>
      <c r="T78" s="44"/>
      <c r="U78" s="66"/>
      <c r="V78" s="44"/>
      <c r="W78" s="66"/>
      <c r="X78" s="44"/>
      <c r="Y78" s="66"/>
      <c r="Z78" s="44"/>
      <c r="AA78" s="67">
        <f t="shared" si="7"/>
        <v>0</v>
      </c>
      <c r="AB78" s="380">
        <f t="shared" si="8"/>
        <v>0</v>
      </c>
      <c r="AC78" s="371">
        <f t="shared" si="9"/>
        <v>0</v>
      </c>
    </row>
    <row r="79" spans="1:29" x14ac:dyDescent="0.25">
      <c r="A79" s="64"/>
      <c r="B79" s="65"/>
      <c r="C79" s="66"/>
      <c r="D79" s="44"/>
      <c r="E79" s="66"/>
      <c r="F79" s="44"/>
      <c r="G79" s="66"/>
      <c r="H79" s="44"/>
      <c r="I79" s="66"/>
      <c r="J79" s="44"/>
      <c r="K79" s="66"/>
      <c r="L79" s="44"/>
      <c r="M79" s="66"/>
      <c r="N79" s="44"/>
      <c r="O79" s="66"/>
      <c r="P79" s="44"/>
      <c r="Q79" s="66"/>
      <c r="R79" s="44"/>
      <c r="S79" s="66"/>
      <c r="T79" s="44"/>
      <c r="U79" s="66"/>
      <c r="V79" s="44"/>
      <c r="W79" s="66"/>
      <c r="X79" s="44"/>
      <c r="Y79" s="66"/>
      <c r="Z79" s="44"/>
      <c r="AA79" s="67">
        <f t="shared" si="7"/>
        <v>0</v>
      </c>
      <c r="AB79" s="380">
        <f t="shared" si="8"/>
        <v>0</v>
      </c>
      <c r="AC79" s="371">
        <f t="shared" si="9"/>
        <v>0</v>
      </c>
    </row>
    <row r="80" spans="1:29" x14ac:dyDescent="0.25">
      <c r="A80" s="64"/>
      <c r="B80" s="65"/>
      <c r="C80" s="66"/>
      <c r="D80" s="44"/>
      <c r="E80" s="66"/>
      <c r="F80" s="44"/>
      <c r="G80" s="66"/>
      <c r="H80" s="44"/>
      <c r="I80" s="66"/>
      <c r="J80" s="44"/>
      <c r="K80" s="66"/>
      <c r="L80" s="44"/>
      <c r="M80" s="66"/>
      <c r="N80" s="44"/>
      <c r="O80" s="66"/>
      <c r="P80" s="44"/>
      <c r="Q80" s="66"/>
      <c r="R80" s="44"/>
      <c r="S80" s="66"/>
      <c r="T80" s="44"/>
      <c r="U80" s="66"/>
      <c r="V80" s="44"/>
      <c r="W80" s="66"/>
      <c r="X80" s="44"/>
      <c r="Y80" s="66"/>
      <c r="Z80" s="44"/>
      <c r="AA80" s="67">
        <f t="shared" si="7"/>
        <v>0</v>
      </c>
      <c r="AB80" s="380">
        <f t="shared" si="8"/>
        <v>0</v>
      </c>
      <c r="AC80" s="371">
        <f t="shared" si="9"/>
        <v>0</v>
      </c>
    </row>
    <row r="81" spans="1:29" x14ac:dyDescent="0.25">
      <c r="A81" s="64"/>
      <c r="B81" s="65"/>
      <c r="C81" s="66"/>
      <c r="D81" s="44"/>
      <c r="E81" s="66"/>
      <c r="F81" s="44"/>
      <c r="G81" s="66"/>
      <c r="H81" s="44"/>
      <c r="I81" s="66"/>
      <c r="J81" s="44"/>
      <c r="K81" s="66"/>
      <c r="L81" s="44"/>
      <c r="M81" s="66"/>
      <c r="N81" s="44"/>
      <c r="O81" s="66"/>
      <c r="P81" s="44"/>
      <c r="Q81" s="66"/>
      <c r="R81" s="44"/>
      <c r="S81" s="66"/>
      <c r="T81" s="44"/>
      <c r="U81" s="66"/>
      <c r="V81" s="44"/>
      <c r="W81" s="66"/>
      <c r="X81" s="44"/>
      <c r="Y81" s="66"/>
      <c r="Z81" s="44"/>
      <c r="AA81" s="67">
        <f t="shared" si="7"/>
        <v>0</v>
      </c>
      <c r="AB81" s="380">
        <f t="shared" si="8"/>
        <v>0</v>
      </c>
      <c r="AC81" s="371">
        <f t="shared" si="9"/>
        <v>0</v>
      </c>
    </row>
    <row r="82" spans="1:29" x14ac:dyDescent="0.25">
      <c r="A82" s="64"/>
      <c r="B82" s="65"/>
      <c r="C82" s="66"/>
      <c r="D82" s="44"/>
      <c r="E82" s="66"/>
      <c r="F82" s="44"/>
      <c r="G82" s="66"/>
      <c r="H82" s="44"/>
      <c r="I82" s="66"/>
      <c r="J82" s="44"/>
      <c r="K82" s="66"/>
      <c r="L82" s="44"/>
      <c r="M82" s="66"/>
      <c r="N82" s="44"/>
      <c r="O82" s="66"/>
      <c r="P82" s="44"/>
      <c r="Q82" s="66"/>
      <c r="R82" s="44"/>
      <c r="S82" s="66"/>
      <c r="T82" s="44"/>
      <c r="U82" s="66"/>
      <c r="V82" s="44"/>
      <c r="W82" s="66"/>
      <c r="X82" s="44"/>
      <c r="Y82" s="66"/>
      <c r="Z82" s="44"/>
      <c r="AA82" s="67">
        <f t="shared" si="7"/>
        <v>0</v>
      </c>
      <c r="AB82" s="380">
        <f t="shared" si="8"/>
        <v>0</v>
      </c>
      <c r="AC82" s="371">
        <f t="shared" si="9"/>
        <v>0</v>
      </c>
    </row>
    <row r="83" spans="1:29" x14ac:dyDescent="0.25">
      <c r="A83" s="64"/>
      <c r="B83" s="65"/>
      <c r="C83" s="66"/>
      <c r="D83" s="44"/>
      <c r="E83" s="66"/>
      <c r="F83" s="44"/>
      <c r="G83" s="66"/>
      <c r="H83" s="44"/>
      <c r="I83" s="66"/>
      <c r="J83" s="44"/>
      <c r="K83" s="66"/>
      <c r="L83" s="44"/>
      <c r="M83" s="66"/>
      <c r="N83" s="44"/>
      <c r="O83" s="66"/>
      <c r="P83" s="44"/>
      <c r="Q83" s="66"/>
      <c r="R83" s="44"/>
      <c r="S83" s="66"/>
      <c r="T83" s="44"/>
      <c r="U83" s="66"/>
      <c r="V83" s="44"/>
      <c r="W83" s="66"/>
      <c r="X83" s="44"/>
      <c r="Y83" s="66"/>
      <c r="Z83" s="44"/>
      <c r="AA83" s="67">
        <f t="shared" si="7"/>
        <v>0</v>
      </c>
      <c r="AB83" s="380">
        <f t="shared" si="8"/>
        <v>0</v>
      </c>
      <c r="AC83" s="371">
        <f t="shared" si="9"/>
        <v>0</v>
      </c>
    </row>
    <row r="84" spans="1:29" x14ac:dyDescent="0.25">
      <c r="A84" s="64"/>
      <c r="B84" s="65"/>
      <c r="C84" s="66"/>
      <c r="D84" s="44"/>
      <c r="E84" s="66"/>
      <c r="F84" s="44"/>
      <c r="G84" s="66"/>
      <c r="H84" s="44"/>
      <c r="I84" s="66"/>
      <c r="J84" s="44"/>
      <c r="K84" s="66"/>
      <c r="L84" s="44"/>
      <c r="M84" s="66"/>
      <c r="N84" s="44"/>
      <c r="O84" s="66"/>
      <c r="P84" s="44"/>
      <c r="Q84" s="66"/>
      <c r="R84" s="44"/>
      <c r="S84" s="66"/>
      <c r="T84" s="44"/>
      <c r="U84" s="66"/>
      <c r="V84" s="44"/>
      <c r="W84" s="66"/>
      <c r="X84" s="44"/>
      <c r="Y84" s="66"/>
      <c r="Z84" s="44"/>
      <c r="AA84" s="67">
        <f t="shared" si="7"/>
        <v>0</v>
      </c>
      <c r="AB84" s="380">
        <f t="shared" si="8"/>
        <v>0</v>
      </c>
      <c r="AC84" s="371">
        <f t="shared" si="9"/>
        <v>0</v>
      </c>
    </row>
    <row r="85" spans="1:29" x14ac:dyDescent="0.25">
      <c r="A85" s="64"/>
      <c r="B85" s="65"/>
      <c r="C85" s="66"/>
      <c r="D85" s="44"/>
      <c r="E85" s="66"/>
      <c r="F85" s="44"/>
      <c r="G85" s="66"/>
      <c r="H85" s="44"/>
      <c r="I85" s="66"/>
      <c r="J85" s="44"/>
      <c r="K85" s="66"/>
      <c r="L85" s="44"/>
      <c r="M85" s="66"/>
      <c r="N85" s="44"/>
      <c r="O85" s="66"/>
      <c r="P85" s="44"/>
      <c r="Q85" s="66"/>
      <c r="R85" s="44"/>
      <c r="S85" s="66"/>
      <c r="T85" s="44"/>
      <c r="U85" s="66"/>
      <c r="V85" s="44"/>
      <c r="W85" s="66"/>
      <c r="X85" s="44"/>
      <c r="Y85" s="66"/>
      <c r="Z85" s="44"/>
      <c r="AA85" s="67">
        <f t="shared" si="7"/>
        <v>0</v>
      </c>
      <c r="AB85" s="380">
        <f t="shared" si="8"/>
        <v>0</v>
      </c>
      <c r="AC85" s="371">
        <f t="shared" si="9"/>
        <v>0</v>
      </c>
    </row>
    <row r="86" spans="1:29" x14ac:dyDescent="0.25">
      <c r="A86" s="64"/>
      <c r="B86" s="65"/>
      <c r="C86" s="66"/>
      <c r="D86" s="44"/>
      <c r="E86" s="66"/>
      <c r="F86" s="44"/>
      <c r="G86" s="66"/>
      <c r="H86" s="44"/>
      <c r="I86" s="66"/>
      <c r="J86" s="44"/>
      <c r="K86" s="66"/>
      <c r="L86" s="44"/>
      <c r="M86" s="66"/>
      <c r="N86" s="44"/>
      <c r="O86" s="66"/>
      <c r="P86" s="44"/>
      <c r="Q86" s="66"/>
      <c r="R86" s="44"/>
      <c r="S86" s="66"/>
      <c r="T86" s="44"/>
      <c r="U86" s="66"/>
      <c r="V86" s="44"/>
      <c r="W86" s="66"/>
      <c r="X86" s="44"/>
      <c r="Y86" s="66"/>
      <c r="Z86" s="44"/>
      <c r="AA86" s="67">
        <f t="shared" si="7"/>
        <v>0</v>
      </c>
      <c r="AB86" s="380">
        <f t="shared" si="8"/>
        <v>0</v>
      </c>
      <c r="AC86" s="371">
        <f t="shared" si="9"/>
        <v>0</v>
      </c>
    </row>
    <row r="87" spans="1:29" x14ac:dyDescent="0.25">
      <c r="A87" s="64"/>
      <c r="B87" s="65"/>
      <c r="C87" s="66"/>
      <c r="D87" s="44"/>
      <c r="E87" s="66"/>
      <c r="F87" s="44"/>
      <c r="G87" s="66"/>
      <c r="H87" s="44"/>
      <c r="I87" s="66"/>
      <c r="J87" s="44"/>
      <c r="K87" s="66"/>
      <c r="L87" s="44"/>
      <c r="M87" s="66"/>
      <c r="N87" s="44"/>
      <c r="O87" s="66"/>
      <c r="P87" s="44"/>
      <c r="Q87" s="66"/>
      <c r="R87" s="44"/>
      <c r="S87" s="66"/>
      <c r="T87" s="44"/>
      <c r="U87" s="66"/>
      <c r="V87" s="44"/>
      <c r="W87" s="66"/>
      <c r="X87" s="44"/>
      <c r="Y87" s="66"/>
      <c r="Z87" s="44"/>
      <c r="AA87" s="67">
        <f t="shared" si="7"/>
        <v>0</v>
      </c>
      <c r="AB87" s="380">
        <f t="shared" si="8"/>
        <v>0</v>
      </c>
      <c r="AC87" s="371">
        <f t="shared" si="9"/>
        <v>0</v>
      </c>
    </row>
    <row r="88" spans="1:29" x14ac:dyDescent="0.25">
      <c r="A88" s="64"/>
      <c r="B88" s="65"/>
      <c r="C88" s="66"/>
      <c r="D88" s="44"/>
      <c r="E88" s="66"/>
      <c r="F88" s="44"/>
      <c r="G88" s="66"/>
      <c r="H88" s="44"/>
      <c r="I88" s="66"/>
      <c r="J88" s="44"/>
      <c r="K88" s="66"/>
      <c r="L88" s="44"/>
      <c r="M88" s="66"/>
      <c r="N88" s="44"/>
      <c r="O88" s="66"/>
      <c r="P88" s="44"/>
      <c r="Q88" s="66"/>
      <c r="R88" s="44"/>
      <c r="S88" s="66"/>
      <c r="T88" s="44"/>
      <c r="U88" s="66"/>
      <c r="V88" s="44"/>
      <c r="W88" s="66"/>
      <c r="X88" s="44"/>
      <c r="Y88" s="66"/>
      <c r="Z88" s="44"/>
      <c r="AA88" s="67">
        <f t="shared" si="7"/>
        <v>0</v>
      </c>
      <c r="AB88" s="380">
        <f t="shared" si="8"/>
        <v>0</v>
      </c>
      <c r="AC88" s="371">
        <f t="shared" si="9"/>
        <v>0</v>
      </c>
    </row>
    <row r="89" spans="1:29" ht="15.75" thickBot="1" x14ac:dyDescent="0.3">
      <c r="A89" s="13"/>
      <c r="B89" s="14" t="s">
        <v>4</v>
      </c>
      <c r="C89" s="15"/>
      <c r="D89" s="16"/>
      <c r="E89" s="15" t="s">
        <v>4</v>
      </c>
      <c r="F89" s="17" t="s">
        <v>4</v>
      </c>
      <c r="G89" s="15" t="s">
        <v>4</v>
      </c>
      <c r="H89" s="17" t="s">
        <v>4</v>
      </c>
      <c r="I89" s="15" t="s">
        <v>4</v>
      </c>
      <c r="J89" s="17" t="s">
        <v>4</v>
      </c>
      <c r="K89" s="15" t="s">
        <v>4</v>
      </c>
      <c r="L89" s="17" t="s">
        <v>4</v>
      </c>
      <c r="M89" s="15" t="s">
        <v>4</v>
      </c>
      <c r="N89" s="17" t="s">
        <v>4</v>
      </c>
      <c r="O89" s="15" t="s">
        <v>4</v>
      </c>
      <c r="P89" s="17" t="s">
        <v>4</v>
      </c>
      <c r="Q89" s="15" t="s">
        <v>4</v>
      </c>
      <c r="R89" s="17">
        <v>0</v>
      </c>
      <c r="S89" s="15"/>
      <c r="T89" s="17">
        <v>0</v>
      </c>
      <c r="U89" s="15"/>
      <c r="V89" s="17">
        <v>0</v>
      </c>
      <c r="W89" s="15"/>
      <c r="X89" s="17">
        <v>0</v>
      </c>
      <c r="Y89" s="15"/>
      <c r="Z89" s="17" t="s">
        <v>4</v>
      </c>
      <c r="AA89" s="15"/>
      <c r="AB89" s="17"/>
      <c r="AC89" s="414"/>
    </row>
    <row r="90" spans="1:29" ht="16.5" thickTop="1" thickBot="1" x14ac:dyDescent="0.3"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21"/>
      <c r="Z90" s="20"/>
    </row>
    <row r="91" spans="1:29" ht="16.5" thickTop="1" thickBot="1" x14ac:dyDescent="0.3">
      <c r="A91" s="32"/>
      <c r="B91" s="33"/>
      <c r="C91" s="34"/>
      <c r="D91" s="35"/>
      <c r="E91" s="34"/>
      <c r="F91" s="35"/>
      <c r="G91" s="34"/>
      <c r="H91" s="35"/>
      <c r="I91" s="34"/>
      <c r="J91" s="35"/>
      <c r="K91" s="34"/>
      <c r="L91" s="36"/>
      <c r="M91" s="34"/>
      <c r="N91" s="35"/>
      <c r="O91" s="34"/>
      <c r="P91" s="35"/>
      <c r="Q91" s="34"/>
      <c r="R91" s="35"/>
      <c r="S91" s="34"/>
      <c r="T91" s="35"/>
      <c r="U91" s="34"/>
      <c r="V91" s="35"/>
      <c r="W91" s="34"/>
      <c r="X91" s="35"/>
      <c r="Y91" s="37"/>
      <c r="Z91" s="35"/>
      <c r="AA91" s="38"/>
      <c r="AB91" s="381"/>
      <c r="AC91" s="415"/>
    </row>
    <row r="92" spans="1:29" ht="16.5" thickTop="1" thickBot="1" x14ac:dyDescent="0.3">
      <c r="A92" s="74" t="s">
        <v>172</v>
      </c>
      <c r="B92" s="54" t="s">
        <v>173</v>
      </c>
      <c r="C92" s="525">
        <v>41640</v>
      </c>
      <c r="D92" s="526"/>
      <c r="E92" s="527" t="s">
        <v>55</v>
      </c>
      <c r="F92" s="528"/>
      <c r="G92" s="529" t="s">
        <v>177</v>
      </c>
      <c r="H92" s="526"/>
      <c r="I92" s="527" t="s">
        <v>46</v>
      </c>
      <c r="J92" s="528"/>
      <c r="K92" s="529" t="s">
        <v>47</v>
      </c>
      <c r="L92" s="526"/>
      <c r="M92" s="527" t="s">
        <v>48</v>
      </c>
      <c r="N92" s="528"/>
      <c r="O92" s="529" t="s">
        <v>49</v>
      </c>
      <c r="P92" s="526"/>
      <c r="Q92" s="527" t="s">
        <v>50</v>
      </c>
      <c r="R92" s="528"/>
      <c r="S92" s="529" t="s">
        <v>51</v>
      </c>
      <c r="T92" s="526"/>
      <c r="U92" s="527" t="s">
        <v>52</v>
      </c>
      <c r="V92" s="528"/>
      <c r="W92" s="530" t="s">
        <v>53</v>
      </c>
      <c r="X92" s="526"/>
      <c r="Y92" s="527" t="s">
        <v>54</v>
      </c>
      <c r="Z92" s="528"/>
      <c r="AA92" s="531" t="s">
        <v>59</v>
      </c>
      <c r="AB92" s="532"/>
      <c r="AC92" s="533"/>
    </row>
    <row r="93" spans="1:29" ht="15.75" thickBot="1" x14ac:dyDescent="0.3">
      <c r="A93" s="50"/>
      <c r="B93" s="46" t="s">
        <v>4</v>
      </c>
      <c r="C93" s="5" t="s">
        <v>2</v>
      </c>
      <c r="D93" s="6" t="s">
        <v>14</v>
      </c>
      <c r="E93" s="5" t="s">
        <v>2</v>
      </c>
      <c r="F93" s="6" t="s">
        <v>14</v>
      </c>
      <c r="G93" s="5" t="s">
        <v>2</v>
      </c>
      <c r="H93" s="6" t="s">
        <v>14</v>
      </c>
      <c r="I93" s="5" t="s">
        <v>2</v>
      </c>
      <c r="J93" s="6" t="s">
        <v>14</v>
      </c>
      <c r="K93" s="5" t="s">
        <v>2</v>
      </c>
      <c r="L93" s="6" t="s">
        <v>14</v>
      </c>
      <c r="M93" s="5" t="s">
        <v>2</v>
      </c>
      <c r="N93" s="6" t="s">
        <v>14</v>
      </c>
      <c r="O93" s="5" t="s">
        <v>2</v>
      </c>
      <c r="P93" s="6" t="s">
        <v>14</v>
      </c>
      <c r="Q93" s="5" t="s">
        <v>2</v>
      </c>
      <c r="R93" s="6" t="s">
        <v>14</v>
      </c>
      <c r="S93" s="5" t="s">
        <v>2</v>
      </c>
      <c r="T93" s="6" t="s">
        <v>14</v>
      </c>
      <c r="U93" s="5" t="s">
        <v>2</v>
      </c>
      <c r="V93" s="6" t="s">
        <v>14</v>
      </c>
      <c r="W93" s="5" t="s">
        <v>2</v>
      </c>
      <c r="X93" s="6" t="s">
        <v>14</v>
      </c>
      <c r="Y93" s="5" t="s">
        <v>2</v>
      </c>
      <c r="Z93" s="6" t="s">
        <v>14</v>
      </c>
      <c r="AA93" s="7" t="s">
        <v>2</v>
      </c>
      <c r="AB93" s="366" t="s">
        <v>312</v>
      </c>
      <c r="AC93" s="377" t="s">
        <v>308</v>
      </c>
    </row>
    <row r="94" spans="1:29" x14ac:dyDescent="0.25">
      <c r="A94" s="51"/>
      <c r="B94" s="1"/>
      <c r="C94" s="28"/>
      <c r="D94" s="29"/>
      <c r="E94" s="28"/>
      <c r="F94" s="29"/>
      <c r="G94" s="28"/>
      <c r="H94" s="29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8"/>
      <c r="V94" s="29"/>
      <c r="W94" s="28"/>
      <c r="X94" s="29"/>
      <c r="Y94" s="28"/>
      <c r="Z94" s="29"/>
      <c r="AA94" s="30"/>
      <c r="AB94" s="367"/>
      <c r="AC94" s="362"/>
    </row>
    <row r="95" spans="1:29" ht="18.75" x14ac:dyDescent="0.3">
      <c r="A95" s="52"/>
      <c r="B95" s="55" t="s">
        <v>171</v>
      </c>
      <c r="C95" s="47"/>
      <c r="D95" s="48"/>
      <c r="E95" s="47"/>
      <c r="F95" s="48"/>
      <c r="G95" s="47"/>
      <c r="H95" s="48"/>
      <c r="I95" s="47"/>
      <c r="J95" s="48"/>
      <c r="K95" s="47"/>
      <c r="L95" s="48"/>
      <c r="M95" s="47"/>
      <c r="N95" s="48"/>
      <c r="O95" s="47"/>
      <c r="P95" s="48"/>
      <c r="Q95" s="47"/>
      <c r="R95" s="48"/>
      <c r="S95" s="47"/>
      <c r="T95" s="48"/>
      <c r="U95" s="47"/>
      <c r="V95" s="48"/>
      <c r="W95" s="47"/>
      <c r="X95" s="48"/>
      <c r="Y95" s="47"/>
      <c r="Z95" s="48"/>
      <c r="AA95" s="49">
        <f t="shared" ref="AA95:AB113" si="10">C95+E95+G95+I95+K95+M95+O95+Q95+S95+U95+W95+Y95</f>
        <v>0</v>
      </c>
      <c r="AB95" s="412">
        <f t="shared" si="10"/>
        <v>0</v>
      </c>
      <c r="AC95" s="371">
        <f>D95</f>
        <v>0</v>
      </c>
    </row>
    <row r="96" spans="1:29" x14ac:dyDescent="0.25">
      <c r="A96" s="69"/>
      <c r="B96" s="70"/>
      <c r="C96" s="71"/>
      <c r="D96" s="48"/>
      <c r="E96" s="71"/>
      <c r="F96" s="48"/>
      <c r="G96" s="71"/>
      <c r="H96" s="48"/>
      <c r="I96" s="71"/>
      <c r="J96" s="48"/>
      <c r="K96" s="71"/>
      <c r="L96" s="48"/>
      <c r="M96" s="71"/>
      <c r="N96" s="48"/>
      <c r="O96" s="71"/>
      <c r="P96" s="48"/>
      <c r="Q96" s="71"/>
      <c r="R96" s="48"/>
      <c r="S96" s="71"/>
      <c r="T96" s="48"/>
      <c r="U96" s="71"/>
      <c r="V96" s="48"/>
      <c r="W96" s="71"/>
      <c r="X96" s="48"/>
      <c r="Y96" s="71"/>
      <c r="Z96" s="48"/>
      <c r="AA96" s="72">
        <f t="shared" si="10"/>
        <v>0</v>
      </c>
      <c r="AB96" s="412">
        <f t="shared" si="10"/>
        <v>0</v>
      </c>
      <c r="AC96" s="371">
        <f t="shared" ref="AC96:AC159" si="11">D96</f>
        <v>0</v>
      </c>
    </row>
    <row r="97" spans="1:29" x14ac:dyDescent="0.25">
      <c r="A97" s="69"/>
      <c r="B97" s="70"/>
      <c r="C97" s="71"/>
      <c r="D97" s="48"/>
      <c r="E97" s="71"/>
      <c r="F97" s="48"/>
      <c r="G97" s="71"/>
      <c r="H97" s="48"/>
      <c r="I97" s="71"/>
      <c r="J97" s="48"/>
      <c r="K97" s="71"/>
      <c r="L97" s="48"/>
      <c r="M97" s="71"/>
      <c r="N97" s="48"/>
      <c r="O97" s="71"/>
      <c r="P97" s="48"/>
      <c r="Q97" s="71"/>
      <c r="R97" s="48"/>
      <c r="S97" s="71"/>
      <c r="T97" s="48"/>
      <c r="U97" s="71"/>
      <c r="V97" s="48"/>
      <c r="W97" s="71"/>
      <c r="X97" s="48"/>
      <c r="Y97" s="71"/>
      <c r="Z97" s="48"/>
      <c r="AA97" s="72">
        <f t="shared" si="10"/>
        <v>0</v>
      </c>
      <c r="AB97" s="412">
        <f t="shared" si="10"/>
        <v>0</v>
      </c>
      <c r="AC97" s="371">
        <f t="shared" si="11"/>
        <v>0</v>
      </c>
    </row>
    <row r="98" spans="1:29" x14ac:dyDescent="0.25">
      <c r="A98" s="73"/>
      <c r="B98" s="70"/>
      <c r="C98" s="71"/>
      <c r="D98" s="48"/>
      <c r="E98" s="71"/>
      <c r="F98" s="48"/>
      <c r="G98" s="71"/>
      <c r="H98" s="48"/>
      <c r="I98" s="71"/>
      <c r="J98" s="48"/>
      <c r="K98" s="71"/>
      <c r="L98" s="48"/>
      <c r="M98" s="71"/>
      <c r="N98" s="48"/>
      <c r="O98" s="71"/>
      <c r="P98" s="48"/>
      <c r="Q98" s="71"/>
      <c r="R98" s="48"/>
      <c r="S98" s="71"/>
      <c r="T98" s="48"/>
      <c r="U98" s="71"/>
      <c r="V98" s="48"/>
      <c r="W98" s="71"/>
      <c r="X98" s="48"/>
      <c r="Y98" s="71"/>
      <c r="Z98" s="48"/>
      <c r="AA98" s="72">
        <f t="shared" si="10"/>
        <v>0</v>
      </c>
      <c r="AB98" s="412">
        <f t="shared" si="10"/>
        <v>0</v>
      </c>
      <c r="AC98" s="371">
        <f t="shared" si="11"/>
        <v>0</v>
      </c>
    </row>
    <row r="99" spans="1:29" x14ac:dyDescent="0.25">
      <c r="A99" s="73"/>
      <c r="B99" s="70"/>
      <c r="C99" s="71"/>
      <c r="D99" s="48"/>
      <c r="E99" s="71"/>
      <c r="F99" s="48"/>
      <c r="G99" s="71"/>
      <c r="H99" s="48"/>
      <c r="I99" s="71"/>
      <c r="J99" s="48"/>
      <c r="K99" s="71"/>
      <c r="L99" s="48"/>
      <c r="M99" s="71"/>
      <c r="N99" s="48"/>
      <c r="O99" s="71"/>
      <c r="P99" s="48"/>
      <c r="Q99" s="71"/>
      <c r="R99" s="48"/>
      <c r="S99" s="71"/>
      <c r="T99" s="48"/>
      <c r="U99" s="71"/>
      <c r="V99" s="48"/>
      <c r="W99" s="71"/>
      <c r="X99" s="48"/>
      <c r="Y99" s="71"/>
      <c r="Z99" s="48"/>
      <c r="AA99" s="72">
        <f t="shared" si="10"/>
        <v>0</v>
      </c>
      <c r="AB99" s="412">
        <f t="shared" si="10"/>
        <v>0</v>
      </c>
      <c r="AC99" s="371">
        <f t="shared" si="11"/>
        <v>0</v>
      </c>
    </row>
    <row r="100" spans="1:29" x14ac:dyDescent="0.25">
      <c r="A100" s="73"/>
      <c r="B100" s="70"/>
      <c r="C100" s="71"/>
      <c r="D100" s="48"/>
      <c r="E100" s="71"/>
      <c r="F100" s="48"/>
      <c r="G100" s="71"/>
      <c r="H100" s="48"/>
      <c r="I100" s="71"/>
      <c r="J100" s="48"/>
      <c r="K100" s="71"/>
      <c r="L100" s="48"/>
      <c r="M100" s="71"/>
      <c r="N100" s="48"/>
      <c r="O100" s="71"/>
      <c r="P100" s="48"/>
      <c r="Q100" s="71"/>
      <c r="R100" s="48"/>
      <c r="S100" s="71"/>
      <c r="T100" s="48"/>
      <c r="U100" s="71"/>
      <c r="V100" s="48"/>
      <c r="W100" s="71"/>
      <c r="X100" s="48"/>
      <c r="Y100" s="71"/>
      <c r="Z100" s="48"/>
      <c r="AA100" s="72">
        <f t="shared" si="10"/>
        <v>0</v>
      </c>
      <c r="AB100" s="412">
        <f t="shared" si="10"/>
        <v>0</v>
      </c>
      <c r="AC100" s="371">
        <f t="shared" si="11"/>
        <v>0</v>
      </c>
    </row>
    <row r="101" spans="1:29" x14ac:dyDescent="0.25">
      <c r="A101" s="73"/>
      <c r="B101" s="70"/>
      <c r="C101" s="71"/>
      <c r="D101" s="48"/>
      <c r="E101" s="71"/>
      <c r="F101" s="48"/>
      <c r="G101" s="71"/>
      <c r="H101" s="48"/>
      <c r="I101" s="71"/>
      <c r="J101" s="48"/>
      <c r="K101" s="71"/>
      <c r="L101" s="48"/>
      <c r="M101" s="71"/>
      <c r="N101" s="48"/>
      <c r="O101" s="71"/>
      <c r="P101" s="48"/>
      <c r="Q101" s="71"/>
      <c r="R101" s="48"/>
      <c r="S101" s="71"/>
      <c r="T101" s="48"/>
      <c r="U101" s="71"/>
      <c r="V101" s="48"/>
      <c r="W101" s="71"/>
      <c r="X101" s="48"/>
      <c r="Y101" s="71"/>
      <c r="Z101" s="48"/>
      <c r="AA101" s="72">
        <f t="shared" si="10"/>
        <v>0</v>
      </c>
      <c r="AB101" s="412">
        <f t="shared" si="10"/>
        <v>0</v>
      </c>
      <c r="AC101" s="371">
        <f t="shared" si="11"/>
        <v>0</v>
      </c>
    </row>
    <row r="102" spans="1:29" x14ac:dyDescent="0.25">
      <c r="A102" s="73"/>
      <c r="B102" s="70"/>
      <c r="C102" s="71"/>
      <c r="D102" s="48"/>
      <c r="E102" s="71"/>
      <c r="F102" s="48"/>
      <c r="G102" s="71"/>
      <c r="H102" s="48"/>
      <c r="I102" s="71"/>
      <c r="J102" s="48"/>
      <c r="K102" s="71"/>
      <c r="L102" s="48"/>
      <c r="M102" s="71"/>
      <c r="N102" s="48"/>
      <c r="O102" s="71"/>
      <c r="P102" s="48"/>
      <c r="Q102" s="71"/>
      <c r="R102" s="48"/>
      <c r="S102" s="71"/>
      <c r="T102" s="48"/>
      <c r="U102" s="71"/>
      <c r="V102" s="48"/>
      <c r="W102" s="71"/>
      <c r="X102" s="48"/>
      <c r="Y102" s="71"/>
      <c r="Z102" s="48"/>
      <c r="AA102" s="72">
        <f t="shared" si="10"/>
        <v>0</v>
      </c>
      <c r="AB102" s="412">
        <f t="shared" si="10"/>
        <v>0</v>
      </c>
      <c r="AC102" s="371">
        <f t="shared" si="11"/>
        <v>0</v>
      </c>
    </row>
    <row r="103" spans="1:29" x14ac:dyDescent="0.25">
      <c r="A103" s="69"/>
      <c r="B103" s="70"/>
      <c r="C103" s="71"/>
      <c r="D103" s="48"/>
      <c r="E103" s="71"/>
      <c r="F103" s="48"/>
      <c r="G103" s="71"/>
      <c r="H103" s="48"/>
      <c r="I103" s="71"/>
      <c r="J103" s="48"/>
      <c r="K103" s="71"/>
      <c r="L103" s="48"/>
      <c r="M103" s="71"/>
      <c r="N103" s="48"/>
      <c r="O103" s="71"/>
      <c r="P103" s="48"/>
      <c r="Q103" s="71"/>
      <c r="R103" s="48"/>
      <c r="S103" s="71"/>
      <c r="T103" s="48"/>
      <c r="U103" s="71"/>
      <c r="V103" s="48"/>
      <c r="W103" s="71"/>
      <c r="X103" s="48"/>
      <c r="Y103" s="71"/>
      <c r="Z103" s="48"/>
      <c r="AA103" s="72">
        <f t="shared" si="10"/>
        <v>0</v>
      </c>
      <c r="AB103" s="412">
        <f t="shared" si="10"/>
        <v>0</v>
      </c>
      <c r="AC103" s="371">
        <f t="shared" si="11"/>
        <v>0</v>
      </c>
    </row>
    <row r="104" spans="1:29" x14ac:dyDescent="0.25">
      <c r="A104" s="73"/>
      <c r="B104" s="70"/>
      <c r="C104" s="71"/>
      <c r="D104" s="48"/>
      <c r="E104" s="71"/>
      <c r="F104" s="48"/>
      <c r="G104" s="71"/>
      <c r="H104" s="48"/>
      <c r="I104" s="71"/>
      <c r="J104" s="48"/>
      <c r="K104" s="71"/>
      <c r="L104" s="48"/>
      <c r="M104" s="71"/>
      <c r="N104" s="48"/>
      <c r="O104" s="71"/>
      <c r="P104" s="48"/>
      <c r="Q104" s="71"/>
      <c r="R104" s="48"/>
      <c r="S104" s="71"/>
      <c r="T104" s="48"/>
      <c r="U104" s="71"/>
      <c r="V104" s="48"/>
      <c r="W104" s="71"/>
      <c r="X104" s="48"/>
      <c r="Y104" s="71"/>
      <c r="Z104" s="48"/>
      <c r="AA104" s="72">
        <f t="shared" si="10"/>
        <v>0</v>
      </c>
      <c r="AB104" s="412">
        <f t="shared" si="10"/>
        <v>0</v>
      </c>
      <c r="AC104" s="371">
        <f t="shared" si="11"/>
        <v>0</v>
      </c>
    </row>
    <row r="105" spans="1:29" x14ac:dyDescent="0.25">
      <c r="A105" s="73"/>
      <c r="B105" s="70"/>
      <c r="C105" s="71"/>
      <c r="D105" s="48"/>
      <c r="E105" s="71"/>
      <c r="F105" s="48"/>
      <c r="G105" s="71"/>
      <c r="H105" s="48"/>
      <c r="I105" s="71"/>
      <c r="J105" s="48"/>
      <c r="K105" s="71"/>
      <c r="L105" s="48"/>
      <c r="M105" s="71"/>
      <c r="N105" s="48"/>
      <c r="O105" s="71"/>
      <c r="P105" s="48"/>
      <c r="Q105" s="71"/>
      <c r="R105" s="48"/>
      <c r="S105" s="71"/>
      <c r="T105" s="48"/>
      <c r="U105" s="71"/>
      <c r="V105" s="48"/>
      <c r="W105" s="71"/>
      <c r="X105" s="48"/>
      <c r="Y105" s="71"/>
      <c r="Z105" s="48"/>
      <c r="AA105" s="72">
        <f t="shared" si="10"/>
        <v>0</v>
      </c>
      <c r="AB105" s="412">
        <f t="shared" si="10"/>
        <v>0</v>
      </c>
      <c r="AC105" s="371">
        <f t="shared" si="11"/>
        <v>0</v>
      </c>
    </row>
    <row r="106" spans="1:29" x14ac:dyDescent="0.25">
      <c r="A106" s="73"/>
      <c r="B106" s="70"/>
      <c r="C106" s="71"/>
      <c r="D106" s="48"/>
      <c r="E106" s="71"/>
      <c r="F106" s="48"/>
      <c r="G106" s="71"/>
      <c r="H106" s="48"/>
      <c r="I106" s="71"/>
      <c r="J106" s="48"/>
      <c r="K106" s="71"/>
      <c r="L106" s="48"/>
      <c r="M106" s="71"/>
      <c r="N106" s="48"/>
      <c r="O106" s="71"/>
      <c r="P106" s="48"/>
      <c r="Q106" s="71"/>
      <c r="R106" s="48"/>
      <c r="S106" s="71"/>
      <c r="T106" s="48"/>
      <c r="U106" s="71"/>
      <c r="V106" s="48"/>
      <c r="W106" s="71"/>
      <c r="X106" s="48"/>
      <c r="Y106" s="71"/>
      <c r="Z106" s="48"/>
      <c r="AA106" s="72">
        <f t="shared" si="10"/>
        <v>0</v>
      </c>
      <c r="AB106" s="412">
        <f t="shared" si="10"/>
        <v>0</v>
      </c>
      <c r="AC106" s="371">
        <f t="shared" si="11"/>
        <v>0</v>
      </c>
    </row>
    <row r="107" spans="1:29" x14ac:dyDescent="0.25">
      <c r="A107" s="73"/>
      <c r="B107" s="70"/>
      <c r="C107" s="71"/>
      <c r="D107" s="48"/>
      <c r="E107" s="71"/>
      <c r="F107" s="48"/>
      <c r="G107" s="71"/>
      <c r="H107" s="48"/>
      <c r="I107" s="71"/>
      <c r="J107" s="48"/>
      <c r="K107" s="71"/>
      <c r="L107" s="48"/>
      <c r="M107" s="71"/>
      <c r="N107" s="48"/>
      <c r="O107" s="71"/>
      <c r="P107" s="48"/>
      <c r="Q107" s="71"/>
      <c r="R107" s="48"/>
      <c r="S107" s="71"/>
      <c r="T107" s="48"/>
      <c r="U107" s="71"/>
      <c r="V107" s="48"/>
      <c r="W107" s="71"/>
      <c r="X107" s="48"/>
      <c r="Y107" s="71"/>
      <c r="Z107" s="48"/>
      <c r="AA107" s="72">
        <f t="shared" si="10"/>
        <v>0</v>
      </c>
      <c r="AB107" s="412">
        <f t="shared" si="10"/>
        <v>0</v>
      </c>
      <c r="AC107" s="371">
        <f t="shared" si="11"/>
        <v>0</v>
      </c>
    </row>
    <row r="108" spans="1:29" x14ac:dyDescent="0.25">
      <c r="A108" s="73"/>
      <c r="B108" s="70"/>
      <c r="C108" s="71"/>
      <c r="D108" s="48"/>
      <c r="E108" s="71"/>
      <c r="F108" s="48"/>
      <c r="G108" s="71"/>
      <c r="H108" s="48"/>
      <c r="I108" s="71"/>
      <c r="J108" s="48"/>
      <c r="K108" s="71"/>
      <c r="L108" s="48"/>
      <c r="M108" s="71"/>
      <c r="N108" s="48"/>
      <c r="O108" s="71"/>
      <c r="P108" s="48"/>
      <c r="Q108" s="71"/>
      <c r="R108" s="48"/>
      <c r="S108" s="71"/>
      <c r="T108" s="48"/>
      <c r="U108" s="71"/>
      <c r="V108" s="48"/>
      <c r="W108" s="71"/>
      <c r="X108" s="48"/>
      <c r="Y108" s="71"/>
      <c r="Z108" s="48"/>
      <c r="AA108" s="72">
        <f t="shared" si="10"/>
        <v>0</v>
      </c>
      <c r="AB108" s="412">
        <f t="shared" si="10"/>
        <v>0</v>
      </c>
      <c r="AC108" s="371">
        <f t="shared" si="11"/>
        <v>0</v>
      </c>
    </row>
    <row r="109" spans="1:29" x14ac:dyDescent="0.25">
      <c r="A109" s="73"/>
      <c r="B109" s="70"/>
      <c r="C109" s="71"/>
      <c r="D109" s="48"/>
      <c r="E109" s="71"/>
      <c r="F109" s="48"/>
      <c r="G109" s="71"/>
      <c r="H109" s="48"/>
      <c r="I109" s="71"/>
      <c r="J109" s="48"/>
      <c r="K109" s="71"/>
      <c r="L109" s="48"/>
      <c r="M109" s="71"/>
      <c r="N109" s="48"/>
      <c r="O109" s="71"/>
      <c r="P109" s="48"/>
      <c r="Q109" s="71"/>
      <c r="R109" s="48"/>
      <c r="S109" s="71"/>
      <c r="T109" s="48"/>
      <c r="U109" s="71"/>
      <c r="V109" s="48"/>
      <c r="W109" s="71"/>
      <c r="X109" s="48"/>
      <c r="Y109" s="71"/>
      <c r="Z109" s="48"/>
      <c r="AA109" s="72">
        <f t="shared" si="10"/>
        <v>0</v>
      </c>
      <c r="AB109" s="412">
        <f t="shared" si="10"/>
        <v>0</v>
      </c>
      <c r="AC109" s="371">
        <f t="shared" si="11"/>
        <v>0</v>
      </c>
    </row>
    <row r="110" spans="1:29" x14ac:dyDescent="0.25">
      <c r="A110" s="73"/>
      <c r="B110" s="70"/>
      <c r="C110" s="71"/>
      <c r="D110" s="48"/>
      <c r="E110" s="71"/>
      <c r="F110" s="48"/>
      <c r="G110" s="71"/>
      <c r="H110" s="48"/>
      <c r="I110" s="71"/>
      <c r="J110" s="48"/>
      <c r="K110" s="71"/>
      <c r="L110" s="48"/>
      <c r="M110" s="71"/>
      <c r="N110" s="48"/>
      <c r="O110" s="71"/>
      <c r="P110" s="48"/>
      <c r="Q110" s="71"/>
      <c r="R110" s="48"/>
      <c r="S110" s="71"/>
      <c r="T110" s="48"/>
      <c r="U110" s="71"/>
      <c r="V110" s="48"/>
      <c r="W110" s="71"/>
      <c r="X110" s="48"/>
      <c r="Y110" s="71"/>
      <c r="Z110" s="48"/>
      <c r="AA110" s="72">
        <f t="shared" si="10"/>
        <v>0</v>
      </c>
      <c r="AB110" s="412">
        <f t="shared" si="10"/>
        <v>0</v>
      </c>
      <c r="AC110" s="371">
        <f t="shared" si="11"/>
        <v>0</v>
      </c>
    </row>
    <row r="111" spans="1:29" x14ac:dyDescent="0.25">
      <c r="A111" s="73"/>
      <c r="B111" s="70"/>
      <c r="C111" s="71"/>
      <c r="D111" s="48"/>
      <c r="E111" s="71"/>
      <c r="F111" s="48"/>
      <c r="G111" s="71"/>
      <c r="H111" s="48"/>
      <c r="I111" s="71"/>
      <c r="J111" s="48"/>
      <c r="K111" s="71"/>
      <c r="L111" s="48"/>
      <c r="M111" s="71"/>
      <c r="N111" s="48"/>
      <c r="O111" s="71"/>
      <c r="P111" s="48"/>
      <c r="Q111" s="71"/>
      <c r="R111" s="48"/>
      <c r="S111" s="71"/>
      <c r="T111" s="48"/>
      <c r="U111" s="71"/>
      <c r="V111" s="48"/>
      <c r="W111" s="71"/>
      <c r="X111" s="48"/>
      <c r="Y111" s="71"/>
      <c r="Z111" s="48"/>
      <c r="AA111" s="72">
        <f t="shared" si="10"/>
        <v>0</v>
      </c>
      <c r="AB111" s="412">
        <f t="shared" si="10"/>
        <v>0</v>
      </c>
      <c r="AC111" s="371">
        <f t="shared" si="11"/>
        <v>0</v>
      </c>
    </row>
    <row r="112" spans="1:29" x14ac:dyDescent="0.25">
      <c r="A112" s="73"/>
      <c r="B112" s="70"/>
      <c r="C112" s="71"/>
      <c r="D112" s="48"/>
      <c r="E112" s="71"/>
      <c r="F112" s="48"/>
      <c r="G112" s="71"/>
      <c r="H112" s="48"/>
      <c r="I112" s="71"/>
      <c r="J112" s="48"/>
      <c r="K112" s="71"/>
      <c r="L112" s="48"/>
      <c r="M112" s="71"/>
      <c r="N112" s="48"/>
      <c r="O112" s="71"/>
      <c r="P112" s="48"/>
      <c r="Q112" s="71"/>
      <c r="R112" s="48"/>
      <c r="S112" s="71"/>
      <c r="T112" s="48"/>
      <c r="U112" s="71"/>
      <c r="V112" s="48"/>
      <c r="W112" s="71"/>
      <c r="X112" s="48"/>
      <c r="Y112" s="71"/>
      <c r="Z112" s="48"/>
      <c r="AA112" s="72">
        <f t="shared" si="10"/>
        <v>0</v>
      </c>
      <c r="AB112" s="412">
        <f t="shared" si="10"/>
        <v>0</v>
      </c>
      <c r="AC112" s="371">
        <f t="shared" si="11"/>
        <v>0</v>
      </c>
    </row>
    <row r="113" spans="1:29" x14ac:dyDescent="0.25">
      <c r="A113" s="73"/>
      <c r="B113" s="70"/>
      <c r="C113" s="71"/>
      <c r="D113" s="48"/>
      <c r="E113" s="71"/>
      <c r="F113" s="48"/>
      <c r="G113" s="71"/>
      <c r="H113" s="48"/>
      <c r="I113" s="71"/>
      <c r="J113" s="48"/>
      <c r="K113" s="71"/>
      <c r="L113" s="48"/>
      <c r="M113" s="71"/>
      <c r="N113" s="48"/>
      <c r="O113" s="71"/>
      <c r="P113" s="48"/>
      <c r="Q113" s="71"/>
      <c r="R113" s="48"/>
      <c r="S113" s="71"/>
      <c r="T113" s="48"/>
      <c r="U113" s="71"/>
      <c r="V113" s="48"/>
      <c r="W113" s="71"/>
      <c r="X113" s="48"/>
      <c r="Y113" s="71"/>
      <c r="Z113" s="48"/>
      <c r="AA113" s="72">
        <f t="shared" si="10"/>
        <v>0</v>
      </c>
      <c r="AB113" s="412">
        <f t="shared" si="10"/>
        <v>0</v>
      </c>
      <c r="AC113" s="371">
        <f t="shared" si="11"/>
        <v>0</v>
      </c>
    </row>
    <row r="114" spans="1:29" x14ac:dyDescent="0.25">
      <c r="A114" s="73"/>
      <c r="B114" s="70"/>
      <c r="C114" s="71"/>
      <c r="D114" s="48"/>
      <c r="E114" s="71"/>
      <c r="F114" s="48"/>
      <c r="G114" s="71"/>
      <c r="H114" s="48"/>
      <c r="I114" s="71"/>
      <c r="J114" s="48"/>
      <c r="K114" s="71"/>
      <c r="L114" s="48"/>
      <c r="M114" s="71"/>
      <c r="N114" s="48"/>
      <c r="O114" s="71"/>
      <c r="P114" s="48"/>
      <c r="Q114" s="71"/>
      <c r="R114" s="48"/>
      <c r="S114" s="71"/>
      <c r="T114" s="48"/>
      <c r="U114" s="71"/>
      <c r="V114" s="48"/>
      <c r="W114" s="71"/>
      <c r="X114" s="48"/>
      <c r="Y114" s="71"/>
      <c r="Z114" s="48"/>
      <c r="AA114" s="72"/>
      <c r="AB114" s="413"/>
      <c r="AC114" s="362">
        <f t="shared" si="11"/>
        <v>0</v>
      </c>
    </row>
    <row r="115" spans="1:29" x14ac:dyDescent="0.25">
      <c r="A115" s="73"/>
      <c r="B115" s="70"/>
      <c r="C115" s="71"/>
      <c r="D115" s="48"/>
      <c r="E115" s="71"/>
      <c r="F115" s="48"/>
      <c r="G115" s="71"/>
      <c r="H115" s="48"/>
      <c r="I115" s="71"/>
      <c r="J115" s="48"/>
      <c r="K115" s="71"/>
      <c r="L115" s="48"/>
      <c r="M115" s="71"/>
      <c r="N115" s="48"/>
      <c r="O115" s="71"/>
      <c r="P115" s="48"/>
      <c r="Q115" s="71"/>
      <c r="R115" s="48"/>
      <c r="S115" s="71"/>
      <c r="T115" s="48"/>
      <c r="U115" s="71"/>
      <c r="V115" s="48"/>
      <c r="W115" s="71"/>
      <c r="X115" s="48"/>
      <c r="Y115" s="71"/>
      <c r="Z115" s="48"/>
      <c r="AA115" s="72"/>
      <c r="AB115" s="413"/>
      <c r="AC115" s="362">
        <f t="shared" si="11"/>
        <v>0</v>
      </c>
    </row>
    <row r="116" spans="1:29" x14ac:dyDescent="0.25">
      <c r="A116" s="73"/>
      <c r="B116" s="70"/>
      <c r="C116" s="71"/>
      <c r="D116" s="48"/>
      <c r="E116" s="71"/>
      <c r="F116" s="48"/>
      <c r="G116" s="71"/>
      <c r="H116" s="48"/>
      <c r="I116" s="71"/>
      <c r="J116" s="48"/>
      <c r="K116" s="71"/>
      <c r="L116" s="48"/>
      <c r="M116" s="71"/>
      <c r="N116" s="48"/>
      <c r="O116" s="71"/>
      <c r="P116" s="48"/>
      <c r="Q116" s="71"/>
      <c r="R116" s="48"/>
      <c r="S116" s="71"/>
      <c r="T116" s="48"/>
      <c r="U116" s="71"/>
      <c r="V116" s="48"/>
      <c r="W116" s="71"/>
      <c r="X116" s="48"/>
      <c r="Y116" s="71"/>
      <c r="Z116" s="48"/>
      <c r="AA116" s="72"/>
      <c r="AB116" s="413"/>
      <c r="AC116" s="362">
        <f t="shared" si="11"/>
        <v>0</v>
      </c>
    </row>
    <row r="117" spans="1:29" x14ac:dyDescent="0.25">
      <c r="A117" s="73"/>
      <c r="B117" s="70"/>
      <c r="C117" s="71"/>
      <c r="D117" s="48"/>
      <c r="E117" s="71"/>
      <c r="F117" s="48"/>
      <c r="G117" s="71"/>
      <c r="H117" s="48"/>
      <c r="I117" s="71"/>
      <c r="J117" s="48"/>
      <c r="K117" s="71"/>
      <c r="L117" s="48"/>
      <c r="M117" s="71"/>
      <c r="N117" s="48"/>
      <c r="O117" s="71"/>
      <c r="P117" s="48"/>
      <c r="Q117" s="71"/>
      <c r="R117" s="48"/>
      <c r="S117" s="71"/>
      <c r="T117" s="48"/>
      <c r="U117" s="71"/>
      <c r="V117" s="48"/>
      <c r="W117" s="71"/>
      <c r="X117" s="48"/>
      <c r="Y117" s="71"/>
      <c r="Z117" s="48"/>
      <c r="AA117" s="72"/>
      <c r="AB117" s="413"/>
      <c r="AC117" s="362">
        <f t="shared" si="11"/>
        <v>0</v>
      </c>
    </row>
    <row r="118" spans="1:29" x14ac:dyDescent="0.25">
      <c r="A118" s="73"/>
      <c r="B118" s="70"/>
      <c r="C118" s="71"/>
      <c r="D118" s="48"/>
      <c r="E118" s="71"/>
      <c r="F118" s="48"/>
      <c r="G118" s="71"/>
      <c r="H118" s="48"/>
      <c r="I118" s="71"/>
      <c r="J118" s="48"/>
      <c r="K118" s="71"/>
      <c r="L118" s="48"/>
      <c r="M118" s="71"/>
      <c r="N118" s="48"/>
      <c r="O118" s="71"/>
      <c r="P118" s="48"/>
      <c r="Q118" s="71"/>
      <c r="R118" s="48"/>
      <c r="S118" s="71"/>
      <c r="T118" s="48"/>
      <c r="U118" s="71"/>
      <c r="V118" s="48"/>
      <c r="W118" s="71"/>
      <c r="X118" s="48"/>
      <c r="Y118" s="71"/>
      <c r="Z118" s="48"/>
      <c r="AA118" s="72"/>
      <c r="AB118" s="413"/>
      <c r="AC118" s="362">
        <f t="shared" si="11"/>
        <v>0</v>
      </c>
    </row>
    <row r="119" spans="1:29" x14ac:dyDescent="0.25">
      <c r="A119" s="73"/>
      <c r="B119" s="70"/>
      <c r="C119" s="71"/>
      <c r="D119" s="48"/>
      <c r="E119" s="71"/>
      <c r="F119" s="48"/>
      <c r="G119" s="71"/>
      <c r="H119" s="48"/>
      <c r="I119" s="71"/>
      <c r="J119" s="48"/>
      <c r="K119" s="71"/>
      <c r="L119" s="48"/>
      <c r="M119" s="71"/>
      <c r="N119" s="48"/>
      <c r="O119" s="71"/>
      <c r="P119" s="48"/>
      <c r="Q119" s="71"/>
      <c r="R119" s="48"/>
      <c r="S119" s="71"/>
      <c r="T119" s="48"/>
      <c r="U119" s="71"/>
      <c r="V119" s="48"/>
      <c r="W119" s="71"/>
      <c r="X119" s="48"/>
      <c r="Y119" s="71"/>
      <c r="Z119" s="48"/>
      <c r="AA119" s="72"/>
      <c r="AB119" s="413"/>
      <c r="AC119" s="362">
        <f t="shared" si="11"/>
        <v>0</v>
      </c>
    </row>
    <row r="120" spans="1:29" x14ac:dyDescent="0.25">
      <c r="A120" s="73"/>
      <c r="B120" s="70"/>
      <c r="C120" s="71"/>
      <c r="D120" s="48"/>
      <c r="E120" s="71"/>
      <c r="F120" s="48"/>
      <c r="G120" s="71"/>
      <c r="H120" s="48"/>
      <c r="I120" s="71"/>
      <c r="J120" s="48"/>
      <c r="K120" s="71"/>
      <c r="L120" s="48"/>
      <c r="M120" s="71"/>
      <c r="N120" s="48"/>
      <c r="O120" s="71"/>
      <c r="P120" s="48"/>
      <c r="Q120" s="71"/>
      <c r="R120" s="48"/>
      <c r="S120" s="71"/>
      <c r="T120" s="48"/>
      <c r="U120" s="71"/>
      <c r="V120" s="48"/>
      <c r="W120" s="71"/>
      <c r="X120" s="48"/>
      <c r="Y120" s="71"/>
      <c r="Z120" s="48"/>
      <c r="AA120" s="72"/>
      <c r="AB120" s="413"/>
      <c r="AC120" s="362">
        <f t="shared" si="11"/>
        <v>0</v>
      </c>
    </row>
    <row r="121" spans="1:29" x14ac:dyDescent="0.25">
      <c r="A121" s="73"/>
      <c r="B121" s="70"/>
      <c r="C121" s="71"/>
      <c r="D121" s="48"/>
      <c r="E121" s="71"/>
      <c r="F121" s="48"/>
      <c r="G121" s="71"/>
      <c r="H121" s="48"/>
      <c r="I121" s="71"/>
      <c r="J121" s="48"/>
      <c r="K121" s="71"/>
      <c r="L121" s="48"/>
      <c r="M121" s="71"/>
      <c r="N121" s="48"/>
      <c r="O121" s="71"/>
      <c r="P121" s="48"/>
      <c r="Q121" s="71"/>
      <c r="R121" s="48"/>
      <c r="S121" s="71"/>
      <c r="T121" s="48"/>
      <c r="U121" s="71"/>
      <c r="V121" s="48"/>
      <c r="W121" s="71"/>
      <c r="X121" s="48"/>
      <c r="Y121" s="71"/>
      <c r="Z121" s="48"/>
      <c r="AA121" s="72"/>
      <c r="AB121" s="413"/>
      <c r="AC121" s="362">
        <f t="shared" si="11"/>
        <v>0</v>
      </c>
    </row>
    <row r="122" spans="1:29" x14ac:dyDescent="0.25">
      <c r="A122" s="73"/>
      <c r="B122" s="70"/>
      <c r="C122" s="71"/>
      <c r="D122" s="48"/>
      <c r="E122" s="71"/>
      <c r="F122" s="48"/>
      <c r="G122" s="71"/>
      <c r="H122" s="48"/>
      <c r="I122" s="71"/>
      <c r="J122" s="48"/>
      <c r="K122" s="71"/>
      <c r="L122" s="48"/>
      <c r="M122" s="71"/>
      <c r="N122" s="48"/>
      <c r="O122" s="71"/>
      <c r="P122" s="48"/>
      <c r="Q122" s="71"/>
      <c r="R122" s="48"/>
      <c r="S122" s="71"/>
      <c r="T122" s="48"/>
      <c r="U122" s="71"/>
      <c r="V122" s="48"/>
      <c r="W122" s="71"/>
      <c r="X122" s="48"/>
      <c r="Y122" s="71"/>
      <c r="Z122" s="48"/>
      <c r="AA122" s="72"/>
      <c r="AB122" s="413"/>
      <c r="AC122" s="362">
        <f t="shared" si="11"/>
        <v>0</v>
      </c>
    </row>
    <row r="123" spans="1:29" x14ac:dyDescent="0.25">
      <c r="A123" s="73"/>
      <c r="B123" s="70"/>
      <c r="C123" s="71"/>
      <c r="D123" s="48"/>
      <c r="E123" s="71"/>
      <c r="F123" s="48"/>
      <c r="G123" s="71"/>
      <c r="H123" s="48"/>
      <c r="I123" s="71"/>
      <c r="J123" s="48"/>
      <c r="K123" s="71"/>
      <c r="L123" s="48"/>
      <c r="M123" s="71"/>
      <c r="N123" s="48"/>
      <c r="O123" s="71"/>
      <c r="P123" s="48"/>
      <c r="Q123" s="71"/>
      <c r="R123" s="48"/>
      <c r="S123" s="71"/>
      <c r="T123" s="48"/>
      <c r="U123" s="71"/>
      <c r="V123" s="48"/>
      <c r="W123" s="71"/>
      <c r="X123" s="48"/>
      <c r="Y123" s="71"/>
      <c r="Z123" s="48"/>
      <c r="AA123" s="72"/>
      <c r="AB123" s="413"/>
      <c r="AC123" s="362">
        <f t="shared" si="11"/>
        <v>0</v>
      </c>
    </row>
    <row r="124" spans="1:29" x14ac:dyDescent="0.25">
      <c r="A124" s="73"/>
      <c r="B124" s="70"/>
      <c r="C124" s="71"/>
      <c r="D124" s="48"/>
      <c r="E124" s="71"/>
      <c r="F124" s="48"/>
      <c r="G124" s="71"/>
      <c r="H124" s="48"/>
      <c r="I124" s="71"/>
      <c r="J124" s="48"/>
      <c r="K124" s="71"/>
      <c r="L124" s="48"/>
      <c r="M124" s="71"/>
      <c r="N124" s="48"/>
      <c r="O124" s="71"/>
      <c r="P124" s="48"/>
      <c r="Q124" s="71"/>
      <c r="R124" s="48"/>
      <c r="S124" s="71"/>
      <c r="T124" s="48"/>
      <c r="U124" s="71"/>
      <c r="V124" s="48"/>
      <c r="W124" s="71"/>
      <c r="X124" s="48"/>
      <c r="Y124" s="71"/>
      <c r="Z124" s="48"/>
      <c r="AA124" s="72"/>
      <c r="AB124" s="413"/>
      <c r="AC124" s="362">
        <f t="shared" si="11"/>
        <v>0</v>
      </c>
    </row>
    <row r="125" spans="1:29" x14ac:dyDescent="0.25">
      <c r="A125" s="73"/>
      <c r="B125" s="70"/>
      <c r="C125" s="71"/>
      <c r="D125" s="48"/>
      <c r="E125" s="71"/>
      <c r="F125" s="48"/>
      <c r="G125" s="71"/>
      <c r="H125" s="48"/>
      <c r="I125" s="71"/>
      <c r="J125" s="48"/>
      <c r="K125" s="71"/>
      <c r="L125" s="48"/>
      <c r="M125" s="71"/>
      <c r="N125" s="48"/>
      <c r="O125" s="71"/>
      <c r="P125" s="48"/>
      <c r="Q125" s="71"/>
      <c r="R125" s="48"/>
      <c r="S125" s="71"/>
      <c r="T125" s="48"/>
      <c r="U125" s="71"/>
      <c r="V125" s="48"/>
      <c r="W125" s="71"/>
      <c r="X125" s="48"/>
      <c r="Y125" s="71"/>
      <c r="Z125" s="48"/>
      <c r="AA125" s="72"/>
      <c r="AB125" s="413"/>
      <c r="AC125" s="362">
        <f t="shared" si="11"/>
        <v>0</v>
      </c>
    </row>
    <row r="126" spans="1:29" x14ac:dyDescent="0.25">
      <c r="A126" s="73"/>
      <c r="B126" s="70"/>
      <c r="C126" s="71"/>
      <c r="D126" s="48"/>
      <c r="E126" s="71"/>
      <c r="F126" s="48"/>
      <c r="G126" s="71"/>
      <c r="H126" s="48"/>
      <c r="I126" s="71"/>
      <c r="J126" s="48"/>
      <c r="K126" s="71"/>
      <c r="L126" s="48"/>
      <c r="M126" s="71"/>
      <c r="N126" s="48"/>
      <c r="O126" s="71"/>
      <c r="P126" s="48"/>
      <c r="Q126" s="71"/>
      <c r="R126" s="48"/>
      <c r="S126" s="71"/>
      <c r="T126" s="48"/>
      <c r="U126" s="71"/>
      <c r="V126" s="48"/>
      <c r="W126" s="71"/>
      <c r="X126" s="48"/>
      <c r="Y126" s="71"/>
      <c r="Z126" s="48"/>
      <c r="AA126" s="72"/>
      <c r="AB126" s="413"/>
      <c r="AC126" s="362">
        <f t="shared" si="11"/>
        <v>0</v>
      </c>
    </row>
    <row r="127" spans="1:29" x14ac:dyDescent="0.25">
      <c r="A127" s="73"/>
      <c r="B127" s="70"/>
      <c r="C127" s="71"/>
      <c r="D127" s="48"/>
      <c r="E127" s="71"/>
      <c r="F127" s="48"/>
      <c r="G127" s="71"/>
      <c r="H127" s="48"/>
      <c r="I127" s="71"/>
      <c r="J127" s="48"/>
      <c r="K127" s="71"/>
      <c r="L127" s="48"/>
      <c r="M127" s="71"/>
      <c r="N127" s="48"/>
      <c r="O127" s="71"/>
      <c r="P127" s="48"/>
      <c r="Q127" s="71"/>
      <c r="R127" s="48"/>
      <c r="S127" s="71"/>
      <c r="T127" s="48"/>
      <c r="U127" s="71"/>
      <c r="V127" s="48"/>
      <c r="W127" s="71"/>
      <c r="X127" s="48"/>
      <c r="Y127" s="71"/>
      <c r="Z127" s="48"/>
      <c r="AA127" s="72"/>
      <c r="AB127" s="413"/>
      <c r="AC127" s="362">
        <f t="shared" si="11"/>
        <v>0</v>
      </c>
    </row>
    <row r="128" spans="1:29" x14ac:dyDescent="0.25">
      <c r="A128" s="73"/>
      <c r="B128" s="70"/>
      <c r="C128" s="71"/>
      <c r="D128" s="48"/>
      <c r="E128" s="71"/>
      <c r="F128" s="48"/>
      <c r="G128" s="71"/>
      <c r="H128" s="48"/>
      <c r="I128" s="71"/>
      <c r="J128" s="48"/>
      <c r="K128" s="71"/>
      <c r="L128" s="48"/>
      <c r="M128" s="71"/>
      <c r="N128" s="48"/>
      <c r="O128" s="71"/>
      <c r="P128" s="48"/>
      <c r="Q128" s="71"/>
      <c r="R128" s="48"/>
      <c r="S128" s="71"/>
      <c r="T128" s="48"/>
      <c r="U128" s="71"/>
      <c r="V128" s="48"/>
      <c r="W128" s="71"/>
      <c r="X128" s="48"/>
      <c r="Y128" s="71"/>
      <c r="Z128" s="48"/>
      <c r="AA128" s="72"/>
      <c r="AB128" s="413"/>
      <c r="AC128" s="362">
        <f t="shared" si="11"/>
        <v>0</v>
      </c>
    </row>
    <row r="129" spans="1:29" x14ac:dyDescent="0.25">
      <c r="A129" s="73"/>
      <c r="B129" s="70"/>
      <c r="C129" s="71"/>
      <c r="D129" s="48"/>
      <c r="E129" s="71"/>
      <c r="F129" s="48"/>
      <c r="G129" s="71"/>
      <c r="H129" s="48"/>
      <c r="I129" s="71"/>
      <c r="J129" s="48"/>
      <c r="K129" s="71"/>
      <c r="L129" s="48"/>
      <c r="M129" s="71"/>
      <c r="N129" s="48"/>
      <c r="O129" s="71"/>
      <c r="P129" s="48"/>
      <c r="Q129" s="71"/>
      <c r="R129" s="48"/>
      <c r="S129" s="71"/>
      <c r="T129" s="48"/>
      <c r="U129" s="71"/>
      <c r="V129" s="48"/>
      <c r="W129" s="71"/>
      <c r="X129" s="48"/>
      <c r="Y129" s="71"/>
      <c r="Z129" s="48"/>
      <c r="AA129" s="72"/>
      <c r="AB129" s="413"/>
      <c r="AC129" s="362">
        <f t="shared" si="11"/>
        <v>0</v>
      </c>
    </row>
    <row r="130" spans="1:29" x14ac:dyDescent="0.25">
      <c r="A130" s="73"/>
      <c r="B130" s="70"/>
      <c r="C130" s="71"/>
      <c r="D130" s="48"/>
      <c r="E130" s="71"/>
      <c r="F130" s="48"/>
      <c r="G130" s="71"/>
      <c r="H130" s="48"/>
      <c r="I130" s="71"/>
      <c r="J130" s="48"/>
      <c r="K130" s="71"/>
      <c r="L130" s="48"/>
      <c r="M130" s="71"/>
      <c r="N130" s="48"/>
      <c r="O130" s="71"/>
      <c r="P130" s="48"/>
      <c r="Q130" s="71"/>
      <c r="R130" s="48"/>
      <c r="S130" s="71"/>
      <c r="T130" s="48"/>
      <c r="U130" s="71"/>
      <c r="V130" s="48"/>
      <c r="W130" s="71"/>
      <c r="X130" s="48"/>
      <c r="Y130" s="71"/>
      <c r="Z130" s="48"/>
      <c r="AA130" s="72"/>
      <c r="AB130" s="413"/>
      <c r="AC130" s="362">
        <f t="shared" si="11"/>
        <v>0</v>
      </c>
    </row>
    <row r="131" spans="1:29" x14ac:dyDescent="0.25">
      <c r="A131" s="73"/>
      <c r="B131" s="70"/>
      <c r="C131" s="71"/>
      <c r="D131" s="48"/>
      <c r="E131" s="71"/>
      <c r="F131" s="48"/>
      <c r="G131" s="71"/>
      <c r="H131" s="48"/>
      <c r="I131" s="71"/>
      <c r="J131" s="48"/>
      <c r="K131" s="71"/>
      <c r="L131" s="48"/>
      <c r="M131" s="71"/>
      <c r="N131" s="48"/>
      <c r="O131" s="71"/>
      <c r="P131" s="48"/>
      <c r="Q131" s="71"/>
      <c r="R131" s="48"/>
      <c r="S131" s="71"/>
      <c r="T131" s="48"/>
      <c r="U131" s="71"/>
      <c r="V131" s="48"/>
      <c r="W131" s="71"/>
      <c r="X131" s="48"/>
      <c r="Y131" s="71"/>
      <c r="Z131" s="48"/>
      <c r="AA131" s="72"/>
      <c r="AB131" s="413"/>
      <c r="AC131" s="362">
        <f t="shared" si="11"/>
        <v>0</v>
      </c>
    </row>
    <row r="132" spans="1:29" x14ac:dyDescent="0.25">
      <c r="A132" s="73"/>
      <c r="B132" s="70"/>
      <c r="C132" s="71"/>
      <c r="D132" s="48"/>
      <c r="E132" s="71"/>
      <c r="F132" s="48"/>
      <c r="G132" s="71"/>
      <c r="H132" s="48"/>
      <c r="I132" s="71"/>
      <c r="J132" s="48"/>
      <c r="K132" s="71"/>
      <c r="L132" s="48"/>
      <c r="M132" s="71"/>
      <c r="N132" s="48"/>
      <c r="O132" s="71"/>
      <c r="P132" s="48"/>
      <c r="Q132" s="71"/>
      <c r="R132" s="48"/>
      <c r="S132" s="71"/>
      <c r="T132" s="48"/>
      <c r="U132" s="71"/>
      <c r="V132" s="48"/>
      <c r="W132" s="71"/>
      <c r="X132" s="48"/>
      <c r="Y132" s="71"/>
      <c r="Z132" s="48"/>
      <c r="AA132" s="72"/>
      <c r="AB132" s="413"/>
      <c r="AC132" s="362">
        <f t="shared" si="11"/>
        <v>0</v>
      </c>
    </row>
    <row r="133" spans="1:29" x14ac:dyDescent="0.25">
      <c r="A133" s="73"/>
      <c r="B133" s="70"/>
      <c r="C133" s="71"/>
      <c r="D133" s="48"/>
      <c r="E133" s="71"/>
      <c r="F133" s="48"/>
      <c r="G133" s="71"/>
      <c r="H133" s="48"/>
      <c r="I133" s="71"/>
      <c r="J133" s="48"/>
      <c r="K133" s="71"/>
      <c r="L133" s="48"/>
      <c r="M133" s="71"/>
      <c r="N133" s="48"/>
      <c r="O133" s="71"/>
      <c r="P133" s="48"/>
      <c r="Q133" s="71"/>
      <c r="R133" s="48"/>
      <c r="S133" s="71"/>
      <c r="T133" s="48"/>
      <c r="U133" s="71"/>
      <c r="V133" s="48"/>
      <c r="W133" s="71"/>
      <c r="X133" s="48"/>
      <c r="Y133" s="71"/>
      <c r="Z133" s="48"/>
      <c r="AA133" s="72"/>
      <c r="AB133" s="413"/>
      <c r="AC133" s="362">
        <f t="shared" si="11"/>
        <v>0</v>
      </c>
    </row>
    <row r="134" spans="1:29" x14ac:dyDescent="0.25">
      <c r="A134" s="73"/>
      <c r="B134" s="70"/>
      <c r="C134" s="71"/>
      <c r="D134" s="48"/>
      <c r="E134" s="71"/>
      <c r="F134" s="48"/>
      <c r="G134" s="71"/>
      <c r="H134" s="48"/>
      <c r="I134" s="71"/>
      <c r="J134" s="48"/>
      <c r="K134" s="71"/>
      <c r="L134" s="48"/>
      <c r="M134" s="71"/>
      <c r="N134" s="48"/>
      <c r="O134" s="71"/>
      <c r="P134" s="48"/>
      <c r="Q134" s="71"/>
      <c r="R134" s="48"/>
      <c r="S134" s="71"/>
      <c r="T134" s="48"/>
      <c r="U134" s="71"/>
      <c r="V134" s="48"/>
      <c r="W134" s="71"/>
      <c r="X134" s="48"/>
      <c r="Y134" s="71"/>
      <c r="Z134" s="48"/>
      <c r="AA134" s="72"/>
      <c r="AB134" s="413"/>
      <c r="AC134" s="362">
        <f t="shared" si="11"/>
        <v>0</v>
      </c>
    </row>
    <row r="135" spans="1:29" x14ac:dyDescent="0.25">
      <c r="A135" s="73"/>
      <c r="B135" s="70"/>
      <c r="C135" s="71"/>
      <c r="D135" s="48"/>
      <c r="E135" s="71"/>
      <c r="F135" s="48"/>
      <c r="G135" s="71"/>
      <c r="H135" s="48"/>
      <c r="I135" s="71"/>
      <c r="J135" s="48"/>
      <c r="K135" s="71"/>
      <c r="L135" s="48"/>
      <c r="M135" s="71"/>
      <c r="N135" s="48"/>
      <c r="O135" s="71"/>
      <c r="P135" s="48"/>
      <c r="Q135" s="71"/>
      <c r="R135" s="48"/>
      <c r="S135" s="71"/>
      <c r="T135" s="48"/>
      <c r="U135" s="71"/>
      <c r="V135" s="48"/>
      <c r="W135" s="71"/>
      <c r="X135" s="48"/>
      <c r="Y135" s="71"/>
      <c r="Z135" s="48"/>
      <c r="AA135" s="72"/>
      <c r="AB135" s="413"/>
      <c r="AC135" s="362">
        <f t="shared" si="11"/>
        <v>0</v>
      </c>
    </row>
    <row r="136" spans="1:29" x14ac:dyDescent="0.25">
      <c r="A136" s="73"/>
      <c r="B136" s="70"/>
      <c r="C136" s="71"/>
      <c r="D136" s="48"/>
      <c r="E136" s="71"/>
      <c r="F136" s="48"/>
      <c r="G136" s="71"/>
      <c r="H136" s="48"/>
      <c r="I136" s="71"/>
      <c r="J136" s="48"/>
      <c r="K136" s="71"/>
      <c r="L136" s="48"/>
      <c r="M136" s="71"/>
      <c r="N136" s="48"/>
      <c r="O136" s="71"/>
      <c r="P136" s="48"/>
      <c r="Q136" s="71"/>
      <c r="R136" s="48"/>
      <c r="S136" s="71"/>
      <c r="T136" s="48"/>
      <c r="U136" s="71"/>
      <c r="V136" s="48"/>
      <c r="W136" s="71"/>
      <c r="X136" s="48"/>
      <c r="Y136" s="71"/>
      <c r="Z136" s="48"/>
      <c r="AA136" s="72"/>
      <c r="AB136" s="413"/>
      <c r="AC136" s="362">
        <f t="shared" si="11"/>
        <v>0</v>
      </c>
    </row>
    <row r="137" spans="1:29" x14ac:dyDescent="0.25">
      <c r="A137" s="73"/>
      <c r="B137" s="70"/>
      <c r="C137" s="71"/>
      <c r="D137" s="48"/>
      <c r="E137" s="71"/>
      <c r="F137" s="48"/>
      <c r="G137" s="71"/>
      <c r="H137" s="48"/>
      <c r="I137" s="71"/>
      <c r="J137" s="48"/>
      <c r="K137" s="71"/>
      <c r="L137" s="48"/>
      <c r="M137" s="71"/>
      <c r="N137" s="48"/>
      <c r="O137" s="71"/>
      <c r="P137" s="48"/>
      <c r="Q137" s="71"/>
      <c r="R137" s="48"/>
      <c r="S137" s="71"/>
      <c r="T137" s="48"/>
      <c r="U137" s="71"/>
      <c r="V137" s="48"/>
      <c r="W137" s="71"/>
      <c r="X137" s="48"/>
      <c r="Y137" s="71"/>
      <c r="Z137" s="48"/>
      <c r="AA137" s="72"/>
      <c r="AB137" s="413"/>
      <c r="AC137" s="362">
        <f t="shared" si="11"/>
        <v>0</v>
      </c>
    </row>
    <row r="138" spans="1:29" x14ac:dyDescent="0.25">
      <c r="A138" s="73"/>
      <c r="B138" s="70"/>
      <c r="C138" s="71"/>
      <c r="D138" s="48"/>
      <c r="E138" s="71"/>
      <c r="F138" s="48"/>
      <c r="G138" s="71"/>
      <c r="H138" s="48"/>
      <c r="I138" s="71"/>
      <c r="J138" s="48"/>
      <c r="K138" s="71"/>
      <c r="L138" s="48"/>
      <c r="M138" s="71"/>
      <c r="N138" s="48"/>
      <c r="O138" s="71"/>
      <c r="P138" s="48"/>
      <c r="Q138" s="71"/>
      <c r="R138" s="48"/>
      <c r="S138" s="71"/>
      <c r="T138" s="48"/>
      <c r="U138" s="71"/>
      <c r="V138" s="48"/>
      <c r="W138" s="71"/>
      <c r="X138" s="48"/>
      <c r="Y138" s="71"/>
      <c r="Z138" s="48"/>
      <c r="AA138" s="72"/>
      <c r="AB138" s="413"/>
      <c r="AC138" s="362">
        <f t="shared" si="11"/>
        <v>0</v>
      </c>
    </row>
    <row r="139" spans="1:29" x14ac:dyDescent="0.25">
      <c r="A139" s="73"/>
      <c r="B139" s="70"/>
      <c r="C139" s="71"/>
      <c r="D139" s="48"/>
      <c r="E139" s="71"/>
      <c r="F139" s="48"/>
      <c r="G139" s="71"/>
      <c r="H139" s="48"/>
      <c r="I139" s="71"/>
      <c r="J139" s="48"/>
      <c r="K139" s="71"/>
      <c r="L139" s="48"/>
      <c r="M139" s="71"/>
      <c r="N139" s="48"/>
      <c r="O139" s="71"/>
      <c r="P139" s="48"/>
      <c r="Q139" s="71"/>
      <c r="R139" s="48"/>
      <c r="S139" s="71"/>
      <c r="T139" s="48"/>
      <c r="U139" s="71"/>
      <c r="V139" s="48"/>
      <c r="W139" s="71"/>
      <c r="X139" s="48"/>
      <c r="Y139" s="71"/>
      <c r="Z139" s="48"/>
      <c r="AA139" s="72"/>
      <c r="AB139" s="413"/>
      <c r="AC139" s="362">
        <f t="shared" si="11"/>
        <v>0</v>
      </c>
    </row>
    <row r="140" spans="1:29" x14ac:dyDescent="0.25">
      <c r="A140" s="73"/>
      <c r="B140" s="70"/>
      <c r="C140" s="71"/>
      <c r="D140" s="48"/>
      <c r="E140" s="71"/>
      <c r="F140" s="48"/>
      <c r="G140" s="71"/>
      <c r="H140" s="48"/>
      <c r="I140" s="71"/>
      <c r="J140" s="48"/>
      <c r="K140" s="71"/>
      <c r="L140" s="48"/>
      <c r="M140" s="71"/>
      <c r="N140" s="48"/>
      <c r="O140" s="71"/>
      <c r="P140" s="48"/>
      <c r="Q140" s="71"/>
      <c r="R140" s="48"/>
      <c r="S140" s="71"/>
      <c r="T140" s="48"/>
      <c r="U140" s="71"/>
      <c r="V140" s="48"/>
      <c r="W140" s="71"/>
      <c r="X140" s="48"/>
      <c r="Y140" s="71"/>
      <c r="Z140" s="48"/>
      <c r="AA140" s="72"/>
      <c r="AB140" s="413"/>
      <c r="AC140" s="362">
        <f t="shared" si="11"/>
        <v>0</v>
      </c>
    </row>
    <row r="141" spans="1:29" x14ac:dyDescent="0.25">
      <c r="A141" s="73"/>
      <c r="B141" s="70"/>
      <c r="C141" s="71"/>
      <c r="D141" s="48"/>
      <c r="E141" s="71"/>
      <c r="F141" s="48"/>
      <c r="G141" s="71"/>
      <c r="H141" s="48"/>
      <c r="I141" s="71"/>
      <c r="J141" s="48"/>
      <c r="K141" s="71"/>
      <c r="L141" s="48"/>
      <c r="M141" s="71"/>
      <c r="N141" s="48"/>
      <c r="O141" s="71"/>
      <c r="P141" s="48"/>
      <c r="Q141" s="71"/>
      <c r="R141" s="48"/>
      <c r="S141" s="71"/>
      <c r="T141" s="48"/>
      <c r="U141" s="71"/>
      <c r="V141" s="48"/>
      <c r="W141" s="71"/>
      <c r="X141" s="48"/>
      <c r="Y141" s="71"/>
      <c r="Z141" s="48"/>
      <c r="AA141" s="72"/>
      <c r="AB141" s="413"/>
      <c r="AC141" s="362">
        <f t="shared" si="11"/>
        <v>0</v>
      </c>
    </row>
    <row r="142" spans="1:29" x14ac:dyDescent="0.25">
      <c r="A142" s="73"/>
      <c r="B142" s="70"/>
      <c r="C142" s="71"/>
      <c r="D142" s="48"/>
      <c r="E142" s="71"/>
      <c r="F142" s="48"/>
      <c r="G142" s="71"/>
      <c r="H142" s="48"/>
      <c r="I142" s="71"/>
      <c r="J142" s="48"/>
      <c r="K142" s="71"/>
      <c r="L142" s="48"/>
      <c r="M142" s="71"/>
      <c r="N142" s="48"/>
      <c r="O142" s="71"/>
      <c r="P142" s="48"/>
      <c r="Q142" s="71"/>
      <c r="R142" s="48"/>
      <c r="S142" s="71"/>
      <c r="T142" s="48"/>
      <c r="U142" s="71"/>
      <c r="V142" s="48"/>
      <c r="W142" s="71"/>
      <c r="X142" s="48"/>
      <c r="Y142" s="71"/>
      <c r="Z142" s="48"/>
      <c r="AA142" s="72"/>
      <c r="AB142" s="413"/>
      <c r="AC142" s="362">
        <f t="shared" si="11"/>
        <v>0</v>
      </c>
    </row>
    <row r="143" spans="1:29" x14ac:dyDescent="0.25">
      <c r="A143" s="73"/>
      <c r="B143" s="70"/>
      <c r="C143" s="71"/>
      <c r="D143" s="48"/>
      <c r="E143" s="71"/>
      <c r="F143" s="48"/>
      <c r="G143" s="71"/>
      <c r="H143" s="48"/>
      <c r="I143" s="71"/>
      <c r="J143" s="48"/>
      <c r="K143" s="71"/>
      <c r="L143" s="48"/>
      <c r="M143" s="71"/>
      <c r="N143" s="48"/>
      <c r="O143" s="71"/>
      <c r="P143" s="48"/>
      <c r="Q143" s="71"/>
      <c r="R143" s="48"/>
      <c r="S143" s="71"/>
      <c r="T143" s="48"/>
      <c r="U143" s="71"/>
      <c r="V143" s="48"/>
      <c r="W143" s="71"/>
      <c r="X143" s="48"/>
      <c r="Y143" s="71"/>
      <c r="Z143" s="48"/>
      <c r="AA143" s="72"/>
      <c r="AB143" s="413"/>
      <c r="AC143" s="362">
        <f t="shared" si="11"/>
        <v>0</v>
      </c>
    </row>
    <row r="144" spans="1:29" x14ac:dyDescent="0.25">
      <c r="A144" s="73"/>
      <c r="B144" s="70"/>
      <c r="C144" s="71"/>
      <c r="D144" s="48"/>
      <c r="E144" s="71"/>
      <c r="F144" s="48"/>
      <c r="G144" s="71"/>
      <c r="H144" s="48"/>
      <c r="I144" s="71"/>
      <c r="J144" s="48"/>
      <c r="K144" s="71"/>
      <c r="L144" s="48"/>
      <c r="M144" s="71"/>
      <c r="N144" s="48"/>
      <c r="O144" s="71"/>
      <c r="P144" s="48"/>
      <c r="Q144" s="71"/>
      <c r="R144" s="48"/>
      <c r="S144" s="71"/>
      <c r="T144" s="48"/>
      <c r="U144" s="71"/>
      <c r="V144" s="48"/>
      <c r="W144" s="71"/>
      <c r="X144" s="48"/>
      <c r="Y144" s="71"/>
      <c r="Z144" s="48"/>
      <c r="AA144" s="72"/>
      <c r="AB144" s="413"/>
      <c r="AC144" s="362">
        <f t="shared" si="11"/>
        <v>0</v>
      </c>
    </row>
    <row r="145" spans="1:29" x14ac:dyDescent="0.25">
      <c r="A145" s="73"/>
      <c r="B145" s="70"/>
      <c r="C145" s="71"/>
      <c r="D145" s="48"/>
      <c r="E145" s="71"/>
      <c r="F145" s="48"/>
      <c r="G145" s="71"/>
      <c r="H145" s="48"/>
      <c r="I145" s="71"/>
      <c r="J145" s="48"/>
      <c r="K145" s="71"/>
      <c r="L145" s="48"/>
      <c r="M145" s="71"/>
      <c r="N145" s="48"/>
      <c r="O145" s="71"/>
      <c r="P145" s="48"/>
      <c r="Q145" s="71"/>
      <c r="R145" s="48"/>
      <c r="S145" s="71"/>
      <c r="T145" s="48"/>
      <c r="U145" s="71"/>
      <c r="V145" s="48"/>
      <c r="W145" s="71"/>
      <c r="X145" s="48"/>
      <c r="Y145" s="71"/>
      <c r="Z145" s="48"/>
      <c r="AA145" s="72"/>
      <c r="AB145" s="413"/>
      <c r="AC145" s="362">
        <f t="shared" si="11"/>
        <v>0</v>
      </c>
    </row>
    <row r="146" spans="1:29" x14ac:dyDescent="0.25">
      <c r="A146" s="73"/>
      <c r="B146" s="70"/>
      <c r="C146" s="71"/>
      <c r="D146" s="48"/>
      <c r="E146" s="71"/>
      <c r="F146" s="48"/>
      <c r="G146" s="71"/>
      <c r="H146" s="48"/>
      <c r="I146" s="71"/>
      <c r="J146" s="48"/>
      <c r="K146" s="71"/>
      <c r="L146" s="48"/>
      <c r="M146" s="71"/>
      <c r="N146" s="48"/>
      <c r="O146" s="71"/>
      <c r="P146" s="48"/>
      <c r="Q146" s="71"/>
      <c r="R146" s="48"/>
      <c r="S146" s="71"/>
      <c r="T146" s="48"/>
      <c r="U146" s="71"/>
      <c r="V146" s="48"/>
      <c r="W146" s="71"/>
      <c r="X146" s="48"/>
      <c r="Y146" s="71"/>
      <c r="Z146" s="48"/>
      <c r="AA146" s="72"/>
      <c r="AB146" s="413"/>
      <c r="AC146" s="362">
        <f t="shared" si="11"/>
        <v>0</v>
      </c>
    </row>
    <row r="147" spans="1:29" x14ac:dyDescent="0.25">
      <c r="A147" s="73"/>
      <c r="B147" s="70"/>
      <c r="C147" s="71"/>
      <c r="D147" s="48"/>
      <c r="E147" s="71"/>
      <c r="F147" s="48"/>
      <c r="G147" s="71"/>
      <c r="H147" s="48"/>
      <c r="I147" s="71"/>
      <c r="J147" s="48"/>
      <c r="K147" s="71"/>
      <c r="L147" s="48"/>
      <c r="M147" s="71"/>
      <c r="N147" s="48"/>
      <c r="O147" s="71"/>
      <c r="P147" s="48"/>
      <c r="Q147" s="71"/>
      <c r="R147" s="48"/>
      <c r="S147" s="71"/>
      <c r="T147" s="48"/>
      <c r="U147" s="71"/>
      <c r="V147" s="48"/>
      <c r="W147" s="71"/>
      <c r="X147" s="48"/>
      <c r="Y147" s="71"/>
      <c r="Z147" s="48"/>
      <c r="AA147" s="72"/>
      <c r="AB147" s="413"/>
      <c r="AC147" s="362">
        <f t="shared" si="11"/>
        <v>0</v>
      </c>
    </row>
    <row r="148" spans="1:29" x14ac:dyDescent="0.25">
      <c r="A148" s="73"/>
      <c r="B148" s="70"/>
      <c r="C148" s="71"/>
      <c r="D148" s="48"/>
      <c r="E148" s="71"/>
      <c r="F148" s="48"/>
      <c r="G148" s="71"/>
      <c r="H148" s="48"/>
      <c r="I148" s="71"/>
      <c r="J148" s="48"/>
      <c r="K148" s="71"/>
      <c r="L148" s="48"/>
      <c r="M148" s="71"/>
      <c r="N148" s="48"/>
      <c r="O148" s="71"/>
      <c r="P148" s="48"/>
      <c r="Q148" s="71"/>
      <c r="R148" s="48"/>
      <c r="S148" s="71"/>
      <c r="T148" s="48"/>
      <c r="U148" s="71"/>
      <c r="V148" s="48"/>
      <c r="W148" s="71"/>
      <c r="X148" s="48"/>
      <c r="Y148" s="71"/>
      <c r="Z148" s="48"/>
      <c r="AA148" s="72"/>
      <c r="AB148" s="413"/>
      <c r="AC148" s="362">
        <f t="shared" si="11"/>
        <v>0</v>
      </c>
    </row>
    <row r="149" spans="1:29" x14ac:dyDescent="0.25">
      <c r="A149" s="73"/>
      <c r="B149" s="70"/>
      <c r="C149" s="71"/>
      <c r="D149" s="48"/>
      <c r="E149" s="71"/>
      <c r="F149" s="48"/>
      <c r="G149" s="71"/>
      <c r="H149" s="48"/>
      <c r="I149" s="71"/>
      <c r="J149" s="48"/>
      <c r="K149" s="71"/>
      <c r="L149" s="48"/>
      <c r="M149" s="71"/>
      <c r="N149" s="48"/>
      <c r="O149" s="71"/>
      <c r="P149" s="48"/>
      <c r="Q149" s="71"/>
      <c r="R149" s="48"/>
      <c r="S149" s="71"/>
      <c r="T149" s="48"/>
      <c r="U149" s="71"/>
      <c r="V149" s="48"/>
      <c r="W149" s="71"/>
      <c r="X149" s="48"/>
      <c r="Y149" s="71"/>
      <c r="Z149" s="48"/>
      <c r="AA149" s="72"/>
      <c r="AB149" s="413"/>
      <c r="AC149" s="362">
        <f t="shared" si="11"/>
        <v>0</v>
      </c>
    </row>
    <row r="150" spans="1:29" x14ac:dyDescent="0.25">
      <c r="A150" s="73"/>
      <c r="B150" s="70"/>
      <c r="C150" s="71"/>
      <c r="D150" s="48"/>
      <c r="E150" s="71"/>
      <c r="F150" s="48"/>
      <c r="G150" s="71"/>
      <c r="H150" s="48"/>
      <c r="I150" s="71"/>
      <c r="J150" s="48"/>
      <c r="K150" s="71"/>
      <c r="L150" s="48"/>
      <c r="M150" s="71"/>
      <c r="N150" s="48"/>
      <c r="O150" s="71"/>
      <c r="P150" s="48"/>
      <c r="Q150" s="71"/>
      <c r="R150" s="48"/>
      <c r="S150" s="71"/>
      <c r="T150" s="48"/>
      <c r="U150" s="71"/>
      <c r="V150" s="48"/>
      <c r="W150" s="71"/>
      <c r="X150" s="48"/>
      <c r="Y150" s="71"/>
      <c r="Z150" s="48"/>
      <c r="AA150" s="72"/>
      <c r="AB150" s="413"/>
      <c r="AC150" s="362">
        <f t="shared" si="11"/>
        <v>0</v>
      </c>
    </row>
    <row r="151" spans="1:29" x14ac:dyDescent="0.25">
      <c r="A151" s="73"/>
      <c r="B151" s="70"/>
      <c r="C151" s="71"/>
      <c r="D151" s="48"/>
      <c r="E151" s="71"/>
      <c r="F151" s="48"/>
      <c r="G151" s="71"/>
      <c r="H151" s="48"/>
      <c r="I151" s="71"/>
      <c r="J151" s="48"/>
      <c r="K151" s="71"/>
      <c r="L151" s="48"/>
      <c r="M151" s="71"/>
      <c r="N151" s="48"/>
      <c r="O151" s="71"/>
      <c r="P151" s="48"/>
      <c r="Q151" s="71"/>
      <c r="R151" s="48"/>
      <c r="S151" s="71"/>
      <c r="T151" s="48"/>
      <c r="U151" s="71"/>
      <c r="V151" s="48"/>
      <c r="W151" s="71"/>
      <c r="X151" s="48"/>
      <c r="Y151" s="71"/>
      <c r="Z151" s="48"/>
      <c r="AA151" s="72"/>
      <c r="AB151" s="413"/>
      <c r="AC151" s="362">
        <f t="shared" si="11"/>
        <v>0</v>
      </c>
    </row>
    <row r="152" spans="1:29" x14ac:dyDescent="0.25">
      <c r="A152" s="73"/>
      <c r="B152" s="70"/>
      <c r="C152" s="71"/>
      <c r="D152" s="48"/>
      <c r="E152" s="71"/>
      <c r="F152" s="48"/>
      <c r="G152" s="71"/>
      <c r="H152" s="48"/>
      <c r="I152" s="71"/>
      <c r="J152" s="48"/>
      <c r="K152" s="71"/>
      <c r="L152" s="48"/>
      <c r="M152" s="71"/>
      <c r="N152" s="48"/>
      <c r="O152" s="71"/>
      <c r="P152" s="48"/>
      <c r="Q152" s="71"/>
      <c r="R152" s="48"/>
      <c r="S152" s="71"/>
      <c r="T152" s="48"/>
      <c r="U152" s="71"/>
      <c r="V152" s="48"/>
      <c r="W152" s="71"/>
      <c r="X152" s="48"/>
      <c r="Y152" s="71"/>
      <c r="Z152" s="48"/>
      <c r="AA152" s="72"/>
      <c r="AB152" s="413"/>
      <c r="AC152" s="362">
        <f t="shared" si="11"/>
        <v>0</v>
      </c>
    </row>
    <row r="153" spans="1:29" x14ac:dyDescent="0.25">
      <c r="A153" s="73"/>
      <c r="B153" s="70"/>
      <c r="C153" s="71"/>
      <c r="D153" s="48"/>
      <c r="E153" s="71"/>
      <c r="F153" s="48"/>
      <c r="G153" s="71"/>
      <c r="H153" s="48"/>
      <c r="I153" s="71"/>
      <c r="J153" s="48"/>
      <c r="K153" s="71"/>
      <c r="L153" s="48"/>
      <c r="M153" s="71"/>
      <c r="N153" s="48"/>
      <c r="O153" s="71"/>
      <c r="P153" s="48"/>
      <c r="Q153" s="71"/>
      <c r="R153" s="48"/>
      <c r="S153" s="71"/>
      <c r="T153" s="48"/>
      <c r="U153" s="71"/>
      <c r="V153" s="48"/>
      <c r="W153" s="71"/>
      <c r="X153" s="48"/>
      <c r="Y153" s="71"/>
      <c r="Z153" s="48"/>
      <c r="AA153" s="72"/>
      <c r="AB153" s="413"/>
      <c r="AC153" s="362">
        <f t="shared" si="11"/>
        <v>0</v>
      </c>
    </row>
    <row r="154" spans="1:29" x14ac:dyDescent="0.25">
      <c r="A154" s="73"/>
      <c r="B154" s="70"/>
      <c r="C154" s="71"/>
      <c r="D154" s="48"/>
      <c r="E154" s="71"/>
      <c r="F154" s="48"/>
      <c r="G154" s="71"/>
      <c r="H154" s="48"/>
      <c r="I154" s="71"/>
      <c r="J154" s="48"/>
      <c r="K154" s="71"/>
      <c r="L154" s="48"/>
      <c r="M154" s="71"/>
      <c r="N154" s="48"/>
      <c r="O154" s="71"/>
      <c r="P154" s="48"/>
      <c r="Q154" s="71"/>
      <c r="R154" s="48"/>
      <c r="S154" s="71"/>
      <c r="T154" s="48"/>
      <c r="U154" s="71"/>
      <c r="V154" s="48"/>
      <c r="W154" s="71"/>
      <c r="X154" s="48"/>
      <c r="Y154" s="71"/>
      <c r="Z154" s="48"/>
      <c r="AA154" s="72"/>
      <c r="AB154" s="413"/>
      <c r="AC154" s="362">
        <f t="shared" si="11"/>
        <v>0</v>
      </c>
    </row>
    <row r="155" spans="1:29" x14ac:dyDescent="0.25">
      <c r="A155" s="73"/>
      <c r="B155" s="70"/>
      <c r="C155" s="71"/>
      <c r="D155" s="48"/>
      <c r="E155" s="71"/>
      <c r="F155" s="48"/>
      <c r="G155" s="71"/>
      <c r="H155" s="48"/>
      <c r="I155" s="71"/>
      <c r="J155" s="48"/>
      <c r="K155" s="71"/>
      <c r="L155" s="48"/>
      <c r="M155" s="71"/>
      <c r="N155" s="48"/>
      <c r="O155" s="71"/>
      <c r="P155" s="48"/>
      <c r="Q155" s="71"/>
      <c r="R155" s="48"/>
      <c r="S155" s="71"/>
      <c r="T155" s="48"/>
      <c r="U155" s="71"/>
      <c r="V155" s="48"/>
      <c r="W155" s="71"/>
      <c r="X155" s="48"/>
      <c r="Y155" s="71"/>
      <c r="Z155" s="48"/>
      <c r="AA155" s="72"/>
      <c r="AB155" s="413"/>
      <c r="AC155" s="362">
        <f t="shared" si="11"/>
        <v>0</v>
      </c>
    </row>
    <row r="156" spans="1:29" x14ac:dyDescent="0.25">
      <c r="A156" s="73"/>
      <c r="B156" s="70"/>
      <c r="C156" s="71"/>
      <c r="D156" s="48"/>
      <c r="E156" s="71"/>
      <c r="F156" s="48"/>
      <c r="G156" s="71"/>
      <c r="H156" s="48"/>
      <c r="I156" s="71"/>
      <c r="J156" s="48"/>
      <c r="K156" s="71"/>
      <c r="L156" s="48"/>
      <c r="M156" s="71"/>
      <c r="N156" s="48"/>
      <c r="O156" s="71"/>
      <c r="P156" s="48"/>
      <c r="Q156" s="71"/>
      <c r="R156" s="48"/>
      <c r="S156" s="71"/>
      <c r="T156" s="48"/>
      <c r="U156" s="71"/>
      <c r="V156" s="48"/>
      <c r="W156" s="71"/>
      <c r="X156" s="48"/>
      <c r="Y156" s="71"/>
      <c r="Z156" s="48"/>
      <c r="AA156" s="72"/>
      <c r="AB156" s="413"/>
      <c r="AC156" s="362">
        <f t="shared" si="11"/>
        <v>0</v>
      </c>
    </row>
    <row r="157" spans="1:29" x14ac:dyDescent="0.25">
      <c r="A157" s="73"/>
      <c r="B157" s="70"/>
      <c r="C157" s="71"/>
      <c r="D157" s="48"/>
      <c r="E157" s="71"/>
      <c r="F157" s="48"/>
      <c r="G157" s="71"/>
      <c r="H157" s="48"/>
      <c r="I157" s="71"/>
      <c r="J157" s="48"/>
      <c r="K157" s="71"/>
      <c r="L157" s="48"/>
      <c r="M157" s="71"/>
      <c r="N157" s="48"/>
      <c r="O157" s="71"/>
      <c r="P157" s="48"/>
      <c r="Q157" s="71"/>
      <c r="R157" s="48"/>
      <c r="S157" s="71"/>
      <c r="T157" s="48"/>
      <c r="U157" s="71"/>
      <c r="V157" s="48"/>
      <c r="W157" s="71"/>
      <c r="X157" s="48"/>
      <c r="Y157" s="71"/>
      <c r="Z157" s="48"/>
      <c r="AA157" s="72"/>
      <c r="AB157" s="413"/>
      <c r="AC157" s="362">
        <f t="shared" si="11"/>
        <v>0</v>
      </c>
    </row>
    <row r="158" spans="1:29" x14ac:dyDescent="0.25">
      <c r="A158" s="73"/>
      <c r="B158" s="70"/>
      <c r="C158" s="71"/>
      <c r="D158" s="48"/>
      <c r="E158" s="71"/>
      <c r="F158" s="48"/>
      <c r="G158" s="71"/>
      <c r="H158" s="48"/>
      <c r="I158" s="71"/>
      <c r="J158" s="48"/>
      <c r="K158" s="71"/>
      <c r="L158" s="48"/>
      <c r="M158" s="71"/>
      <c r="N158" s="48"/>
      <c r="O158" s="71"/>
      <c r="P158" s="48"/>
      <c r="Q158" s="71"/>
      <c r="R158" s="48"/>
      <c r="S158" s="71"/>
      <c r="T158" s="48"/>
      <c r="U158" s="71"/>
      <c r="V158" s="48"/>
      <c r="W158" s="71"/>
      <c r="X158" s="48"/>
      <c r="Y158" s="71"/>
      <c r="Z158" s="48"/>
      <c r="AA158" s="72"/>
      <c r="AB158" s="413"/>
      <c r="AC158" s="362">
        <f t="shared" si="11"/>
        <v>0</v>
      </c>
    </row>
    <row r="159" spans="1:29" x14ac:dyDescent="0.25">
      <c r="A159" s="73"/>
      <c r="B159" s="70"/>
      <c r="C159" s="71"/>
      <c r="D159" s="48"/>
      <c r="E159" s="71"/>
      <c r="F159" s="48"/>
      <c r="G159" s="71"/>
      <c r="H159" s="48"/>
      <c r="I159" s="71"/>
      <c r="J159" s="48"/>
      <c r="K159" s="71"/>
      <c r="L159" s="48"/>
      <c r="M159" s="71"/>
      <c r="N159" s="48"/>
      <c r="O159" s="71"/>
      <c r="P159" s="48"/>
      <c r="Q159" s="71"/>
      <c r="R159" s="48"/>
      <c r="S159" s="71"/>
      <c r="T159" s="48"/>
      <c r="U159" s="71"/>
      <c r="V159" s="48"/>
      <c r="W159" s="71"/>
      <c r="X159" s="48"/>
      <c r="Y159" s="71"/>
      <c r="Z159" s="48"/>
      <c r="AA159" s="72"/>
      <c r="AB159" s="413"/>
      <c r="AC159" s="362">
        <f t="shared" si="11"/>
        <v>0</v>
      </c>
    </row>
    <row r="160" spans="1:29" x14ac:dyDescent="0.25">
      <c r="A160" s="73"/>
      <c r="B160" s="70"/>
      <c r="C160" s="71"/>
      <c r="D160" s="48"/>
      <c r="E160" s="71"/>
      <c r="F160" s="48"/>
      <c r="G160" s="71"/>
      <c r="H160" s="48"/>
      <c r="I160" s="71"/>
      <c r="J160" s="48"/>
      <c r="K160" s="71"/>
      <c r="L160" s="48"/>
      <c r="M160" s="71"/>
      <c r="N160" s="48"/>
      <c r="O160" s="71"/>
      <c r="P160" s="48"/>
      <c r="Q160" s="71"/>
      <c r="R160" s="48"/>
      <c r="S160" s="71"/>
      <c r="T160" s="48"/>
      <c r="U160" s="71"/>
      <c r="V160" s="48"/>
      <c r="W160" s="71"/>
      <c r="X160" s="48"/>
      <c r="Y160" s="71"/>
      <c r="Z160" s="48"/>
      <c r="AA160" s="72"/>
      <c r="AB160" s="413"/>
      <c r="AC160" s="362">
        <f t="shared" ref="AC160:AC177" si="12">D160</f>
        <v>0</v>
      </c>
    </row>
    <row r="161" spans="1:29" x14ac:dyDescent="0.25">
      <c r="A161" s="73"/>
      <c r="B161" s="70"/>
      <c r="C161" s="71"/>
      <c r="D161" s="48"/>
      <c r="E161" s="71"/>
      <c r="F161" s="48"/>
      <c r="G161" s="71"/>
      <c r="H161" s="48"/>
      <c r="I161" s="71"/>
      <c r="J161" s="48"/>
      <c r="K161" s="71"/>
      <c r="L161" s="48"/>
      <c r="M161" s="71"/>
      <c r="N161" s="48"/>
      <c r="O161" s="71"/>
      <c r="P161" s="48"/>
      <c r="Q161" s="71"/>
      <c r="R161" s="48"/>
      <c r="S161" s="71"/>
      <c r="T161" s="48"/>
      <c r="U161" s="71"/>
      <c r="V161" s="48"/>
      <c r="W161" s="71"/>
      <c r="X161" s="48"/>
      <c r="Y161" s="71"/>
      <c r="Z161" s="48"/>
      <c r="AA161" s="72"/>
      <c r="AB161" s="413"/>
      <c r="AC161" s="362">
        <f t="shared" si="12"/>
        <v>0</v>
      </c>
    </row>
    <row r="162" spans="1:29" x14ac:dyDescent="0.25">
      <c r="A162" s="73"/>
      <c r="B162" s="70"/>
      <c r="C162" s="71"/>
      <c r="D162" s="48"/>
      <c r="E162" s="71"/>
      <c r="F162" s="48"/>
      <c r="G162" s="71"/>
      <c r="H162" s="48"/>
      <c r="I162" s="71"/>
      <c r="J162" s="48"/>
      <c r="K162" s="71"/>
      <c r="L162" s="48"/>
      <c r="M162" s="71"/>
      <c r="N162" s="48"/>
      <c r="O162" s="71"/>
      <c r="P162" s="48"/>
      <c r="Q162" s="71"/>
      <c r="R162" s="48"/>
      <c r="S162" s="71"/>
      <c r="T162" s="48"/>
      <c r="U162" s="71"/>
      <c r="V162" s="48"/>
      <c r="W162" s="71"/>
      <c r="X162" s="48"/>
      <c r="Y162" s="71"/>
      <c r="Z162" s="48"/>
      <c r="AA162" s="72"/>
      <c r="AB162" s="413"/>
      <c r="AC162" s="362">
        <f t="shared" si="12"/>
        <v>0</v>
      </c>
    </row>
    <row r="163" spans="1:29" x14ac:dyDescent="0.25">
      <c r="A163" s="73"/>
      <c r="B163" s="70"/>
      <c r="C163" s="71"/>
      <c r="D163" s="48"/>
      <c r="E163" s="71"/>
      <c r="F163" s="48"/>
      <c r="G163" s="71"/>
      <c r="H163" s="48"/>
      <c r="I163" s="71"/>
      <c r="J163" s="48"/>
      <c r="K163" s="71"/>
      <c r="L163" s="48"/>
      <c r="M163" s="71"/>
      <c r="N163" s="48"/>
      <c r="O163" s="71"/>
      <c r="P163" s="48"/>
      <c r="Q163" s="71"/>
      <c r="R163" s="48"/>
      <c r="S163" s="71"/>
      <c r="T163" s="48"/>
      <c r="U163" s="71"/>
      <c r="V163" s="48"/>
      <c r="W163" s="71"/>
      <c r="X163" s="48"/>
      <c r="Y163" s="71"/>
      <c r="Z163" s="48"/>
      <c r="AA163" s="72"/>
      <c r="AB163" s="413"/>
      <c r="AC163" s="362">
        <f t="shared" si="12"/>
        <v>0</v>
      </c>
    </row>
    <row r="164" spans="1:29" x14ac:dyDescent="0.25">
      <c r="A164" s="73"/>
      <c r="B164" s="70"/>
      <c r="C164" s="71"/>
      <c r="D164" s="48"/>
      <c r="E164" s="71"/>
      <c r="F164" s="48"/>
      <c r="G164" s="71"/>
      <c r="H164" s="48"/>
      <c r="I164" s="71"/>
      <c r="J164" s="48"/>
      <c r="K164" s="71"/>
      <c r="L164" s="48"/>
      <c r="M164" s="71"/>
      <c r="N164" s="48"/>
      <c r="O164" s="71"/>
      <c r="P164" s="48"/>
      <c r="Q164" s="71"/>
      <c r="R164" s="48"/>
      <c r="S164" s="71"/>
      <c r="T164" s="48"/>
      <c r="U164" s="71"/>
      <c r="V164" s="48"/>
      <c r="W164" s="71"/>
      <c r="X164" s="48"/>
      <c r="Y164" s="71"/>
      <c r="Z164" s="48"/>
      <c r="AA164" s="72"/>
      <c r="AB164" s="413"/>
      <c r="AC164" s="362">
        <f t="shared" si="12"/>
        <v>0</v>
      </c>
    </row>
    <row r="165" spans="1:29" x14ac:dyDescent="0.25">
      <c r="A165" s="73"/>
      <c r="B165" s="70"/>
      <c r="C165" s="71"/>
      <c r="D165" s="48"/>
      <c r="E165" s="71"/>
      <c r="F165" s="48"/>
      <c r="G165" s="71"/>
      <c r="H165" s="48"/>
      <c r="I165" s="71"/>
      <c r="J165" s="48"/>
      <c r="K165" s="71"/>
      <c r="L165" s="48"/>
      <c r="M165" s="71"/>
      <c r="N165" s="48"/>
      <c r="O165" s="71"/>
      <c r="P165" s="48"/>
      <c r="Q165" s="71"/>
      <c r="R165" s="48"/>
      <c r="S165" s="71"/>
      <c r="T165" s="48"/>
      <c r="U165" s="71"/>
      <c r="V165" s="48"/>
      <c r="W165" s="71"/>
      <c r="X165" s="48"/>
      <c r="Y165" s="71"/>
      <c r="Z165" s="48"/>
      <c r="AA165" s="72"/>
      <c r="AB165" s="413"/>
      <c r="AC165" s="362">
        <f t="shared" si="12"/>
        <v>0</v>
      </c>
    </row>
    <row r="166" spans="1:29" x14ac:dyDescent="0.25">
      <c r="A166" s="73"/>
      <c r="B166" s="70"/>
      <c r="C166" s="71"/>
      <c r="D166" s="48"/>
      <c r="E166" s="71"/>
      <c r="F166" s="48"/>
      <c r="G166" s="71"/>
      <c r="H166" s="48"/>
      <c r="I166" s="71"/>
      <c r="J166" s="48"/>
      <c r="K166" s="71"/>
      <c r="L166" s="48"/>
      <c r="M166" s="71"/>
      <c r="N166" s="48"/>
      <c r="O166" s="71"/>
      <c r="P166" s="48"/>
      <c r="Q166" s="71"/>
      <c r="R166" s="48"/>
      <c r="S166" s="71"/>
      <c r="T166" s="48"/>
      <c r="U166" s="71"/>
      <c r="V166" s="48"/>
      <c r="W166" s="71"/>
      <c r="X166" s="48"/>
      <c r="Y166" s="71"/>
      <c r="Z166" s="48"/>
      <c r="AA166" s="72"/>
      <c r="AB166" s="413"/>
      <c r="AC166" s="362">
        <f t="shared" si="12"/>
        <v>0</v>
      </c>
    </row>
    <row r="167" spans="1:29" x14ac:dyDescent="0.25">
      <c r="A167" s="73"/>
      <c r="B167" s="70"/>
      <c r="C167" s="71"/>
      <c r="D167" s="48"/>
      <c r="E167" s="71"/>
      <c r="F167" s="48"/>
      <c r="G167" s="71"/>
      <c r="H167" s="48"/>
      <c r="I167" s="71"/>
      <c r="J167" s="48"/>
      <c r="K167" s="71"/>
      <c r="L167" s="48"/>
      <c r="M167" s="71"/>
      <c r="N167" s="48"/>
      <c r="O167" s="71"/>
      <c r="P167" s="48"/>
      <c r="Q167" s="71"/>
      <c r="R167" s="48"/>
      <c r="S167" s="71"/>
      <c r="T167" s="48"/>
      <c r="U167" s="71"/>
      <c r="V167" s="48"/>
      <c r="W167" s="71"/>
      <c r="X167" s="48"/>
      <c r="Y167" s="71"/>
      <c r="Z167" s="48"/>
      <c r="AA167" s="72"/>
      <c r="AB167" s="413"/>
      <c r="AC167" s="362">
        <f t="shared" si="12"/>
        <v>0</v>
      </c>
    </row>
    <row r="168" spans="1:29" x14ac:dyDescent="0.25">
      <c r="A168" s="73"/>
      <c r="B168" s="70"/>
      <c r="C168" s="71"/>
      <c r="D168" s="48"/>
      <c r="E168" s="71"/>
      <c r="F168" s="48"/>
      <c r="G168" s="71"/>
      <c r="H168" s="48"/>
      <c r="I168" s="71"/>
      <c r="J168" s="48"/>
      <c r="K168" s="71"/>
      <c r="L168" s="48"/>
      <c r="M168" s="71"/>
      <c r="N168" s="48"/>
      <c r="O168" s="71"/>
      <c r="P168" s="48"/>
      <c r="Q168" s="71"/>
      <c r="R168" s="48"/>
      <c r="S168" s="71"/>
      <c r="T168" s="48"/>
      <c r="U168" s="71"/>
      <c r="V168" s="48"/>
      <c r="W168" s="71"/>
      <c r="X168" s="48"/>
      <c r="Y168" s="71"/>
      <c r="Z168" s="48"/>
      <c r="AA168" s="72"/>
      <c r="AB168" s="413"/>
      <c r="AC168" s="362">
        <f t="shared" si="12"/>
        <v>0</v>
      </c>
    </row>
    <row r="169" spans="1:29" x14ac:dyDescent="0.25">
      <c r="A169" s="73"/>
      <c r="B169" s="70"/>
      <c r="C169" s="71"/>
      <c r="D169" s="48"/>
      <c r="E169" s="71"/>
      <c r="F169" s="48"/>
      <c r="G169" s="71"/>
      <c r="H169" s="48"/>
      <c r="I169" s="71"/>
      <c r="J169" s="48"/>
      <c r="K169" s="71"/>
      <c r="L169" s="48"/>
      <c r="M169" s="71"/>
      <c r="N169" s="48"/>
      <c r="O169" s="71"/>
      <c r="P169" s="48"/>
      <c r="Q169" s="71"/>
      <c r="R169" s="48"/>
      <c r="S169" s="71"/>
      <c r="T169" s="48"/>
      <c r="U169" s="71"/>
      <c r="V169" s="48"/>
      <c r="W169" s="71"/>
      <c r="X169" s="48"/>
      <c r="Y169" s="71"/>
      <c r="Z169" s="48"/>
      <c r="AA169" s="72"/>
      <c r="AB169" s="413"/>
      <c r="AC169" s="362">
        <f t="shared" si="12"/>
        <v>0</v>
      </c>
    </row>
    <row r="170" spans="1:29" x14ac:dyDescent="0.25">
      <c r="A170" s="73"/>
      <c r="B170" s="70"/>
      <c r="C170" s="71"/>
      <c r="D170" s="48"/>
      <c r="E170" s="71"/>
      <c r="F170" s="48"/>
      <c r="G170" s="71"/>
      <c r="H170" s="48"/>
      <c r="I170" s="71"/>
      <c r="J170" s="48"/>
      <c r="K170" s="71"/>
      <c r="L170" s="48"/>
      <c r="M170" s="71"/>
      <c r="N170" s="48"/>
      <c r="O170" s="71"/>
      <c r="P170" s="48"/>
      <c r="Q170" s="71"/>
      <c r="R170" s="48"/>
      <c r="S170" s="71"/>
      <c r="T170" s="48"/>
      <c r="U170" s="71"/>
      <c r="V170" s="48"/>
      <c r="W170" s="71"/>
      <c r="X170" s="48"/>
      <c r="Y170" s="71"/>
      <c r="Z170" s="48"/>
      <c r="AA170" s="72"/>
      <c r="AB170" s="413"/>
      <c r="AC170" s="362">
        <f t="shared" si="12"/>
        <v>0</v>
      </c>
    </row>
    <row r="171" spans="1:29" x14ac:dyDescent="0.25">
      <c r="A171" s="73"/>
      <c r="B171" s="70"/>
      <c r="C171" s="71"/>
      <c r="D171" s="48"/>
      <c r="E171" s="71"/>
      <c r="F171" s="48"/>
      <c r="G171" s="71"/>
      <c r="H171" s="48"/>
      <c r="I171" s="71"/>
      <c r="J171" s="48"/>
      <c r="K171" s="71"/>
      <c r="L171" s="48"/>
      <c r="M171" s="71"/>
      <c r="N171" s="48"/>
      <c r="O171" s="71"/>
      <c r="P171" s="48"/>
      <c r="Q171" s="71"/>
      <c r="R171" s="48"/>
      <c r="S171" s="71"/>
      <c r="T171" s="48"/>
      <c r="U171" s="71"/>
      <c r="V171" s="48"/>
      <c r="W171" s="71"/>
      <c r="X171" s="48"/>
      <c r="Y171" s="71"/>
      <c r="Z171" s="48"/>
      <c r="AA171" s="72"/>
      <c r="AB171" s="413"/>
      <c r="AC171" s="362">
        <f t="shared" si="12"/>
        <v>0</v>
      </c>
    </row>
    <row r="172" spans="1:29" x14ac:dyDescent="0.25">
      <c r="A172" s="73"/>
      <c r="B172" s="70"/>
      <c r="C172" s="71"/>
      <c r="D172" s="48"/>
      <c r="E172" s="71"/>
      <c r="F172" s="48"/>
      <c r="G172" s="71"/>
      <c r="H172" s="48"/>
      <c r="I172" s="71"/>
      <c r="J172" s="48"/>
      <c r="K172" s="71"/>
      <c r="L172" s="48"/>
      <c r="M172" s="71"/>
      <c r="N172" s="48"/>
      <c r="O172" s="71"/>
      <c r="P172" s="48"/>
      <c r="Q172" s="71"/>
      <c r="R172" s="48"/>
      <c r="S172" s="71"/>
      <c r="T172" s="48"/>
      <c r="U172" s="71"/>
      <c r="V172" s="48"/>
      <c r="W172" s="71"/>
      <c r="X172" s="48"/>
      <c r="Y172" s="71"/>
      <c r="Z172" s="48"/>
      <c r="AA172" s="72"/>
      <c r="AB172" s="413"/>
      <c r="AC172" s="362">
        <f t="shared" si="12"/>
        <v>0</v>
      </c>
    </row>
    <row r="173" spans="1:29" x14ac:dyDescent="0.25">
      <c r="A173" s="73"/>
      <c r="B173" s="70"/>
      <c r="C173" s="71"/>
      <c r="D173" s="48"/>
      <c r="E173" s="71"/>
      <c r="F173" s="48"/>
      <c r="G173" s="71"/>
      <c r="H173" s="48"/>
      <c r="I173" s="71"/>
      <c r="J173" s="48"/>
      <c r="K173" s="71"/>
      <c r="L173" s="48"/>
      <c r="M173" s="71"/>
      <c r="N173" s="48"/>
      <c r="O173" s="71"/>
      <c r="P173" s="48"/>
      <c r="Q173" s="71"/>
      <c r="R173" s="48"/>
      <c r="S173" s="71"/>
      <c r="T173" s="48"/>
      <c r="U173" s="71"/>
      <c r="V173" s="48"/>
      <c r="W173" s="71"/>
      <c r="X173" s="48"/>
      <c r="Y173" s="71"/>
      <c r="Z173" s="48"/>
      <c r="AA173" s="72"/>
      <c r="AB173" s="413"/>
      <c r="AC173" s="362">
        <f t="shared" si="12"/>
        <v>0</v>
      </c>
    </row>
    <row r="174" spans="1:29" x14ac:dyDescent="0.25">
      <c r="A174" s="73"/>
      <c r="B174" s="70"/>
      <c r="C174" s="71"/>
      <c r="D174" s="48"/>
      <c r="E174" s="71"/>
      <c r="F174" s="48"/>
      <c r="G174" s="71"/>
      <c r="H174" s="48"/>
      <c r="I174" s="71"/>
      <c r="J174" s="48"/>
      <c r="K174" s="71"/>
      <c r="L174" s="48"/>
      <c r="M174" s="71"/>
      <c r="N174" s="48"/>
      <c r="O174" s="71"/>
      <c r="P174" s="48"/>
      <c r="Q174" s="71"/>
      <c r="R174" s="48"/>
      <c r="S174" s="71"/>
      <c r="T174" s="48"/>
      <c r="U174" s="71"/>
      <c r="V174" s="48"/>
      <c r="W174" s="71"/>
      <c r="X174" s="48"/>
      <c r="Y174" s="71"/>
      <c r="Z174" s="48"/>
      <c r="AA174" s="72"/>
      <c r="AB174" s="413"/>
      <c r="AC174" s="362">
        <f t="shared" si="12"/>
        <v>0</v>
      </c>
    </row>
    <row r="175" spans="1:29" x14ac:dyDescent="0.25">
      <c r="A175" s="73"/>
      <c r="B175" s="70"/>
      <c r="C175" s="71"/>
      <c r="D175" s="48"/>
      <c r="E175" s="71"/>
      <c r="F175" s="48"/>
      <c r="G175" s="71"/>
      <c r="H175" s="48"/>
      <c r="I175" s="71"/>
      <c r="J175" s="48"/>
      <c r="K175" s="71"/>
      <c r="L175" s="48"/>
      <c r="M175" s="71"/>
      <c r="N175" s="48"/>
      <c r="O175" s="71"/>
      <c r="P175" s="48"/>
      <c r="Q175" s="71"/>
      <c r="R175" s="48"/>
      <c r="S175" s="71"/>
      <c r="T175" s="48"/>
      <c r="U175" s="71"/>
      <c r="V175" s="48"/>
      <c r="W175" s="71"/>
      <c r="X175" s="48"/>
      <c r="Y175" s="71"/>
      <c r="Z175" s="48"/>
      <c r="AA175" s="72"/>
      <c r="AB175" s="413"/>
      <c r="AC175" s="362">
        <f t="shared" si="12"/>
        <v>0</v>
      </c>
    </row>
    <row r="176" spans="1:29" x14ac:dyDescent="0.25">
      <c r="A176" s="73"/>
      <c r="B176" s="70"/>
      <c r="C176" s="71"/>
      <c r="D176" s="48"/>
      <c r="E176" s="71"/>
      <c r="F176" s="48"/>
      <c r="G176" s="71"/>
      <c r="H176" s="48"/>
      <c r="I176" s="71"/>
      <c r="J176" s="48"/>
      <c r="K176" s="71"/>
      <c r="L176" s="48"/>
      <c r="M176" s="71"/>
      <c r="N176" s="48"/>
      <c r="O176" s="71"/>
      <c r="P176" s="48"/>
      <c r="Q176" s="71"/>
      <c r="R176" s="48"/>
      <c r="S176" s="71"/>
      <c r="T176" s="48"/>
      <c r="U176" s="71"/>
      <c r="V176" s="48"/>
      <c r="W176" s="71"/>
      <c r="X176" s="48"/>
      <c r="Y176" s="71"/>
      <c r="Z176" s="48"/>
      <c r="AA176" s="72"/>
      <c r="AB176" s="413"/>
      <c r="AC176" s="362">
        <f t="shared" si="12"/>
        <v>0</v>
      </c>
    </row>
    <row r="177" spans="1:29" x14ac:dyDescent="0.25">
      <c r="A177" s="73"/>
      <c r="B177" s="70"/>
      <c r="C177" s="71"/>
      <c r="D177" s="48"/>
      <c r="E177" s="71"/>
      <c r="F177" s="48"/>
      <c r="G177" s="71"/>
      <c r="H177" s="48"/>
      <c r="I177" s="71"/>
      <c r="J177" s="48"/>
      <c r="K177" s="71"/>
      <c r="L177" s="48"/>
      <c r="M177" s="71"/>
      <c r="N177" s="48"/>
      <c r="O177" s="71"/>
      <c r="P177" s="48"/>
      <c r="Q177" s="71"/>
      <c r="R177" s="48"/>
      <c r="S177" s="71"/>
      <c r="T177" s="48"/>
      <c r="U177" s="71"/>
      <c r="V177" s="48"/>
      <c r="W177" s="71"/>
      <c r="X177" s="48"/>
      <c r="Y177" s="71"/>
      <c r="Z177" s="48"/>
      <c r="AA177" s="72"/>
      <c r="AB177" s="413"/>
      <c r="AC177" s="362">
        <f t="shared" si="12"/>
        <v>0</v>
      </c>
    </row>
    <row r="178" spans="1:29" ht="15.75" thickBot="1" x14ac:dyDescent="0.3">
      <c r="A178" s="13"/>
      <c r="B178" s="14"/>
      <c r="C178" s="15"/>
      <c r="D178" s="17"/>
      <c r="E178" s="15"/>
      <c r="F178" s="17"/>
      <c r="G178" s="15"/>
      <c r="H178" s="17"/>
      <c r="I178" s="15"/>
      <c r="J178" s="17"/>
      <c r="K178" s="15"/>
      <c r="L178" s="17"/>
      <c r="M178" s="15"/>
      <c r="N178" s="17"/>
      <c r="O178" s="15"/>
      <c r="P178" s="17"/>
      <c r="Q178" s="15"/>
      <c r="R178" s="17"/>
      <c r="S178" s="15"/>
      <c r="T178" s="17"/>
      <c r="U178" s="15"/>
      <c r="V178" s="17"/>
      <c r="W178" s="15"/>
      <c r="X178" s="17"/>
      <c r="Y178" s="15"/>
      <c r="Z178" s="17"/>
      <c r="AA178" s="15" t="s">
        <v>4</v>
      </c>
      <c r="AB178" s="368"/>
      <c r="AC178" s="414"/>
    </row>
    <row r="179" spans="1:29" ht="15.75" thickTop="1" x14ac:dyDescent="0.25"/>
  </sheetData>
  <mergeCells count="26">
    <mergeCell ref="AA1:AC1"/>
    <mergeCell ref="AA92:AC92"/>
    <mergeCell ref="U92:V92"/>
    <mergeCell ref="W92:X92"/>
    <mergeCell ref="Y92:Z92"/>
    <mergeCell ref="U1:V1"/>
    <mergeCell ref="W1:X1"/>
    <mergeCell ref="Y1:Z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O1:P1"/>
    <mergeCell ref="Q1:R1"/>
    <mergeCell ref="S1:T1"/>
    <mergeCell ref="M1:N1"/>
    <mergeCell ref="C1:D1"/>
    <mergeCell ref="E1:F1"/>
    <mergeCell ref="G1:H1"/>
    <mergeCell ref="I1:J1"/>
    <mergeCell ref="K1:L1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rowBreaks count="1" manualBreakCount="1">
    <brk id="90" max="27" man="1"/>
  </rowBreaks>
  <colBreaks count="1" manualBreakCount="1">
    <brk id="28" max="1048575" man="1"/>
  </colBreaks>
</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5">
    <x:tabColor rgb="FFFFFF00"/>
  </x:sheetPr>
  <x:dimension ref="A1:AT156"/>
  <x:sheetViews>
    <x:sheetView tabSelected="1" zoomScaleNormal="100" workbookViewId="0">
      <x:pane xSplit="2" ySplit="2" topLeftCell="C3" activePane="bottomRight" state="frozen"/>
      <x:selection sqref="A1:XFD1048576"/>
      <x:selection pane="topRight" sqref="A1:XFD1048576"/>
      <x:selection pane="bottomLeft" sqref="A1:XFD1048576"/>
      <x:selection pane="bottomRight"/>
    </x:sheetView>
  </x:sheetViews>
  <x:sheetFormatPr defaultColWidth="9.140625" defaultRowHeight="15" x14ac:dyDescent="0.25"/>
  <x:cols>
    <x:col min="1" max="1" width="10.140625" style="119" customWidth="1"/>
    <x:col min="2" max="2" width="38.7109375" style="92" bestFit="1" customWidth="1"/>
    <x:col min="3" max="3" width="12.5703125" style="124" customWidth="1"/>
    <x:col min="4" max="4" width="13.42578125" style="125" bestFit="1" customWidth="1"/>
    <x:col min="5" max="5" width="12.5703125" style="124" customWidth="1"/>
    <x:col min="6" max="6" width="13.140625" style="125" customWidth="1"/>
    <x:col min="7" max="7" width="12.5703125" style="124" customWidth="1"/>
    <x:col min="8" max="8" width="13.28515625" style="125" customWidth="1"/>
    <x:col min="9" max="9" width="12.5703125" style="124" customWidth="1"/>
    <x:col min="10" max="10" width="13.5703125" style="125" customWidth="1"/>
    <x:col min="11" max="11" width="12.5703125" style="124" customWidth="1"/>
    <x:col min="12" max="12" width="13.42578125" style="125" customWidth="1"/>
    <x:col min="13" max="13" width="13.42578125" style="124" customWidth="1"/>
    <x:col min="14" max="14" width="13.42578125" style="125" customWidth="1"/>
    <x:col min="15" max="15" width="12.5703125" style="124" customWidth="1"/>
    <x:col min="16" max="16" width="13.42578125" style="125" customWidth="1"/>
    <x:col min="17" max="17" width="12.5703125" style="124" customWidth="1"/>
    <x:col min="18" max="18" width="13.42578125" style="125" customWidth="1"/>
    <x:col min="19" max="19" width="13.7109375" style="124" customWidth="1"/>
    <x:col min="20" max="20" width="13.42578125" style="125" customWidth="1"/>
    <x:col min="21" max="21" width="12.5703125" style="124" customWidth="1"/>
    <x:col min="22" max="22" width="13.42578125" style="125" customWidth="1"/>
    <x:col min="23" max="23" width="9.42578125" style="124" customWidth="1"/>
    <x:col min="24" max="24" width="13.42578125" style="125" customWidth="1"/>
    <x:col min="25" max="25" width="6.7109375" style="126" customWidth="1"/>
    <x:col min="26" max="26" width="13.42578125" style="125" customWidth="1"/>
    <x:col min="27" max="27" width="14.85546875" style="123" customWidth="1"/>
    <x:col min="28" max="28" width="18" style="389" customWidth="1"/>
    <x:col min="29" max="29" width="15.28515625" style="400" customWidth="1"/>
    <x:col min="30" max="31" width="13.7109375" style="126" customWidth="1"/>
    <x:col min="32" max="32" width="13.7109375" style="481" customWidth="1"/>
    <x:col min="33" max="34" width="9.140625" style="92"/>
    <x:col min="35" max="35" width="12.5703125" style="92" customWidth="1"/>
    <x:col min="36" max="36" width="11.5703125" style="92" customWidth="1"/>
    <x:col min="37" max="37" width="12.42578125" style="92" customWidth="1"/>
    <x:col min="38" max="38" width="13" style="92" customWidth="1"/>
    <x:col min="39" max="39" width="12.140625" style="92" customWidth="1"/>
    <x:col min="40" max="40" width="12" style="92" customWidth="1"/>
    <x:col min="41" max="41" width="11.5703125" style="92" customWidth="1"/>
    <x:col min="42" max="42" width="14.28515625" style="92" customWidth="1"/>
    <x:col min="43" max="43" width="12.140625" style="92" customWidth="1"/>
    <x:col min="44" max="44" width="11.5703125" style="92" customWidth="1"/>
    <x:col min="45" max="45" width="11.140625" style="92" customWidth="1"/>
    <x:col min="46" max="46" width="11.28515625" style="92" customWidth="1"/>
    <x:col min="47" max="16384" width="9.140625" style="92"/>
  </x:cols>
  <x:sheetData>
    <x:row r="1" spans="1:46" s="78" customFormat="1" ht="16.5" thickTop="1" thickBot="1" x14ac:dyDescent="0.3">
      <x:c r="A1" s="76"/>
      <x:c r="B1" s="77" t="s">
        <x:v>438</x:v>
      </x:c>
      <x:c r="C1" s="524">
        <x:v>42370</x:v>
      </x:c>
      <x:c r="D1" s="520"/>
      <x:c r="E1" s="521" t="s">
        <x:v>55</x:v>
      </x:c>
      <x:c r="F1" s="522"/>
      <x:c r="G1" s="519" t="s">
        <x:v>177</x:v>
      </x:c>
      <x:c r="H1" s="520"/>
      <x:c r="I1" s="521" t="s">
        <x:v>46</x:v>
      </x:c>
      <x:c r="J1" s="522"/>
      <x:c r="K1" s="519" t="s">
        <x:v>47</x:v>
      </x:c>
      <x:c r="L1" s="520"/>
      <x:c r="M1" s="521" t="s">
        <x:v>48</x:v>
      </x:c>
      <x:c r="N1" s="522"/>
      <x:c r="O1" s="519" t="s">
        <x:v>49</x:v>
      </x:c>
      <x:c r="P1" s="520"/>
      <x:c r="Q1" s="521" t="s">
        <x:v>50</x:v>
      </x:c>
      <x:c r="R1" s="522"/>
      <x:c r="S1" s="519" t="s">
        <x:v>51</x:v>
      </x:c>
      <x:c r="T1" s="520"/>
      <x:c r="U1" s="521" t="s">
        <x:v>52</x:v>
      </x:c>
      <x:c r="V1" s="522"/>
      <x:c r="W1" s="523" t="s">
        <x:v>53</x:v>
      </x:c>
      <x:c r="X1" s="520"/>
      <x:c r="Y1" s="521" t="s">
        <x:v>54</x:v>
      </x:c>
      <x:c r="Z1" s="522"/>
      <x:c r="AA1" s="518" t="s">
        <x:v>59</x:v>
      </x:c>
      <x:c r="AB1" s="518"/>
      <x:c r="AC1" s="543"/>
      <x:c r="AD1" s="417" t="s">
        <x:v>283</x:v>
      </x:c>
      <x:c r="AE1" s="495"/>
      <x:c r="AF1" s="482" t="s">
        <x:v>361</x:v>
      </x:c>
      <x:c r="AH1" s="92"/>
      <x:c r="AI1" s="252" t="s">
        <x:v>185</x:v>
      </x:c>
      <x:c r="AJ1" s="252" t="s">
        <x:v>186</x:v>
      </x:c>
      <x:c r="AK1" s="252" t="s">
        <x:v>213</x:v>
      </x:c>
      <x:c r="AL1" s="252" t="s">
        <x:v>178</x:v>
      </x:c>
      <x:c r="AM1" s="252" t="s">
        <x:v>214</x:v>
      </x:c>
      <x:c r="AN1" s="252" t="s">
        <x:v>179</x:v>
      </x:c>
      <x:c r="AO1" s="252" t="s">
        <x:v>180</x:v>
      </x:c>
      <x:c r="AP1" s="252" t="s">
        <x:v>181</x:v>
      </x:c>
      <x:c r="AQ1" s="252" t="s">
        <x:v>215</x:v>
      </x:c>
      <x:c r="AR1" s="252" t="s">
        <x:v>216</x:v>
      </x:c>
      <x:c r="AS1" s="252" t="s">
        <x:v>183</x:v>
      </x:c>
      <x:c r="AT1" s="252" t="s">
        <x:v>184</x:v>
      </x:c>
    </x:row>
    <x:row r="2" spans="1:46" s="84" customFormat="1" ht="27" thickBot="1" x14ac:dyDescent="0.3">
      <x:c r="A2" s="79"/>
      <x:c r="B2" s="80" t="s">
        <x:v>68</x:v>
      </x:c>
      <x:c r="C2" s="81" t="s">
        <x:v>2</x:v>
      </x:c>
      <x:c r="D2" s="82" t="s">
        <x:v>14</x:v>
      </x:c>
      <x:c r="E2" s="81" t="s">
        <x:v>2</x:v>
      </x:c>
      <x:c r="F2" s="82" t="s">
        <x:v>14</x:v>
      </x:c>
      <x:c r="G2" s="81" t="s">
        <x:v>2</x:v>
      </x:c>
      <x:c r="H2" s="82" t="s">
        <x:v>14</x:v>
      </x:c>
      <x:c r="I2" s="81" t="s">
        <x:v>2</x:v>
      </x:c>
      <x:c r="J2" s="82" t="s">
        <x:v>14</x:v>
      </x:c>
      <x:c r="K2" s="81" t="s">
        <x:v>2</x:v>
      </x:c>
      <x:c r="L2" s="82" t="s">
        <x:v>14</x:v>
      </x:c>
      <x:c r="M2" s="81" t="s">
        <x:v>2</x:v>
      </x:c>
      <x:c r="N2" s="82" t="s">
        <x:v>14</x:v>
      </x:c>
      <x:c r="O2" s="81" t="s">
        <x:v>2</x:v>
      </x:c>
      <x:c r="P2" s="82" t="s">
        <x:v>14</x:v>
      </x:c>
      <x:c r="Q2" s="81" t="s">
        <x:v>2</x:v>
      </x:c>
      <x:c r="R2" s="82" t="s">
        <x:v>14</x:v>
      </x:c>
      <x:c r="S2" s="81" t="s">
        <x:v>2</x:v>
      </x:c>
      <x:c r="T2" s="82" t="s">
        <x:v>14</x:v>
      </x:c>
      <x:c r="U2" s="81" t="s">
        <x:v>2</x:v>
      </x:c>
      <x:c r="V2" s="82" t="s">
        <x:v>14</x:v>
      </x:c>
      <x:c r="W2" s="81" t="s">
        <x:v>2</x:v>
      </x:c>
      <x:c r="X2" s="82" t="s">
        <x:v>14</x:v>
      </x:c>
      <x:c r="Y2" s="81" t="s">
        <x:v>2</x:v>
      </x:c>
      <x:c r="Z2" s="82" t="s">
        <x:v>14</x:v>
      </x:c>
      <x:c r="AA2" s="83" t="s">
        <x:v>2</x:v>
      </x:c>
      <x:c r="AB2" s="363" t="s">
        <x:v>313</x:v>
      </x:c>
      <x:c r="AC2" s="369" t="s">
        <x:v>311</x:v>
      </x:c>
      <x:c r="AD2" s="430" t="s">
        <x:v>320</x:v>
      </x:c>
      <x:c r="AE2" s="496" t="s">
        <x:v>437</x:v>
      </x:c>
      <x:c r="AF2" s="483" t="s">
        <x:v>436</x:v>
      </x:c>
      <x:c r="AH2" s="92" t="s">
        <x:v>450</x:v>
      </x:c>
      <x:c r="AI2" s="517">
        <x:f>C15</x:f>
        <x:v>433224.50000000006</x:v>
      </x:c>
      <x:c r="AJ2" s="517">
        <x:f>E15</x:f>
        <x:v>431488.43000000005</x:v>
      </x:c>
      <x:c r="AK2" s="517">
        <x:f>G15</x:f>
        <x:v>444058.36000000004</x:v>
      </x:c>
      <x:c r="AL2" s="517">
        <x:f>I15</x:f>
        <x:v>516247.36000000004</x:v>
      </x:c>
      <x:c r="AM2" s="517">
        <x:f>K15</x:f>
        <x:v>489461.55999999988</x:v>
      </x:c>
      <x:c r="AN2" s="517">
        <x:f>M15</x:f>
        <x:v>482674.76000000007</x:v>
      </x:c>
      <x:c r="AO2" s="517">
        <x:f>O15</x:f>
        <x:v>454943.66999999993</x:v>
      </x:c>
      <x:c r="AP2" s="517">
        <x:f>Q15</x:f>
        <x:v>0</x:v>
      </x:c>
      <x:c r="AQ2" s="517">
        <x:f>S15</x:f>
        <x:v>0</x:v>
      </x:c>
      <x:c r="AR2" s="517">
        <x:f>U15</x:f>
        <x:v>0</x:v>
      </x:c>
      <x:c r="AS2" s="517">
        <x:f>W15</x:f>
        <x:v>0</x:v>
      </x:c>
      <x:c r="AT2" s="517">
        <x:f>Y15</x:f>
        <x:v>0</x:v>
      </x:c>
    </x:row>
    <x:row r="3" spans="1:46" s="84" customFormat="1" x14ac:dyDescent="0.25">
      <x:c r="A3" s="79"/>
      <x:c r="B3" s="80" t="s">
        <x:v>4</x:v>
      </x:c>
      <x:c r="C3" s="85"/>
      <x:c r="D3" s="86"/>
      <x:c r="E3" s="85"/>
      <x:c r="F3" s="86"/>
      <x:c r="G3" s="85"/>
      <x:c r="H3" s="86"/>
      <x:c r="I3" s="85"/>
      <x:c r="J3" s="86"/>
      <x:c r="K3" s="85"/>
      <x:c r="L3" s="86"/>
      <x:c r="M3" s="85"/>
      <x:c r="N3" s="86"/>
      <x:c r="O3" s="85"/>
      <x:c r="P3" s="86"/>
      <x:c r="Q3" s="85"/>
      <x:c r="R3" s="86"/>
      <x:c r="S3" s="85"/>
      <x:c r="T3" s="86"/>
      <x:c r="U3" s="85"/>
      <x:c r="V3" s="86"/>
      <x:c r="W3" s="85"/>
      <x:c r="X3" s="86"/>
      <x:c r="Y3" s="85"/>
      <x:c r="Z3" s="86"/>
      <x:c r="AA3" s="87"/>
      <x:c r="AB3" s="383"/>
      <x:c r="AC3" s="393"/>
      <x:c r="AD3" s="418" t="s">
        <x:v>4</x:v>
      </x:c>
      <x:c r="AE3" s="497"/>
      <x:c r="AF3" s="474"/>
      <x:c r="AH3" s="92" t="s">
        <x:v>451</x:v>
      </x:c>
      <x:c r="AI3" s="517">
        <x:f>D15</x:f>
        <x:v>578363.79430000007</x:v>
      </x:c>
      <x:c r="AJ3" s="517">
        <x:f>F15</x:f>
        <x:v>563863.79430000007</x:v>
      </x:c>
      <x:c r="AK3" s="517">
        <x:f>H15</x:f>
        <x:v>682663.79430000007</x:v>
      </x:c>
      <x:c r="AL3" s="517">
        <x:f>J15</x:f>
        <x:v>578973.27797023999</x:v>
      </x:c>
      <x:c r="AM3" s="517">
        <x:f>L15</x:f>
        <x:v>577573.27797023999</x:v>
      </x:c>
      <x:c r="AN3" s="517">
        <x:f>N15</x:f>
        <x:v>552893.27797023999</x:v>
      </x:c>
      <x:c r="AO3" s="517">
        <x:f>P15</x:f>
        <x:v>527093.27797023999</x:v>
      </x:c>
      <x:c r="AP3" s="517">
        <x:f>R15</x:f>
        <x:v>526593.27797023999</x:v>
      </x:c>
      <x:c r="AQ3" s="517">
        <x:f>T15</x:f>
        <x:v>524793.27797023999</x:v>
      </x:c>
      <x:c r="AR3" s="517">
        <x:f>V15</x:f>
        <x:v>523793.27797023999</x:v>
      </x:c>
      <x:c r="AS3" s="517">
        <x:f>X15</x:f>
        <x:v>524793.27797023999</x:v>
      </x:c>
      <x:c r="AT3" s="517">
        <x:f>Z15</x:f>
        <x:v>523793.27797023999</x:v>
      </x:c>
    </x:row>
    <x:row r="4" spans="1:46" x14ac:dyDescent="0.25">
      <x:c r="A4" s="88"/>
      <x:c r="B4" s="140" t="s">
        <x:v>58</x:v>
      </x:c>
      <x:c r="C4" s="141">
        <x:f>'IT income'!C4</x:f>
        <x:v>0</x:v>
      </x:c>
      <x:c r="D4" s="142">
        <x:f>'IT income'!D4</x:f>
        <x:v>0</x:v>
      </x:c>
      <x:c r="E4" s="141">
        <x:f>'IT income'!E4</x:f>
        <x:v>0</x:v>
      </x:c>
      <x:c r="F4" s="142">
        <x:f>'IT income'!F4</x:f>
        <x:v>0</x:v>
      </x:c>
      <x:c r="G4" s="141">
        <x:f>'IT income'!G4</x:f>
        <x:v>0</x:v>
      </x:c>
      <x:c r="H4" s="142">
        <x:f>'IT income'!H4</x:f>
        <x:v>0</x:v>
      </x:c>
      <x:c r="I4" s="141">
        <x:f>'IT income'!I4</x:f>
        <x:v>0</x:v>
      </x:c>
      <x:c r="J4" s="142">
        <x:f>'IT income'!J4</x:f>
        <x:v>0</x:v>
      </x:c>
      <x:c r="K4" s="141">
        <x:f>'IT income'!K4</x:f>
        <x:v>0</x:v>
      </x:c>
      <x:c r="L4" s="142">
        <x:f>'IT income'!L4</x:f>
        <x:v>0</x:v>
      </x:c>
      <x:c r="M4" s="141">
        <x:f>'IT income'!M4</x:f>
        <x:v>0</x:v>
      </x:c>
      <x:c r="N4" s="142">
        <x:f>'IT income'!N4</x:f>
        <x:v>0</x:v>
      </x:c>
      <x:c r="O4" s="141">
        <x:f>'IT income'!O4</x:f>
        <x:v>0</x:v>
      </x:c>
      <x:c r="P4" s="142">
        <x:f>'IT income'!P4</x:f>
        <x:v>0</x:v>
      </x:c>
      <x:c r="Q4" s="141">
        <x:f>'IT income'!Q4</x:f>
        <x:v>0</x:v>
      </x:c>
      <x:c r="R4" s="142">
        <x:f>'IT income'!R4</x:f>
        <x:v>0</x:v>
      </x:c>
      <x:c r="S4" s="141">
        <x:f>'IT income'!S4</x:f>
        <x:v>0</x:v>
      </x:c>
      <x:c r="T4" s="142">
        <x:f>'IT income'!T4</x:f>
        <x:v>0</x:v>
      </x:c>
      <x:c r="U4" s="141">
        <x:f>'IT income'!U4</x:f>
        <x:v>0</x:v>
      </x:c>
      <x:c r="V4" s="142">
        <x:f>'IT income'!V4</x:f>
        <x:v>0</x:v>
      </x:c>
      <x:c r="W4" s="141">
        <x:f>'IT income'!W4</x:f>
        <x:v>0</x:v>
      </x:c>
      <x:c r="X4" s="142">
        <x:f>'IT income'!X4</x:f>
        <x:v>0</x:v>
      </x:c>
      <x:c r="Y4" s="141">
        <x:f>'IT income'!Y4</x:f>
        <x:v>0</x:v>
      </x:c>
      <x:c r="Z4" s="142">
        <x:f>'IT income'!Z4</x:f>
        <x:v>0</x:v>
      </x:c>
      <x:c r="AA4" s="143">
        <x:f>'IT income'!AA4</x:f>
        <x:v>0</x:v>
      </x:c>
      <x:c r="AB4" s="384">
        <x:f>'IT income'!AB4</x:f>
        <x:v>0</x:v>
      </x:c>
      <x:c r="AC4" s="394">
        <x:f>D4+F4+H4+J4+L4+N4+P4</x:f>
        <x:v>0</x:v>
      </x:c>
      <x:c r="AD4" s="419">
        <x:f>AA4-AC4</x:f>
        <x:v>0</x:v>
      </x:c>
      <x:c r="AE4" s="498"/>
      <x:c r="AF4" s="475"/>
    </x:row>
    <x:row r="5" spans="1:46" x14ac:dyDescent="0.25">
      <x:c r="A5" s="88"/>
      <x:c r="B5" s="140" t="s">
        <x:v>175</x:v>
      </x:c>
      <x:c r="C5" s="141">
        <x:f>'IT income'!C5</x:f>
        <x:v>0</x:v>
      </x:c>
      <x:c r="D5" s="142">
        <x:f>'IT income'!D5</x:f>
        <x:v>0</x:v>
      </x:c>
      <x:c r="E5" s="141">
        <x:f>'IT income'!E5</x:f>
        <x:v>0</x:v>
      </x:c>
      <x:c r="F5" s="142">
        <x:f>'IT income'!F5</x:f>
        <x:v>0</x:v>
      </x:c>
      <x:c r="G5" s="141">
        <x:f>'IT income'!G5</x:f>
        <x:v>0</x:v>
      </x:c>
      <x:c r="H5" s="142">
        <x:f>'IT income'!H5</x:f>
        <x:v>0</x:v>
      </x:c>
      <x:c r="I5" s="141">
        <x:f>'IT income'!I5</x:f>
        <x:v>0</x:v>
      </x:c>
      <x:c r="J5" s="142">
        <x:f>'IT income'!J5</x:f>
        <x:v>0</x:v>
      </x:c>
      <x:c r="K5" s="141">
        <x:f>'IT income'!K5</x:f>
        <x:v>0</x:v>
      </x:c>
      <x:c r="L5" s="142">
        <x:f>'IT income'!L5</x:f>
        <x:v>0</x:v>
      </x:c>
      <x:c r="M5" s="141">
        <x:f>'IT income'!M5</x:f>
        <x:v>0</x:v>
      </x:c>
      <x:c r="N5" s="142">
        <x:f>'IT income'!N5</x:f>
        <x:v>0</x:v>
      </x:c>
      <x:c r="O5" s="141">
        <x:f>'IT income'!O5</x:f>
        <x:v>0</x:v>
      </x:c>
      <x:c r="P5" s="142">
        <x:f>'IT income'!P5</x:f>
        <x:v>0</x:v>
      </x:c>
      <x:c r="Q5" s="141">
        <x:f>'IT income'!Q5</x:f>
        <x:v>0</x:v>
      </x:c>
      <x:c r="R5" s="142">
        <x:f>'IT income'!R5</x:f>
        <x:v>0</x:v>
      </x:c>
      <x:c r="S5" s="141">
        <x:f>'IT income'!S5</x:f>
        <x:v>0</x:v>
      </x:c>
      <x:c r="T5" s="142">
        <x:f>'IT income'!T5</x:f>
        <x:v>0</x:v>
      </x:c>
      <x:c r="U5" s="141">
        <x:f>'IT income'!U5</x:f>
        <x:v>0</x:v>
      </x:c>
      <x:c r="V5" s="142">
        <x:f>'IT income'!V5</x:f>
        <x:v>0</x:v>
      </x:c>
      <x:c r="W5" s="141">
        <x:f>'IT income'!W5</x:f>
        <x:v>0</x:v>
      </x:c>
      <x:c r="X5" s="142">
        <x:f>'IT income'!X5</x:f>
        <x:v>0</x:v>
      </x:c>
      <x:c r="Y5" s="141">
        <x:f>'IT income'!Y5</x:f>
        <x:v>0</x:v>
      </x:c>
      <x:c r="Z5" s="142">
        <x:f>'IT income'!Z5</x:f>
        <x:v>0</x:v>
      </x:c>
      <x:c r="AA5" s="143">
        <x:f>'IT income'!AA5</x:f>
        <x:v>0</x:v>
      </x:c>
      <x:c r="AB5" s="384">
        <x:f>'IT income'!AB5</x:f>
        <x:v>0</x:v>
      </x:c>
      <x:c r="AC5" s="394">
        <x:f>D5+F5+H5+J5+L5+N5+P5</x:f>
        <x:v>0</x:v>
      </x:c>
      <x:c r="AD5" s="419">
        <x:f t="shared" ref="AD5:AD76" si="0">AA5-AC5</x:f>
        <x:v>0</x:v>
      </x:c>
      <x:c r="AE5" s="498"/>
      <x:c r="AF5" s="475"/>
    </x:row>
    <x:row r="6" spans="1:46" ht="16.5" thickBot="1" x14ac:dyDescent="0.3">
      <x:c r="A6" s="88"/>
      <x:c r="B6" s="144" t="s">
        <x:v>176</x:v>
      </x:c>
      <x:c r="C6" s="145">
        <x:f>C4-C5</x:f>
        <x:v>0</x:v>
      </x:c>
      <x:c r="D6" s="146">
        <x:f>D4-D5</x:f>
        <x:v>0</x:v>
      </x:c>
      <x:c r="E6" s="145">
        <x:f t="shared" ref="E6:AB6" si="1">E4-E5</x:f>
        <x:v>0</x:v>
      </x:c>
      <x:c r="F6" s="146">
        <x:f t="shared" si="1"/>
        <x:v>0</x:v>
      </x:c>
      <x:c r="G6" s="145">
        <x:f t="shared" si="1"/>
        <x:v>0</x:v>
      </x:c>
      <x:c r="H6" s="146">
        <x:f t="shared" si="1"/>
        <x:v>0</x:v>
      </x:c>
      <x:c r="I6" s="145">
        <x:f t="shared" si="1"/>
        <x:v>0</x:v>
      </x:c>
      <x:c r="J6" s="146">
        <x:f t="shared" si="1"/>
        <x:v>0</x:v>
      </x:c>
      <x:c r="K6" s="145">
        <x:f t="shared" si="1"/>
        <x:v>0</x:v>
      </x:c>
      <x:c r="L6" s="146">
        <x:f t="shared" si="1"/>
        <x:v>0</x:v>
      </x:c>
      <x:c r="M6" s="145">
        <x:f t="shared" si="1"/>
        <x:v>0</x:v>
      </x:c>
      <x:c r="N6" s="146">
        <x:f t="shared" si="1"/>
        <x:v>0</x:v>
      </x:c>
      <x:c r="O6" s="145">
        <x:f t="shared" si="1"/>
        <x:v>0</x:v>
      </x:c>
      <x:c r="P6" s="146">
        <x:f t="shared" si="1"/>
        <x:v>0</x:v>
      </x:c>
      <x:c r="Q6" s="145">
        <x:f t="shared" si="1"/>
        <x:v>0</x:v>
      </x:c>
      <x:c r="R6" s="146">
        <x:f t="shared" si="1"/>
        <x:v>0</x:v>
      </x:c>
      <x:c r="S6" s="145">
        <x:f t="shared" si="1"/>
        <x:v>0</x:v>
      </x:c>
      <x:c r="T6" s="146">
        <x:f t="shared" si="1"/>
        <x:v>0</x:v>
      </x:c>
      <x:c r="U6" s="145">
        <x:f t="shared" si="1"/>
        <x:v>0</x:v>
      </x:c>
      <x:c r="V6" s="146">
        <x:f t="shared" si="1"/>
        <x:v>0</x:v>
      </x:c>
      <x:c r="W6" s="145">
        <x:f t="shared" si="1"/>
        <x:v>0</x:v>
      </x:c>
      <x:c r="X6" s="146">
        <x:f t="shared" si="1"/>
        <x:v>0</x:v>
      </x:c>
      <x:c r="Y6" s="145">
        <x:f t="shared" si="1"/>
        <x:v>0</x:v>
      </x:c>
      <x:c r="Z6" s="146">
        <x:f t="shared" si="1"/>
        <x:v>0</x:v>
      </x:c>
      <x:c r="AA6" s="147">
        <x:f t="shared" si="1"/>
        <x:v>0</x:v>
      </x:c>
      <x:c r="AB6" s="385">
        <x:f t="shared" si="1"/>
        <x:v>0</x:v>
      </x:c>
      <x:c r="AC6" s="395">
        <x:f>AC4-AC5</x:f>
        <x:v>0</x:v>
      </x:c>
      <x:c r="AD6" s="420">
        <x:f t="shared" si="0"/>
        <x:v>0</x:v>
      </x:c>
      <x:c r="AE6" s="499">
        <x:f>AE4-AE5</x:f>
        <x:v>0</x:v>
      </x:c>
      <x:c r="AF6" s="476"/>
    </x:row>
    <x:row r="7" spans="1:46" s="97" customFormat="1" ht="15.75" thickTop="1" x14ac:dyDescent="0.25">
      <x:c r="A7" s="96"/>
      <x:c r="B7" s="148"/>
      <x:c r="C7" s="99"/>
      <x:c r="D7" s="100"/>
      <x:c r="E7" s="99"/>
      <x:c r="F7" s="100"/>
      <x:c r="G7" s="99"/>
      <x:c r="H7" s="100"/>
      <x:c r="I7" s="99"/>
      <x:c r="J7" s="100"/>
      <x:c r="K7" s="99"/>
      <x:c r="L7" s="100"/>
      <x:c r="M7" s="99"/>
      <x:c r="N7" s="100"/>
      <x:c r="O7" s="99"/>
      <x:c r="P7" s="100"/>
      <x:c r="Q7" s="99"/>
      <x:c r="R7" s="100"/>
      <x:c r="S7" s="99"/>
      <x:c r="T7" s="100"/>
      <x:c r="U7" s="99"/>
      <x:c r="V7" s="100"/>
      <x:c r="W7" s="99"/>
      <x:c r="X7" s="100"/>
      <x:c r="Y7" s="99"/>
      <x:c r="Z7" s="100"/>
      <x:c r="AA7" s="101"/>
      <x:c r="AB7" s="387"/>
      <x:c r="AC7" s="394" t="s">
        <x:v>4</x:v>
      </x:c>
      <x:c r="AD7" s="419" t="s">
        <x:v>4</x:v>
      </x:c>
      <x:c r="AE7" s="498"/>
      <x:c r="AF7" s="479"/>
    </x:row>
    <x:row r="8" spans="1:46" s="97" customFormat="1" ht="15.75" thickBot="1" x14ac:dyDescent="0.3">
      <x:c r="A8" s="96"/>
      <x:c r="B8" s="80" t="s">
        <x:v>60</x:v>
      </x:c>
      <x:c r="C8" s="93">
        <x:f>SUM(C9:C14)</x:f>
        <x:v>0</x:v>
      </x:c>
      <x:c r="D8" s="94">
        <x:f>SUM(D9:D14)</x:f>
        <x:v>0</x:v>
      </x:c>
      <x:c r="E8" s="93">
        <x:f t="shared" ref="E8:AB8" si="2">SUM(E9:E14)</x:f>
        <x:v>0</x:v>
      </x:c>
      <x:c r="F8" s="94">
        <x:f t="shared" si="2"/>
        <x:v>0</x:v>
      </x:c>
      <x:c r="G8" s="93">
        <x:f t="shared" si="2"/>
        <x:v>0</x:v>
      </x:c>
      <x:c r="H8" s="94">
        <x:f t="shared" si="2"/>
        <x:v>0</x:v>
      </x:c>
      <x:c r="I8" s="93">
        <x:f t="shared" si="2"/>
        <x:v>0</x:v>
      </x:c>
      <x:c r="J8" s="94">
        <x:f t="shared" si="2"/>
        <x:v>0</x:v>
      </x:c>
      <x:c r="K8" s="93">
        <x:f t="shared" si="2"/>
        <x:v>0</x:v>
      </x:c>
      <x:c r="L8" s="94">
        <x:f t="shared" si="2"/>
        <x:v>0</x:v>
      </x:c>
      <x:c r="M8" s="93">
        <x:f t="shared" si="2"/>
        <x:v>0</x:v>
      </x:c>
      <x:c r="N8" s="94">
        <x:f t="shared" si="2"/>
        <x:v>0</x:v>
      </x:c>
      <x:c r="O8" s="93">
        <x:f t="shared" si="2"/>
        <x:v>0</x:v>
      </x:c>
      <x:c r="P8" s="94">
        <x:f t="shared" si="2"/>
        <x:v>0</x:v>
      </x:c>
      <x:c r="Q8" s="93">
        <x:f t="shared" si="2"/>
        <x:v>0</x:v>
      </x:c>
      <x:c r="R8" s="94">
        <x:f t="shared" si="2"/>
        <x:v>0</x:v>
      </x:c>
      <x:c r="S8" s="93">
        <x:f t="shared" si="2"/>
        <x:v>0</x:v>
      </x:c>
      <x:c r="T8" s="94">
        <x:f t="shared" si="2"/>
        <x:v>0</x:v>
      </x:c>
      <x:c r="U8" s="93">
        <x:f t="shared" si="2"/>
        <x:v>0</x:v>
      </x:c>
      <x:c r="V8" s="94">
        <x:f t="shared" si="2"/>
        <x:v>0</x:v>
      </x:c>
      <x:c r="W8" s="93">
        <x:f t="shared" si="2"/>
        <x:v>0</x:v>
      </x:c>
      <x:c r="X8" s="94">
        <x:f t="shared" si="2"/>
        <x:v>0</x:v>
      </x:c>
      <x:c r="Y8" s="93">
        <x:f t="shared" si="2"/>
        <x:v>0</x:v>
      </x:c>
      <x:c r="Z8" s="94">
        <x:f t="shared" si="2"/>
        <x:v>0</x:v>
      </x:c>
      <x:c r="AA8" s="95">
        <x:f t="shared" si="2"/>
        <x:v>0</x:v>
      </x:c>
      <x:c r="AB8" s="386">
        <x:f t="shared" si="2"/>
        <x:v>0</x:v>
      </x:c>
      <x:c r="AC8" s="396">
        <x:f>SUM(AC9:AC14)</x:f>
        <x:v>0</x:v>
      </x:c>
      <x:c r="AD8" s="421">
        <x:f t="shared" si="0"/>
        <x:v>0</x:v>
      </x:c>
      <x:c r="AE8" s="500">
        <x:f>SUM(AE9:AE14)</x:f>
        <x:v>0</x:v>
      </x:c>
      <x:c r="AF8" s="478"/>
    </x:row>
    <x:row r="9" spans="1:46" ht="15.75" thickTop="1" x14ac:dyDescent="0.25">
      <x:c r="A9" s="88"/>
      <x:c r="B9" s="98" t="s">
        <x:v>42</x:v>
      </x:c>
      <x:c r="C9" s="89">
        <x:v>0</x:v>
      </x:c>
      <x:c r="D9" s="90">
        <x:v>0</x:v>
      </x:c>
      <x:c r="E9" s="89">
        <x:v>0</x:v>
      </x:c>
      <x:c r="F9" s="90">
        <x:v>0</x:v>
      </x:c>
      <x:c r="G9" s="89">
        <x:v>0</x:v>
      </x:c>
      <x:c r="H9" s="90">
        <x:v>0</x:v>
      </x:c>
      <x:c r="I9" s="89">
        <x:v>0</x:v>
      </x:c>
      <x:c r="J9" s="90">
        <x:v>0</x:v>
      </x:c>
      <x:c r="K9" s="89">
        <x:v>0</x:v>
      </x:c>
      <x:c r="L9" s="90">
        <x:v>0</x:v>
      </x:c>
      <x:c r="M9" s="89">
        <x:v>0</x:v>
      </x:c>
      <x:c r="N9" s="90">
        <x:v>0</x:v>
      </x:c>
      <x:c r="O9" s="89">
        <x:v>0</x:v>
      </x:c>
      <x:c r="P9" s="90">
        <x:v>0</x:v>
      </x:c>
      <x:c r="Q9" s="89">
        <x:v>0</x:v>
      </x:c>
      <x:c r="R9" s="90">
        <x:v>0</x:v>
      </x:c>
      <x:c r="S9" s="89">
        <x:v>0</x:v>
      </x:c>
      <x:c r="T9" s="90">
        <x:v>0</x:v>
      </x:c>
      <x:c r="U9" s="89">
        <x:v>0</x:v>
      </x:c>
      <x:c r="V9" s="90">
        <x:v>0</x:v>
      </x:c>
      <x:c r="W9" s="89">
        <x:v>0</x:v>
      </x:c>
      <x:c r="X9" s="90">
        <x:v>0</x:v>
      </x:c>
      <x:c r="Y9" s="89">
        <x:v>0</x:v>
      </x:c>
      <x:c r="Z9" s="90">
        <x:v>0</x:v>
      </x:c>
      <x:c r="AA9" s="91">
        <x:f t="shared" ref="AA9:AB13" si="3">C9+E9+G9+I9+K9+M9+O9+Q9+S9+U9+W9+Y9</x:f>
        <x:v>0</x:v>
      </x:c>
      <x:c r="AB9" s="354">
        <x:f t="shared" si="3"/>
        <x:v>0</x:v>
      </x:c>
      <x:c r="AC9" s="394">
        <x:f t="shared" ref="AC9:AC14" si="4">D9+F9+H9+J9+L9+N9+P9</x:f>
        <x:v>0</x:v>
      </x:c>
      <x:c r="AD9" s="419">
        <x:f t="shared" si="0"/>
        <x:v>0</x:v>
      </x:c>
      <x:c r="AE9" s="498"/>
      <x:c r="AF9" s="477"/>
    </x:row>
    <x:row r="10" spans="1:46" x14ac:dyDescent="0.25">
      <x:c r="A10" s="88"/>
      <x:c r="B10" s="98" t="s">
        <x:v>5</x:v>
      </x:c>
      <x:c r="C10" s="89">
        <x:v>0</x:v>
      </x:c>
      <x:c r="D10" s="90">
        <x:v>0</x:v>
      </x:c>
      <x:c r="E10" s="89">
        <x:v>0</x:v>
      </x:c>
      <x:c r="F10" s="90">
        <x:v>0</x:v>
      </x:c>
      <x:c r="G10" s="89">
        <x:v>0</x:v>
      </x:c>
      <x:c r="H10" s="90">
        <x:v>0</x:v>
      </x:c>
      <x:c r="I10" s="89">
        <x:v>0</x:v>
      </x:c>
      <x:c r="J10" s="90">
        <x:v>0</x:v>
      </x:c>
      <x:c r="K10" s="89">
        <x:v>0</x:v>
      </x:c>
      <x:c r="L10" s="90">
        <x:v>0</x:v>
      </x:c>
      <x:c r="M10" s="89">
        <x:v>0</x:v>
      </x:c>
      <x:c r="N10" s="90">
        <x:v>0</x:v>
      </x:c>
      <x:c r="O10" s="89">
        <x:v>0</x:v>
      </x:c>
      <x:c r="P10" s="90">
        <x:v>0</x:v>
      </x:c>
      <x:c r="Q10" s="89">
        <x:v>0</x:v>
      </x:c>
      <x:c r="R10" s="90">
        <x:v>0</x:v>
      </x:c>
      <x:c r="S10" s="89">
        <x:v>0</x:v>
      </x:c>
      <x:c r="T10" s="90">
        <x:v>0</x:v>
      </x:c>
      <x:c r="U10" s="89">
        <x:v>0</x:v>
      </x:c>
      <x:c r="V10" s="90">
        <x:v>0</x:v>
      </x:c>
      <x:c r="W10" s="89">
        <x:v>0</x:v>
      </x:c>
      <x:c r="X10" s="90">
        <x:v>0</x:v>
      </x:c>
      <x:c r="Y10" s="89">
        <x:v>0</x:v>
      </x:c>
      <x:c r="Z10" s="90">
        <x:v>0</x:v>
      </x:c>
      <x:c r="AA10" s="91">
        <x:f t="shared" si="3"/>
        <x:v>0</x:v>
      </x:c>
      <x:c r="AB10" s="354">
        <x:f t="shared" si="3"/>
        <x:v>0</x:v>
      </x:c>
      <x:c r="AC10" s="394">
        <x:f t="shared" si="4"/>
        <x:v>0</x:v>
      </x:c>
      <x:c r="AD10" s="419">
        <x:f t="shared" si="0"/>
        <x:v>0</x:v>
      </x:c>
      <x:c r="AE10" s="498"/>
      <x:c r="AF10" s="477"/>
    </x:row>
    <x:row r="11" spans="1:46" x14ac:dyDescent="0.25">
      <x:c r="A11" s="88"/>
      <x:c r="B11" s="98" t="s">
        <x:v>43</x:v>
      </x:c>
      <x:c r="C11" s="89">
        <x:v>0</x:v>
      </x:c>
      <x:c r="D11" s="90">
        <x:v>0</x:v>
      </x:c>
      <x:c r="E11" s="89">
        <x:v>0</x:v>
      </x:c>
      <x:c r="F11" s="90">
        <x:v>0</x:v>
      </x:c>
      <x:c r="G11" s="89">
        <x:v>0</x:v>
      </x:c>
      <x:c r="H11" s="90">
        <x:v>0</x:v>
      </x:c>
      <x:c r="I11" s="89">
        <x:v>0</x:v>
      </x:c>
      <x:c r="J11" s="90">
        <x:v>0</x:v>
      </x:c>
      <x:c r="K11" s="89">
        <x:v>0</x:v>
      </x:c>
      <x:c r="L11" s="90">
        <x:v>0</x:v>
      </x:c>
      <x:c r="M11" s="89">
        <x:v>0</x:v>
      </x:c>
      <x:c r="N11" s="90">
        <x:v>0</x:v>
      </x:c>
      <x:c r="O11" s="89">
        <x:v>0</x:v>
      </x:c>
      <x:c r="P11" s="90">
        <x:v>0</x:v>
      </x:c>
      <x:c r="Q11" s="89">
        <x:v>0</x:v>
      </x:c>
      <x:c r="R11" s="90">
        <x:v>0</x:v>
      </x:c>
      <x:c r="S11" s="89">
        <x:v>0</x:v>
      </x:c>
      <x:c r="T11" s="90">
        <x:v>0</x:v>
      </x:c>
      <x:c r="U11" s="89">
        <x:v>0</x:v>
      </x:c>
      <x:c r="V11" s="90">
        <x:v>0</x:v>
      </x:c>
      <x:c r="W11" s="89">
        <x:v>0</x:v>
      </x:c>
      <x:c r="X11" s="90">
        <x:v>0</x:v>
      </x:c>
      <x:c r="Y11" s="89">
        <x:v>0</x:v>
      </x:c>
      <x:c r="Z11" s="90">
        <x:v>0</x:v>
      </x:c>
      <x:c r="AA11" s="91">
        <x:f t="shared" si="3"/>
        <x:v>0</x:v>
      </x:c>
      <x:c r="AB11" s="354">
        <x:f t="shared" si="3"/>
        <x:v>0</x:v>
      </x:c>
      <x:c r="AC11" s="394">
        <x:f t="shared" si="4"/>
        <x:v>0</x:v>
      </x:c>
      <x:c r="AD11" s="419">
        <x:f t="shared" si="0"/>
        <x:v>0</x:v>
      </x:c>
      <x:c r="AE11" s="498"/>
      <x:c r="AF11" s="477"/>
    </x:row>
    <x:row r="12" spans="1:46" x14ac:dyDescent="0.25">
      <x:c r="A12" s="88"/>
      <x:c r="B12" s="98" t="s">
        <x:v>44</x:v>
      </x:c>
      <x:c r="C12" s="89">
        <x:v>0</x:v>
      </x:c>
      <x:c r="D12" s="90">
        <x:v>0</x:v>
      </x:c>
      <x:c r="E12" s="89">
        <x:v>0</x:v>
      </x:c>
      <x:c r="F12" s="90">
        <x:v>0</x:v>
      </x:c>
      <x:c r="G12" s="89">
        <x:v>0</x:v>
      </x:c>
      <x:c r="H12" s="90">
        <x:v>0</x:v>
      </x:c>
      <x:c r="I12" s="89">
        <x:v>0</x:v>
      </x:c>
      <x:c r="J12" s="90">
        <x:v>0</x:v>
      </x:c>
      <x:c r="K12" s="89">
        <x:v>0</x:v>
      </x:c>
      <x:c r="L12" s="90">
        <x:v>0</x:v>
      </x:c>
      <x:c r="M12" s="89">
        <x:v>0</x:v>
      </x:c>
      <x:c r="N12" s="90">
        <x:v>0</x:v>
      </x:c>
      <x:c r="O12" s="89">
        <x:v>0</x:v>
      </x:c>
      <x:c r="P12" s="90">
        <x:v>0</x:v>
      </x:c>
      <x:c r="Q12" s="89">
        <x:v>0</x:v>
      </x:c>
      <x:c r="R12" s="90">
        <x:v>0</x:v>
      </x:c>
      <x:c r="S12" s="89">
        <x:v>0</x:v>
      </x:c>
      <x:c r="T12" s="90">
        <x:v>0</x:v>
      </x:c>
      <x:c r="U12" s="89">
        <x:v>0</x:v>
      </x:c>
      <x:c r="V12" s="90">
        <x:v>0</x:v>
      </x:c>
      <x:c r="W12" s="89">
        <x:v>0</x:v>
      </x:c>
      <x:c r="X12" s="90">
        <x:v>0</x:v>
      </x:c>
      <x:c r="Y12" s="89">
        <x:v>0</x:v>
      </x:c>
      <x:c r="Z12" s="90">
        <x:v>0</x:v>
      </x:c>
      <x:c r="AA12" s="91">
        <x:f t="shared" si="3"/>
        <x:v>0</x:v>
      </x:c>
      <x:c r="AB12" s="354">
        <x:f t="shared" si="3"/>
        <x:v>0</x:v>
      </x:c>
      <x:c r="AC12" s="394">
        <x:f t="shared" si="4"/>
        <x:v>0</x:v>
      </x:c>
      <x:c r="AD12" s="419">
        <x:f t="shared" si="0"/>
        <x:v>0</x:v>
      </x:c>
      <x:c r="AE12" s="498"/>
      <x:c r="AF12" s="477"/>
    </x:row>
    <x:row r="13" spans="1:46" x14ac:dyDescent="0.25">
      <x:c r="A13" s="88"/>
      <x:c r="B13" s="98" t="s">
        <x:v>45</x:v>
      </x:c>
      <x:c r="C13" s="89">
        <x:v>0</x:v>
      </x:c>
      <x:c r="D13" s="90">
        <x:v>0</x:v>
      </x:c>
      <x:c r="E13" s="89">
        <x:v>0</x:v>
      </x:c>
      <x:c r="F13" s="90">
        <x:v>0</x:v>
      </x:c>
      <x:c r="G13" s="89">
        <x:v>0</x:v>
      </x:c>
      <x:c r="H13" s="90">
        <x:v>0</x:v>
      </x:c>
      <x:c r="I13" s="89">
        <x:v>0</x:v>
      </x:c>
      <x:c r="J13" s="90">
        <x:v>0</x:v>
      </x:c>
      <x:c r="K13" s="89">
        <x:v>0</x:v>
      </x:c>
      <x:c r="L13" s="90">
        <x:v>0</x:v>
      </x:c>
      <x:c r="M13" s="89">
        <x:v>0</x:v>
      </x:c>
      <x:c r="N13" s="90">
        <x:v>0</x:v>
      </x:c>
      <x:c r="O13" s="89">
        <x:v>0</x:v>
      </x:c>
      <x:c r="P13" s="90">
        <x:v>0</x:v>
      </x:c>
      <x:c r="Q13" s="89">
        <x:v>0</x:v>
      </x:c>
      <x:c r="R13" s="90">
        <x:v>0</x:v>
      </x:c>
      <x:c r="S13" s="89">
        <x:v>0</x:v>
      </x:c>
      <x:c r="T13" s="90">
        <x:v>0</x:v>
      </x:c>
      <x:c r="U13" s="89">
        <x:v>0</x:v>
      </x:c>
      <x:c r="V13" s="90">
        <x:v>0</x:v>
      </x:c>
      <x:c r="W13" s="89">
        <x:v>0</x:v>
      </x:c>
      <x:c r="X13" s="90">
        <x:v>0</x:v>
      </x:c>
      <x:c r="Y13" s="89">
        <x:v>0</x:v>
      </x:c>
      <x:c r="Z13" s="90">
        <x:v>0</x:v>
      </x:c>
      <x:c r="AA13" s="91">
        <x:f t="shared" si="3"/>
        <x:v>0</x:v>
      </x:c>
      <x:c r="AB13" s="354">
        <x:f t="shared" si="3"/>
        <x:v>0</x:v>
      </x:c>
      <x:c r="AC13" s="394">
        <x:f t="shared" si="4"/>
        <x:v>0</x:v>
      </x:c>
      <x:c r="AD13" s="419">
        <x:f t="shared" si="0"/>
        <x:v>0</x:v>
      </x:c>
      <x:c r="AE13" s="498"/>
      <x:c r="AF13" s="477"/>
    </x:row>
    <x:row r="14" spans="1:46" x14ac:dyDescent="0.25">
      <x:c r="A14" s="88"/>
      <x:c r="B14" s="98"/>
      <x:c r="C14" s="99"/>
      <x:c r="D14" s="100"/>
      <x:c r="E14" s="99"/>
      <x:c r="F14" s="100"/>
      <x:c r="G14" s="99"/>
      <x:c r="H14" s="100"/>
      <x:c r="I14" s="99"/>
      <x:c r="J14" s="100"/>
      <x:c r="K14" s="99"/>
      <x:c r="L14" s="100"/>
      <x:c r="M14" s="99"/>
      <x:c r="N14" s="100"/>
      <x:c r="O14" s="99"/>
      <x:c r="P14" s="100"/>
      <x:c r="Q14" s="99"/>
      <x:c r="R14" s="100"/>
      <x:c r="S14" s="99"/>
      <x:c r="T14" s="100"/>
      <x:c r="U14" s="99"/>
      <x:c r="V14" s="100"/>
      <x:c r="W14" s="99"/>
      <x:c r="X14" s="100"/>
      <x:c r="Y14" s="99"/>
      <x:c r="Z14" s="100"/>
      <x:c r="AA14" s="101"/>
      <x:c r="AB14" s="387"/>
      <x:c r="AC14" s="397">
        <x:f t="shared" si="4"/>
        <x:v>0</x:v>
      </x:c>
      <x:c r="AD14" s="419">
        <x:f t="shared" si="0"/>
        <x:v>0</x:v>
      </x:c>
      <x:c r="AE14" s="498"/>
      <x:c r="AF14" s="479"/>
    </x:row>
    <x:row r="15" spans="1:46" ht="15.75" thickBot="1" x14ac:dyDescent="0.3">
      <x:c r="A15" s="88"/>
      <x:c r="B15" s="80" t="s">
        <x:v>446</x:v>
      </x:c>
      <x:c r="C15" s="93">
        <x:f>SUM(C17:C79)</x:f>
        <x:v>433224.50000000006</x:v>
      </x:c>
      <x:c r="D15" s="94">
        <x:f t="shared" ref="D15:AF15" si="5">SUM(D17:D79)</x:f>
        <x:v>578363.79430000007</x:v>
      </x:c>
      <x:c r="E15" s="93">
        <x:f t="shared" si="5"/>
        <x:v>431488.43000000005</x:v>
      </x:c>
      <x:c r="F15" s="94">
        <x:f t="shared" si="5"/>
        <x:v>563863.79430000007</x:v>
      </x:c>
      <x:c r="G15" s="93">
        <x:f t="shared" si="5"/>
        <x:v>444058.36000000004</x:v>
      </x:c>
      <x:c r="H15" s="94">
        <x:f t="shared" si="5"/>
        <x:v>682663.79430000007</x:v>
      </x:c>
      <x:c r="I15" s="93">
        <x:f t="shared" si="5"/>
        <x:v>516247.36000000004</x:v>
      </x:c>
      <x:c r="J15" s="94">
        <x:f t="shared" si="5"/>
        <x:v>578973.27797023999</x:v>
      </x:c>
      <x:c r="K15" s="93">
        <x:f t="shared" si="5"/>
        <x:v>489461.55999999988</x:v>
      </x:c>
      <x:c r="L15" s="94">
        <x:f t="shared" si="5"/>
        <x:v>577573.27797023999</x:v>
      </x:c>
      <x:c r="M15" s="93">
        <x:f t="shared" si="5"/>
        <x:v>482674.76000000007</x:v>
      </x:c>
      <x:c r="N15" s="94">
        <x:f t="shared" si="5"/>
        <x:v>552893.27797023999</x:v>
      </x:c>
      <x:c r="O15" s="93">
        <x:f t="shared" si="5"/>
        <x:v>454943.66999999993</x:v>
      </x:c>
      <x:c r="P15" s="94">
        <x:f t="shared" si="5"/>
        <x:v>527093.27797023999</x:v>
      </x:c>
      <x:c r="Q15" s="93">
        <x:f t="shared" si="5"/>
        <x:v>0</x:v>
      </x:c>
      <x:c r="R15" s="94">
        <x:f t="shared" si="5"/>
        <x:v>526593.27797023999</x:v>
      </x:c>
      <x:c r="S15" s="93">
        <x:f t="shared" si="5"/>
        <x:v>0</x:v>
      </x:c>
      <x:c r="T15" s="94">
        <x:f t="shared" si="5"/>
        <x:v>524793.27797023999</x:v>
      </x:c>
      <x:c r="U15" s="93">
        <x:f t="shared" si="5"/>
        <x:v>0</x:v>
      </x:c>
      <x:c r="V15" s="94">
        <x:f t="shared" si="5"/>
        <x:v>523793.27797023999</x:v>
      </x:c>
      <x:c r="W15" s="93">
        <x:f t="shared" si="5"/>
        <x:v>0</x:v>
      </x:c>
      <x:c r="X15" s="94">
        <x:f t="shared" si="5"/>
        <x:v>524793.27797023999</x:v>
      </x:c>
      <x:c r="Y15" s="93">
        <x:f t="shared" si="5"/>
        <x:v>0</x:v>
      </x:c>
      <x:c r="Z15" s="94">
        <x:f t="shared" si="5"/>
        <x:v>523793.27797023999</x:v>
      </x:c>
      <x:c r="AA15" s="95">
        <x:f t="shared" si="5"/>
        <x:v>3252098.6400000006</x:v>
      </x:c>
      <x:c r="AB15" s="386">
        <x:f t="shared" si="5"/>
        <x:v>6685190.88463216</x:v>
      </x:c>
      <x:c r="AC15" s="396">
        <x:f t="shared" si="5"/>
        <x:v>4061424.4947809596</x:v>
      </x:c>
      <x:c r="AD15" s="420">
        <x:f t="shared" si="5"/>
        <x:v>-809325.85478095955</x:v>
      </x:c>
      <x:c r="AE15" s="499">
        <x:f t="shared" si="5"/>
        <x:v>6018233.1557916794</x:v>
      </x:c>
      <x:c r="AF15" s="478">
        <x:f t="shared" si="5"/>
        <x:v>0</x:v>
      </x:c>
    </x:row>
    <x:row r="16" spans="1:46" ht="15.75" thickTop="1" x14ac:dyDescent="0.25">
      <x:c r="A16" s="88"/>
      <x:c r="B16" s="80"/>
      <x:c r="C16" s="99"/>
      <x:c r="D16" s="100"/>
      <x:c r="E16" s="99"/>
      <x:c r="F16" s="100"/>
      <x:c r="G16" s="99"/>
      <x:c r="H16" s="100"/>
      <x:c r="I16" s="99"/>
      <x:c r="J16" s="100"/>
      <x:c r="K16" s="99"/>
      <x:c r="L16" s="100"/>
      <x:c r="M16" s="99"/>
      <x:c r="N16" s="100"/>
      <x:c r="O16" s="99"/>
      <x:c r="P16" s="100"/>
      <x:c r="Q16" s="99"/>
      <x:c r="R16" s="100"/>
      <x:c r="S16" s="99"/>
      <x:c r="T16" s="100"/>
      <x:c r="U16" s="99"/>
      <x:c r="V16" s="100"/>
      <x:c r="W16" s="99"/>
      <x:c r="X16" s="100"/>
      <x:c r="Y16" s="99"/>
      <x:c r="Z16" s="100"/>
      <x:c r="AA16" s="101"/>
      <x:c r="AB16" s="387"/>
      <x:c r="AC16" s="397"/>
      <x:c r="AD16" s="419"/>
      <x:c r="AE16" s="498"/>
      <x:c r="AF16" s="479"/>
    </x:row>
    <x:row r="17" spans="1:32" x14ac:dyDescent="0.25">
      <x:c r="A17" s="26" t="s">
        <x:v>363</x:v>
      </x:c>
      <x:c r="B17" s="27" t="s">
        <x:v>33</x:v>
      </x:c>
      <x:c r="C17" s="89">
        <x:v>55497.97</x:v>
      </x:c>
      <x:c r="D17" s="90">
        <x:v>60002.504800000002</x:v>
      </x:c>
      <x:c r="E17" s="89">
        <x:v>57085.770000000004</x:v>
      </x:c>
      <x:c r="F17" s="90">
        <x:v>60002.504800000002</x:v>
      </x:c>
      <x:c r="G17" s="89">
        <x:v>61316.759999999995</x:v>
      </x:c>
      <x:c r="H17" s="90">
        <x:v>60002.504800000002</x:v>
      </x:c>
      <x:c r="I17" s="89">
        <x:v>81320.09</x:v>
      </x:c>
      <x:c r="J17" s="90">
        <x:v>43919.435184000002</x:v>
      </x:c>
      <x:c r="K17" s="89">
        <x:v>74899.87</x:v>
      </x:c>
      <x:c r="L17" s="90">
        <x:v>43919.435184000002</x:v>
      </x:c>
      <x:c r="M17" s="89">
        <x:v>62236.83</x:v>
      </x:c>
      <x:c r="N17" s="90">
        <x:v>78919.435184000002</x:v>
      </x:c>
      <x:c r="O17" s="89">
        <x:v>64013.259999999995</x:v>
      </x:c>
      <x:c r="P17" s="90">
        <x:v>78919.435184000002</x:v>
      </x:c>
      <x:c r="Q17" s="89">
        <x:v>0</x:v>
      </x:c>
      <x:c r="R17" s="90">
        <x:v>78919.435184000002</x:v>
      </x:c>
      <x:c r="S17" s="89">
        <x:v>0</x:v>
      </x:c>
      <x:c r="T17" s="90">
        <x:v>78919.435184000002</x:v>
      </x:c>
      <x:c r="U17" s="89">
        <x:v>0</x:v>
      </x:c>
      <x:c r="V17" s="90">
        <x:v>78919.435184000002</x:v>
      </x:c>
      <x:c r="W17" s="89"/>
      <x:c r="X17" s="90">
        <x:v>78919.435184000002</x:v>
      </x:c>
      <x:c r="Y17" s="89"/>
      <x:c r="Z17" s="90">
        <x:v>78919.435184000002</x:v>
      </x:c>
      <x:c r="AA17" s="91">
        <x:f t="shared" ref="AA17:AB23" si="6">C17+E17+G17+I17+K17+M17+O17+Q17+S17+U17+W17+Y17</x:f>
        <x:v>456370.55</x:v>
      </x:c>
      <x:c r="AB17" s="354">
        <x:f t="shared" si="6"/>
        <x:v>820282.43105600006</x:v>
      </x:c>
      <x:c r="AC17" s="394">
        <x:f t="shared" ref="AC17:AC79" si="7">D17+F17+H17+J17+L17+N17+P17</x:f>
        <x:v>425685.25513599999</x:v>
      </x:c>
      <x:c r="AD17" s="419">
        <x:f t="shared" ref="AD17:AD23" si="8">AA17-AC17</x:f>
        <x:v>30685.294863999996</x:v>
      </x:c>
      <x:c r="AE17" s="498">
        <x:v>882556.50628800015</x:v>
      </x:c>
      <x:c r="AF17" s="477"/>
    </x:row>
    <x:row r="18" spans="1:32" x14ac:dyDescent="0.25">
      <x:c r="A18" s="26" t="s">
        <x:v>363</x:v>
      </x:c>
      <x:c r="B18" s="27" t="s">
        <x:v>34</x:v>
      </x:c>
      <x:c r="C18" s="89">
        <x:v>16122.36</x:v>
      </x:c>
      <x:c r="D18" s="90">
        <x:v>16736.939999999999</x:v>
      </x:c>
      <x:c r="E18" s="89">
        <x:v>16865.61</x:v>
      </x:c>
      <x:c r="F18" s="90">
        <x:v>16736.939999999999</x:v>
      </x:c>
      <x:c r="G18" s="89">
        <x:v>18252.62</x:v>
      </x:c>
      <x:c r="H18" s="90">
        <x:v>16736.939999999999</x:v>
      </x:c>
      <x:c r="I18" s="89">
        <x:v>32868.639999999999</x:v>
      </x:c>
      <x:c r="J18" s="90">
        <x:v>12273.89</x:v>
      </x:c>
      <x:c r="K18" s="89">
        <x:v>25953.97</x:v>
      </x:c>
      <x:c r="L18" s="90">
        <x:v>12273.89</x:v>
      </x:c>
      <x:c r="M18" s="89">
        <x:v>18793.62</x:v>
      </x:c>
      <x:c r="N18" s="90">
        <x:v>27273.89</x:v>
      </x:c>
      <x:c r="O18" s="89">
        <x:v>17420.12</x:v>
      </x:c>
      <x:c r="P18" s="90">
        <x:v>27273.89</x:v>
      </x:c>
      <x:c r="Q18" s="89">
        <x:v>0</x:v>
      </x:c>
      <x:c r="R18" s="90">
        <x:v>27273.89</x:v>
      </x:c>
      <x:c r="S18" s="89">
        <x:v>0</x:v>
      </x:c>
      <x:c r="T18" s="90">
        <x:v>27273.89</x:v>
      </x:c>
      <x:c r="U18" s="89">
        <x:v>0</x:v>
      </x:c>
      <x:c r="V18" s="90">
        <x:v>27273.89</x:v>
      </x:c>
      <x:c r="W18" s="89"/>
      <x:c r="X18" s="90">
        <x:v>27273.89</x:v>
      </x:c>
      <x:c r="Y18" s="89"/>
      <x:c r="Z18" s="90">
        <x:v>27273.89</x:v>
      </x:c>
      <x:c r="AA18" s="91">
        <x:f t="shared" si="6"/>
        <x:v>146276.94</x:v>
      </x:c>
      <x:c r="AB18" s="354">
        <x:f t="shared" si="6"/>
        <x:v>265675.83</x:v>
      </x:c>
      <x:c r="AC18" s="394">
        <x:f t="shared" si="7"/>
        <x:v>129306.37999999999</x:v>
      </x:c>
      <x:c r="AD18" s="419">
        <x:f t="shared" si="8"/>
        <x:v>16970.560000000012</x:v>
      </x:c>
      <x:c r="AE18" s="498">
        <x:v>300980.43000000005</x:v>
      </x:c>
      <x:c r="AF18" s="477"/>
    </x:row>
    <x:row r="19" spans="1:32" x14ac:dyDescent="0.25">
      <x:c r="A19" s="26" t="s">
        <x:v>434</x:v>
      </x:c>
      <x:c r="B19" s="27" t="s">
        <x:v>23</x:v>
      </x:c>
      <x:c r="C19" s="89"/>
      <x:c r="D19" s="90"/>
      <x:c r="E19" s="89"/>
      <x:c r="F19" s="90"/>
      <x:c r="G19" s="89"/>
      <x:c r="H19" s="90"/>
      <x:c r="I19" s="89"/>
      <x:c r="J19" s="90"/>
      <x:c r="K19" s="89"/>
      <x:c r="L19" s="90"/>
      <x:c r="M19" s="89"/>
      <x:c r="N19" s="90"/>
      <x:c r="O19" s="89"/>
      <x:c r="P19" s="90"/>
      <x:c r="Q19" s="89"/>
      <x:c r="R19" s="90"/>
      <x:c r="S19" s="89"/>
      <x:c r="T19" s="90"/>
      <x:c r="U19" s="89"/>
      <x:c r="V19" s="90"/>
      <x:c r="W19" s="89"/>
      <x:c r="X19" s="90"/>
      <x:c r="Y19" s="89"/>
      <x:c r="Z19" s="90"/>
      <x:c r="AA19" s="91">
        <x:f t="shared" si="6"/>
        <x:v>0</x:v>
      </x:c>
      <x:c r="AB19" s="354">
        <x:f t="shared" si="6"/>
        <x:v>0</x:v>
      </x:c>
      <x:c r="AC19" s="394">
        <x:f t="shared" si="7"/>
        <x:v>0</x:v>
      </x:c>
      <x:c r="AD19" s="419">
        <x:f t="shared" si="8"/>
        <x:v>0</x:v>
      </x:c>
      <x:c r="AE19" s="498">
        <x:v>0</x:v>
      </x:c>
      <x:c r="AF19" s="477"/>
    </x:row>
    <x:row r="20" spans="1:32" x14ac:dyDescent="0.25">
      <x:c r="A20" s="26" t="s">
        <x:v>364</x:v>
      </x:c>
      <x:c r="B20" s="27" t="s">
        <x:v>35</x:v>
      </x:c>
      <x:c r="C20" s="89">
        <x:v>594.88</x:v>
      </x:c>
      <x:c r="D20" s="90">
        <x:v>679.91039999999998</x:v>
      </x:c>
      <x:c r="E20" s="89">
        <x:v>594.88</x:v>
      </x:c>
      <x:c r="F20" s="90">
        <x:v>679.91039999999998</x:v>
      </x:c>
      <x:c r="G20" s="89">
        <x:v>594.88</x:v>
      </x:c>
      <x:c r="H20" s="90">
        <x:v>679.91039999999998</x:v>
      </x:c>
      <x:c r="I20" s="89">
        <x:v>892.31999999999994</x:v>
      </x:c>
      <x:c r="J20" s="90">
        <x:v>389.27283199999999</x:v>
      </x:c>
      <x:c r="K20" s="89">
        <x:v>594.88</x:v>
      </x:c>
      <x:c r="L20" s="90">
        <x:v>389.27283199999999</x:v>
      </x:c>
      <x:c r="M20" s="89">
        <x:v>594.88</x:v>
      </x:c>
      <x:c r="N20" s="90">
        <x:v>609.27283199999999</x:v>
      </x:c>
      <x:c r="O20" s="89">
        <x:v>594.88</x:v>
      </x:c>
      <x:c r="P20" s="516">
        <x:v>609.27283199999999</x:v>
      </x:c>
      <x:c r="Q20" s="89">
        <x:v>0</x:v>
      </x:c>
      <x:c r="R20" s="516">
        <x:v>609.27283199999999</x:v>
      </x:c>
      <x:c r="S20" s="89">
        <x:v>0</x:v>
      </x:c>
      <x:c r="T20" s="516">
        <x:v>609.27283199999999</x:v>
      </x:c>
      <x:c r="U20" s="89">
        <x:v>0</x:v>
      </x:c>
      <x:c r="V20" s="516">
        <x:v>609.27283199999999</x:v>
      </x:c>
      <x:c r="W20" s="89"/>
      <x:c r="X20" s="516">
        <x:v>609.27283199999999</x:v>
      </x:c>
      <x:c r="Y20" s="89"/>
      <x:c r="Z20" s="516">
        <x:v>609.27283199999999</x:v>
      </x:c>
      <x:c r="AA20" s="91">
        <x:f t="shared" si="6"/>
        <x:v>4461.6000000000004</x:v>
      </x:c>
      <x:c r="AB20" s="354">
        <x:f t="shared" si="6"/>
        <x:v>7083.1866879999989</x:v>
      </x:c>
      <x:c r="AC20" s="394">
        <x:f t="shared" si="7"/>
        <x:v>4036.8225280000001</x:v>
      </x:c>
      <x:c r="AD20" s="419">
        <x:f t="shared" si="8"/>
        <x:v>424.77747200000022</x:v>
      </x:c>
      <x:c r="AE20" s="498">
        <x:v>7536.7498239999986</x:v>
      </x:c>
      <x:c r="AF20" s="477"/>
    </x:row>
    <x:row r="21" spans="1:32" x14ac:dyDescent="0.25">
      <x:c r="A21" s="26" t="s">
        <x:v>364</x:v>
      </x:c>
      <x:c r="B21" s="27" t="s">
        <x:v>36</x:v>
      </x:c>
      <x:c r="C21" s="89">
        <x:v>718.75</x:v>
      </x:c>
      <x:c r="D21" s="90">
        <x:v>781.45540000000005</x:v>
      </x:c>
      <x:c r="E21" s="89">
        <x:v>739.47</x:v>
      </x:c>
      <x:c r="F21" s="90">
        <x:v>781.45540000000005</x:v>
      </x:c>
      <x:c r="G21" s="89">
        <x:v>792.48</x:v>
      </x:c>
      <x:c r="H21" s="90">
        <x:v>781.45540000000005</x:v>
      </x:c>
      <x:c r="I21" s="89">
        <x:v>1336.27</x:v>
      </x:c>
      <x:c r="J21" s="90">
        <x:v>563.87961600000006</x:v>
      </x:c>
      <x:c r="K21" s="89">
        <x:v>1005.19</x:v>
      </x:c>
      <x:c r="L21" s="90">
        <x:v>563.87961600000006</x:v>
      </x:c>
      <x:c r="M21" s="89">
        <x:v>812.36</x:v>
      </x:c>
      <x:c r="N21" s="90">
        <x:v>1063.8796160000002</x:v>
      </x:c>
      <x:c r="O21" s="89">
        <x:v>811.78</x:v>
      </x:c>
      <x:c r="P21" s="516">
        <x:v>1063.8796160000002</x:v>
      </x:c>
      <x:c r="Q21" s="89">
        <x:v>0</x:v>
      </x:c>
      <x:c r="R21" s="516">
        <x:v>1063.8796160000002</x:v>
      </x:c>
      <x:c r="S21" s="89">
        <x:v>0</x:v>
      </x:c>
      <x:c r="T21" s="516">
        <x:v>1063.8796160000002</x:v>
      </x:c>
      <x:c r="U21" s="89">
        <x:v>0</x:v>
      </x:c>
      <x:c r="V21" s="516">
        <x:v>1063.8796160000002</x:v>
      </x:c>
      <x:c r="W21" s="89"/>
      <x:c r="X21" s="516">
        <x:v>1063.8796160000002</x:v>
      </x:c>
      <x:c r="Y21" s="89"/>
      <x:c r="Z21" s="516">
        <x:v>1063.8796160000002</x:v>
      </x:c>
      <x:c r="AA21" s="91">
        <x:f t="shared" si="6"/>
        <x:v>6216.2999999999993</x:v>
      </x:c>
      <x:c r="AB21" s="354">
        <x:f t="shared" si="6"/>
        <x:v>10919.282744000002</x:v>
      </x:c>
      <x:c r="AC21" s="394">
        <x:f t="shared" si="7"/>
        <x:v>5599.8846640000011</x:v>
      </x:c>
      <x:c r="AD21" s="419">
        <x:f t="shared" si="8"/>
        <x:v>616.41533599999821</x:v>
      </x:c>
      <x:c r="AE21" s="498">
        <x:v>12039.317312000001</x:v>
      </x:c>
      <x:c r="AF21" s="477"/>
    </x:row>
    <x:row r="22" spans="1:32" x14ac:dyDescent="0.25">
      <x:c r="A22" s="26" t="s">
        <x:v>364</x:v>
      </x:c>
      <x:c r="B22" s="27" t="s">
        <x:v>61</x:v>
      </x:c>
      <x:c r="C22" s="89">
        <x:v>0</x:v>
      </x:c>
      <x:c r="D22" s="90">
        <x:v>1742.0200000000002</x:v>
      </x:c>
      <x:c r="E22" s="89">
        <x:v>0</x:v>
      </x:c>
      <x:c r="F22" s="90">
        <x:v>1742.0200000000002</x:v>
      </x:c>
      <x:c r="G22" s="89">
        <x:v>0</x:v>
      </x:c>
      <x:c r="H22" s="90">
        <x:v>1742.0200000000002</x:v>
      </x:c>
      <x:c r="I22" s="89">
        <x:v>0</x:v>
      </x:c>
      <x:c r="J22" s="90">
        <x:v>0</x:v>
      </x:c>
      <x:c r="K22" s="89">
        <x:v>0</x:v>
      </x:c>
      <x:c r="L22" s="90">
        <x:v>0</x:v>
      </x:c>
      <x:c r="M22" s="89">
        <x:v>0</x:v>
      </x:c>
      <x:c r="N22" s="90">
        <x:v>0</x:v>
      </x:c>
      <x:c r="O22" s="89">
        <x:v>0</x:v>
      </x:c>
      <x:c r="P22" s="90">
        <x:v>0</x:v>
      </x:c>
      <x:c r="Q22" s="89">
        <x:v>0</x:v>
      </x:c>
      <x:c r="R22" s="90">
        <x:v>0</x:v>
      </x:c>
      <x:c r="S22" s="89">
        <x:v>0</x:v>
      </x:c>
      <x:c r="T22" s="90">
        <x:v>0</x:v>
      </x:c>
      <x:c r="U22" s="89">
        <x:v>0</x:v>
      </x:c>
      <x:c r="V22" s="90">
        <x:v>0</x:v>
      </x:c>
      <x:c r="W22" s="89"/>
      <x:c r="X22" s="90">
        <x:v>0</x:v>
      </x:c>
      <x:c r="Y22" s="89"/>
      <x:c r="Z22" s="90">
        <x:v>0</x:v>
      </x:c>
      <x:c r="AA22" s="91">
        <x:f t="shared" si="6"/>
        <x:v>0</x:v>
      </x:c>
      <x:c r="AB22" s="354">
        <x:f t="shared" si="6"/>
        <x:v>5226.0600000000004</x:v>
      </x:c>
      <x:c r="AC22" s="394">
        <x:f t="shared" si="7"/>
        <x:v>5226.0600000000004</x:v>
      </x:c>
      <x:c r="AD22" s="419">
        <x:f t="shared" si="8"/>
        <x:v>-5226.0600000000004</x:v>
      </x:c>
      <x:c r="AE22" s="498">
        <x:v>0</x:v>
      </x:c>
      <x:c r="AF22" s="477"/>
    </x:row>
    <x:row r="23" spans="1:32" x14ac:dyDescent="0.25">
      <x:c r="A23" s="26" t="s">
        <x:v>365</x:v>
      </x:c>
      <x:c r="B23" s="27" t="s">
        <x:v>422</x:v>
      </x:c>
      <x:c r="C23" s="89"/>
      <x:c r="D23" s="90"/>
      <x:c r="E23" s="89"/>
      <x:c r="F23" s="90"/>
      <x:c r="G23" s="89"/>
      <x:c r="H23" s="90"/>
      <x:c r="I23" s="89"/>
      <x:c r="J23" s="90"/>
      <x:c r="K23" s="89"/>
      <x:c r="L23" s="90"/>
      <x:c r="M23" s="89"/>
      <x:c r="N23" s="90"/>
      <x:c r="O23" s="89"/>
      <x:c r="P23" s="90"/>
      <x:c r="Q23" s="89"/>
      <x:c r="R23" s="90"/>
      <x:c r="S23" s="89"/>
      <x:c r="T23" s="90"/>
      <x:c r="U23" s="89"/>
      <x:c r="V23" s="90"/>
      <x:c r="W23" s="89"/>
      <x:c r="X23" s="90"/>
      <x:c r="Y23" s="89"/>
      <x:c r="Z23" s="90"/>
      <x:c r="AA23" s="91">
        <x:f t="shared" si="6"/>
        <x:v>0</x:v>
      </x:c>
      <x:c r="AB23" s="354">
        <x:f t="shared" si="6"/>
        <x:v>0</x:v>
      </x:c>
      <x:c r="AC23" s="394">
        <x:f t="shared" si="7"/>
        <x:v>0</x:v>
      </x:c>
      <x:c r="AD23" s="419">
        <x:f t="shared" si="8"/>
        <x:v>0</x:v>
      </x:c>
      <x:c r="AE23" s="498">
        <x:v>0</x:v>
      </x:c>
      <x:c r="AF23" s="477"/>
    </x:row>
    <x:row r="24" spans="1:32" x14ac:dyDescent="0.25">
      <x:c r="A24" s="26" t="s">
        <x:v>423</x:v>
      </x:c>
      <x:c r="B24" s="27" t="s">
        <x:v>424</x:v>
      </x:c>
      <x:c r="C24" s="89"/>
      <x:c r="D24" s="90"/>
      <x:c r="E24" s="89"/>
      <x:c r="F24" s="90"/>
      <x:c r="G24" s="89"/>
      <x:c r="H24" s="90"/>
      <x:c r="I24" s="89"/>
      <x:c r="J24" s="90"/>
      <x:c r="K24" s="89"/>
      <x:c r="L24" s="90"/>
      <x:c r="M24" s="89"/>
      <x:c r="N24" s="90"/>
      <x:c r="O24" s="89"/>
      <x:c r="P24" s="90"/>
      <x:c r="Q24" s="89"/>
      <x:c r="R24" s="90"/>
      <x:c r="S24" s="89"/>
      <x:c r="T24" s="90"/>
      <x:c r="U24" s="89"/>
      <x:c r="V24" s="90"/>
      <x:c r="W24" s="89"/>
      <x:c r="X24" s="90"/>
      <x:c r="Y24" s="89"/>
      <x:c r="Z24" s="90"/>
      <x:c r="AA24" s="91"/>
      <x:c r="AB24" s="354"/>
      <x:c r="AC24" s="394">
        <x:f t="shared" si="7"/>
        <x:v>0</x:v>
      </x:c>
      <x:c r="AD24" s="419"/>
      <x:c r="AE24" s="498">
        <x:v>0</x:v>
      </x:c>
      <x:c r="AF24" s="477"/>
    </x:row>
    <x:row r="25" spans="1:32" x14ac:dyDescent="0.25">
      <x:c r="A25" s="26" t="s">
        <x:v>433</x:v>
      </x:c>
      <x:c r="B25" s="27" t="s">
        <x:v>17</x:v>
      </x:c>
      <x:c r="C25" s="89">
        <x:v>0</x:v>
      </x:c>
      <x:c r="D25" s="90"/>
      <x:c r="E25" s="89"/>
      <x:c r="F25" s="90"/>
      <x:c r="G25" s="89"/>
      <x:c r="H25" s="90"/>
      <x:c r="I25" s="89"/>
      <x:c r="J25" s="90"/>
      <x:c r="K25" s="89"/>
      <x:c r="L25" s="90"/>
      <x:c r="M25" s="89"/>
      <x:c r="N25" s="90"/>
      <x:c r="O25" s="89"/>
      <x:c r="P25" s="90"/>
      <x:c r="Q25" s="89"/>
      <x:c r="R25" s="90"/>
      <x:c r="S25" s="89"/>
      <x:c r="T25" s="90"/>
      <x:c r="U25" s="89"/>
      <x:c r="V25" s="90"/>
      <x:c r="W25" s="89"/>
      <x:c r="X25" s="90"/>
      <x:c r="Y25" s="89"/>
      <x:c r="Z25" s="90"/>
      <x:c r="AA25" s="91">
        <x:f t="shared" ref="AA25:AA38" si="9">C25+E25+G25+I25+K25+M25+O25+Q25+S25+U25+W25+Y25</x:f>
        <x:v>0</x:v>
      </x:c>
      <x:c r="AB25" s="354">
        <x:f t="shared" ref="AB25:AB38" si="10">D25+F25+H25+J25+L25+N25+P25+R25+T25+V25+X25+Z25</x:f>
        <x:v>0</x:v>
      </x:c>
      <x:c r="AC25" s="394">
        <x:f t="shared" si="7"/>
        <x:v>0</x:v>
      </x:c>
      <x:c r="AD25" s="419">
        <x:f t="shared" ref="AD25:AD38" si="11">AA25-AC25</x:f>
        <x:v>0</x:v>
      </x:c>
      <x:c r="AE25" s="498">
        <x:v>0</x:v>
      </x:c>
      <x:c r="AF25" s="477"/>
    </x:row>
    <x:row r="26" spans="1:32" x14ac:dyDescent="0.25">
      <x:c r="A26" s="26" t="s">
        <x:v>366</x:v>
      </x:c>
      <x:c r="B26" s="27" t="s">
        <x:v>367</x:v>
      </x:c>
      <x:c r="C26" s="89"/>
      <x:c r="D26" s="90"/>
      <x:c r="E26" s="89"/>
      <x:c r="F26" s="90"/>
      <x:c r="G26" s="89"/>
      <x:c r="H26" s="90"/>
      <x:c r="I26" s="89"/>
      <x:c r="J26" s="90"/>
      <x:c r="K26" s="89"/>
      <x:c r="L26" s="90"/>
      <x:c r="M26" s="89"/>
      <x:c r="N26" s="90"/>
      <x:c r="O26" s="89"/>
      <x:c r="P26" s="90"/>
      <x:c r="Q26" s="89"/>
      <x:c r="R26" s="90"/>
      <x:c r="S26" s="89"/>
      <x:c r="T26" s="90"/>
      <x:c r="U26" s="89"/>
      <x:c r="V26" s="90"/>
      <x:c r="W26" s="89"/>
      <x:c r="X26" s="90"/>
      <x:c r="Y26" s="89"/>
      <x:c r="Z26" s="90"/>
      <x:c r="AA26" s="91">
        <x:f t="shared" si="9"/>
        <x:v>0</x:v>
      </x:c>
      <x:c r="AB26" s="354">
        <x:f t="shared" si="10"/>
        <x:v>0</x:v>
      </x:c>
      <x:c r="AC26" s="394">
        <x:f t="shared" si="7"/>
        <x:v>0</x:v>
      </x:c>
      <x:c r="AD26" s="419">
        <x:f t="shared" si="11"/>
        <x:v>0</x:v>
      </x:c>
      <x:c r="AE26" s="498">
        <x:v>0</x:v>
      </x:c>
      <x:c r="AF26" s="477"/>
    </x:row>
    <x:row r="27" spans="1:32" x14ac:dyDescent="0.25">
      <x:c r="A27" s="26" t="s">
        <x:v>368</x:v>
      </x:c>
      <x:c r="B27" s="27" t="s">
        <x:v>369</x:v>
      </x:c>
      <x:c r="C27" s="89"/>
      <x:c r="D27" s="90">
        <x:v>15000</x:v>
      </x:c>
      <x:c r="E27" s="89"/>
      <x:c r="F27" s="90"/>
      <x:c r="G27" s="89"/>
      <x:c r="H27" s="90"/>
      <x:c r="I27" s="89"/>
      <x:c r="J27" s="90"/>
      <x:c r="K27" s="89"/>
      <x:c r="L27" s="90"/>
      <x:c r="M27" s="89"/>
      <x:c r="N27" s="90">
        <x:v>15000</x:v>
      </x:c>
      <x:c r="O27" s="89"/>
      <x:c r="P27" s="90"/>
      <x:c r="Q27" s="89"/>
      <x:c r="R27" s="90"/>
      <x:c r="S27" s="89"/>
      <x:c r="T27" s="90"/>
      <x:c r="U27" s="89"/>
      <x:c r="V27" s="90"/>
      <x:c r="W27" s="89"/>
      <x:c r="X27" s="90"/>
      <x:c r="Y27" s="89"/>
      <x:c r="Z27" s="90"/>
      <x:c r="AA27" s="91">
        <x:f t="shared" si="9"/>
        <x:v>0</x:v>
      </x:c>
      <x:c r="AB27" s="354">
        <x:f t="shared" si="10"/>
        <x:v>30000</x:v>
      </x:c>
      <x:c r="AC27" s="394">
        <x:f t="shared" si="7"/>
        <x:v>30000</x:v>
      </x:c>
      <x:c r="AD27" s="419">
        <x:f t="shared" si="11"/>
        <x:v>-30000</x:v>
      </x:c>
      <x:c r="AE27" s="498">
        <x:v>15000</x:v>
      </x:c>
      <x:c r="AF27" s="477"/>
    </x:row>
    <x:row r="28" spans="1:32" x14ac:dyDescent="0.25">
      <x:c r="A28" s="26" t="s">
        <x:v>370</x:v>
      </x:c>
      <x:c r="B28" s="27" t="s">
        <x:v>164</x:v>
      </x:c>
      <x:c r="C28" s="89"/>
      <x:c r="D28" s="90"/>
      <x:c r="E28" s="89"/>
      <x:c r="F28" s="90"/>
      <x:c r="G28" s="89"/>
      <x:c r="H28" s="90"/>
      <x:c r="I28" s="89"/>
      <x:c r="J28" s="90"/>
      <x:c r="K28" s="89"/>
      <x:c r="L28" s="90"/>
      <x:c r="M28" s="89"/>
      <x:c r="N28" s="90"/>
      <x:c r="O28" s="89"/>
      <x:c r="P28" s="90"/>
      <x:c r="Q28" s="89"/>
      <x:c r="R28" s="90"/>
      <x:c r="S28" s="89"/>
      <x:c r="T28" s="90"/>
      <x:c r="U28" s="89"/>
      <x:c r="V28" s="90"/>
      <x:c r="W28" s="89"/>
      <x:c r="X28" s="90"/>
      <x:c r="Y28" s="89"/>
      <x:c r="Z28" s="90"/>
      <x:c r="AA28" s="91">
        <x:f t="shared" si="9"/>
        <x:v>0</x:v>
      </x:c>
      <x:c r="AB28" s="354">
        <x:f t="shared" si="10"/>
        <x:v>0</x:v>
      </x:c>
      <x:c r="AC28" s="394">
        <x:f t="shared" si="7"/>
        <x:v>0</x:v>
      </x:c>
      <x:c r="AD28" s="419">
        <x:f t="shared" si="11"/>
        <x:v>0</x:v>
      </x:c>
      <x:c r="AE28" s="498">
        <x:v>0</x:v>
      </x:c>
      <x:c r="AF28" s="477"/>
    </x:row>
    <x:row r="29" spans="1:32" x14ac:dyDescent="0.25">
      <x:c r="A29" s="26" t="s">
        <x:v>371</x:v>
      </x:c>
      <x:c r="B29" s="27" t="s">
        <x:v>159</x:v>
      </x:c>
      <x:c r="C29" s="89">
        <x:v>0</x:v>
      </x:c>
      <x:c r="D29" s="90">
        <x:v>6000</x:v>
      </x:c>
      <x:c r="E29" s="89">
        <x:v>0</x:v>
      </x:c>
      <x:c r="F29" s="90">
        <x:v>6000</x:v>
      </x:c>
      <x:c r="G29" s="89">
        <x:v>0</x:v>
      </x:c>
      <x:c r="H29" s="90">
        <x:v>6000</x:v>
      </x:c>
      <x:c r="I29" s="89">
        <x:v>0</x:v>
      </x:c>
      <x:c r="J29" s="90">
        <x:v>6000</x:v>
      </x:c>
      <x:c r="K29" s="89">
        <x:v>0</x:v>
      </x:c>
      <x:c r="L29" s="90">
        <x:v>6000</x:v>
      </x:c>
      <x:c r="M29" s="89">
        <x:v>0</x:v>
      </x:c>
      <x:c r="N29" s="90">
        <x:v>6000</x:v>
      </x:c>
      <x:c r="O29" s="89">
        <x:v>0</x:v>
      </x:c>
      <x:c r="P29" s="90">
        <x:v>6000</x:v>
      </x:c>
      <x:c r="Q29" s="89">
        <x:v>0</x:v>
      </x:c>
      <x:c r="R29" s="90">
        <x:v>6000</x:v>
      </x:c>
      <x:c r="S29" s="89">
        <x:v>0</x:v>
      </x:c>
      <x:c r="T29" s="90">
        <x:v>6000</x:v>
      </x:c>
      <x:c r="U29" s="89">
        <x:v>0</x:v>
      </x:c>
      <x:c r="V29" s="90">
        <x:v>6000</x:v>
      </x:c>
      <x:c r="W29" s="89">
        <x:v>0</x:v>
      </x:c>
      <x:c r="X29" s="90">
        <x:v>6000</x:v>
      </x:c>
      <x:c r="Y29" s="89">
        <x:v>0</x:v>
      </x:c>
      <x:c r="Z29" s="90">
        <x:v>6000</x:v>
      </x:c>
      <x:c r="AA29" s="91">
        <x:f t="shared" si="9"/>
        <x:v>0</x:v>
      </x:c>
      <x:c r="AB29" s="354">
        <x:f t="shared" si="10"/>
        <x:v>72000</x:v>
      </x:c>
      <x:c r="AC29" s="394">
        <x:f t="shared" si="7"/>
        <x:v>42000</x:v>
      </x:c>
      <x:c r="AD29" s="419">
        <x:f t="shared" si="11"/>
        <x:v>-42000</x:v>
      </x:c>
      <x:c r="AE29" s="498">
        <x:v>42000</x:v>
      </x:c>
      <x:c r="AF29" s="477"/>
    </x:row>
    <x:row r="30" spans="1:32" x14ac:dyDescent="0.25">
      <x:c r="A30" s="26" t="s">
        <x:v>372</x:v>
      </x:c>
      <x:c r="B30" s="27" t="s">
        <x:v>373</x:v>
      </x:c>
      <x:c r="C30" s="89">
        <x:v>333557.40000000002</x:v>
      </x:c>
      <x:c r="D30" s="90">
        <x:v>450620.96370000008</x:v>
      </x:c>
      <x:c r="E30" s="89">
        <x:v>340450.69000000006</x:v>
      </x:c>
      <x:c r="F30" s="90">
        <x:v>450620.96370000008</x:v>
      </x:c>
      <x:c r="G30" s="89">
        <x:v>347994.42</x:v>
      </x:c>
      <x:c r="H30" s="90">
        <x:v>450620.96370000008</x:v>
      </x:c>
      <x:c r="I30" s="89">
        <x:v>379032.4</x:v>
      </x:c>
      <x:c r="J30" s="90">
        <x:v>485526.80033823999</x:v>
      </x:c>
      <x:c r="K30" s="89">
        <x:v>371845.88999999996</x:v>
      </x:c>
      <x:c r="L30" s="90">
        <x:v>485526.80033823999</x:v>
      </x:c>
      <x:c r="M30" s="89">
        <x:v>383506.75000000006</x:v>
      </x:c>
      <x:c r="N30" s="90">
        <x:v>385526.80033823999</x:v>
      </x:c>
      <x:c r="O30" s="89">
        <x:v>353635.06999999995</x:v>
      </x:c>
      <x:c r="P30" s="90">
        <x:v>385526.80033823999</x:v>
      </x:c>
      <x:c r="Q30" s="89">
        <x:v>0</x:v>
      </x:c>
      <x:c r="R30" s="90">
        <x:v>385526.80033823999</x:v>
      </x:c>
      <x:c r="S30" s="89">
        <x:v>0</x:v>
      </x:c>
      <x:c r="T30" s="90">
        <x:v>385526.80033823999</x:v>
      </x:c>
      <x:c r="U30" s="89">
        <x:v>0</x:v>
      </x:c>
      <x:c r="V30" s="90">
        <x:v>385526.80033823999</x:v>
      </x:c>
      <x:c r="W30" s="89"/>
      <x:c r="X30" s="90">
        <x:v>385526.80033823999</x:v>
      </x:c>
      <x:c r="Y30" s="89"/>
      <x:c r="Z30" s="90">
        <x:v>385526.80033823999</x:v>
      </x:c>
      <x:c r="AA30" s="91">
        <x:f t="shared" si="9"/>
        <x:v>2510022.62</x:v>
      </x:c>
      <x:c r="AB30" s="354">
        <x:f t="shared" si="10"/>
        <x:v>5021604.0941441599</x:v>
      </x:c>
      <x:c r="AC30" s="394">
        <x:f t="shared" si="7"/>
        <x:v>3093970.0924529596</x:v>
      </x:c>
      <x:c r="AD30" s="419">
        <x:f t="shared" si="11"/>
        <x:v>-583947.47245295951</x:v>
      </x:c>
      <x:c r="AE30" s="498">
        <x:v>4471568.4023676794</x:v>
      </x:c>
      <x:c r="AF30" s="477"/>
    </x:row>
    <x:row r="31" spans="1:32" x14ac:dyDescent="0.25">
      <x:c r="A31" s="26" t="s">
        <x:v>374</x:v>
      </x:c>
      <x:c r="B31" s="27" t="s">
        <x:v>3</x:v>
      </x:c>
      <x:c r="C31" s="89"/>
      <x:c r="D31" s="90"/>
      <x:c r="E31" s="89"/>
      <x:c r="F31" s="90"/>
      <x:c r="G31" s="89"/>
      <x:c r="H31" s="90"/>
      <x:c r="I31" s="89"/>
      <x:c r="J31" s="90"/>
      <x:c r="K31" s="89"/>
      <x:c r="L31" s="90"/>
      <x:c r="M31" s="89"/>
      <x:c r="N31" s="90"/>
      <x:c r="O31" s="89"/>
      <x:c r="P31" s="90"/>
      <x:c r="Q31" s="89"/>
      <x:c r="R31" s="90"/>
      <x:c r="S31" s="89"/>
      <x:c r="T31" s="90"/>
      <x:c r="U31" s="89"/>
      <x:c r="V31" s="90"/>
      <x:c r="W31" s="89"/>
      <x:c r="X31" s="90"/>
      <x:c r="Y31" s="89"/>
      <x:c r="Z31" s="90"/>
      <x:c r="AA31" s="91">
        <x:f t="shared" si="9"/>
        <x:v>0</x:v>
      </x:c>
      <x:c r="AB31" s="354">
        <x:f t="shared" si="10"/>
        <x:v>0</x:v>
      </x:c>
      <x:c r="AC31" s="394">
        <x:f t="shared" si="7"/>
        <x:v>0</x:v>
      </x:c>
      <x:c r="AD31" s="419">
        <x:f t="shared" si="11"/>
        <x:v>0</x:v>
      </x:c>
      <x:c r="AE31" s="498">
        <x:v>0</x:v>
      </x:c>
      <x:c r="AF31" s="477"/>
    </x:row>
    <x:row r="32" spans="1:32" x14ac:dyDescent="0.25">
      <x:c r="A32" s="26" t="s">
        <x:v>375</x:v>
      </x:c>
      <x:c r="B32" s="27" t="s">
        <x:v>11</x:v>
      </x:c>
      <x:c r="C32" s="89"/>
      <x:c r="D32" s="90"/>
      <x:c r="E32" s="89"/>
      <x:c r="F32" s="90"/>
      <x:c r="G32" s="89"/>
      <x:c r="H32" s="90"/>
      <x:c r="I32" s="89"/>
      <x:c r="J32" s="90"/>
      <x:c r="K32" s="89"/>
      <x:c r="L32" s="90"/>
      <x:c r="M32" s="89"/>
      <x:c r="N32" s="90"/>
      <x:c r="O32" s="89"/>
      <x:c r="P32" s="90"/>
      <x:c r="Q32" s="89"/>
      <x:c r="R32" s="90"/>
      <x:c r="S32" s="89"/>
      <x:c r="T32" s="90"/>
      <x:c r="U32" s="89"/>
      <x:c r="V32" s="90"/>
      <x:c r="W32" s="89"/>
      <x:c r="X32" s="90"/>
      <x:c r="Y32" s="89"/>
      <x:c r="Z32" s="90"/>
      <x:c r="AA32" s="91">
        <x:f t="shared" si="9"/>
        <x:v>0</x:v>
      </x:c>
      <x:c r="AB32" s="354">
        <x:f t="shared" si="10"/>
        <x:v>0</x:v>
      </x:c>
      <x:c r="AC32" s="394">
        <x:f t="shared" si="7"/>
        <x:v>0</x:v>
      </x:c>
      <x:c r="AD32" s="419">
        <x:f t="shared" si="11"/>
        <x:v>0</x:v>
      </x:c>
      <x:c r="AE32" s="498">
        <x:v>0</x:v>
      </x:c>
      <x:c r="AF32" s="477"/>
    </x:row>
    <x:row r="33" spans="1:46" x14ac:dyDescent="0.25">
      <x:c r="A33" s="26" t="s">
        <x:v>376</x:v>
      </x:c>
      <x:c r="B33" s="27" t="s">
        <x:v>377</x:v>
      </x:c>
      <x:c r="C33" s="89"/>
      <x:c r="D33" s="90"/>
      <x:c r="E33" s="89"/>
      <x:c r="F33" s="90"/>
      <x:c r="G33" s="89"/>
      <x:c r="H33" s="90"/>
      <x:c r="I33" s="89"/>
      <x:c r="J33" s="90"/>
      <x:c r="K33" s="89"/>
      <x:c r="L33" s="90"/>
      <x:c r="M33" s="89"/>
      <x:c r="N33" s="90"/>
      <x:c r="O33" s="89"/>
      <x:c r="P33" s="90"/>
      <x:c r="Q33" s="89"/>
      <x:c r="R33" s="90"/>
      <x:c r="S33" s="89"/>
      <x:c r="T33" s="90"/>
      <x:c r="U33" s="89"/>
      <x:c r="V33" s="90"/>
      <x:c r="W33" s="89"/>
      <x:c r="X33" s="90"/>
      <x:c r="Y33" s="89"/>
      <x:c r="Z33" s="90"/>
      <x:c r="AA33" s="91">
        <x:f t="shared" si="9"/>
        <x:v>0</x:v>
      </x:c>
      <x:c r="AB33" s="354">
        <x:f t="shared" si="10"/>
        <x:v>0</x:v>
      </x:c>
      <x:c r="AC33" s="394">
        <x:f t="shared" si="7"/>
        <x:v>0</x:v>
      </x:c>
      <x:c r="AD33" s="419">
        <x:f t="shared" si="11"/>
        <x:v>0</x:v>
      </x:c>
      <x:c r="AE33" s="498">
        <x:v>0</x:v>
      </x:c>
      <x:c r="AF33" s="477"/>
    </x:row>
    <x:row r="34" spans="1:46" x14ac:dyDescent="0.25">
      <x:c r="A34" s="26" t="s">
        <x:v>380</x:v>
      </x:c>
      <x:c r="B34" s="27" t="s">
        <x:v>41</x:v>
      </x:c>
      <x:c r="C34" s="89"/>
      <x:c r="D34" s="90"/>
      <x:c r="E34" s="89"/>
      <x:c r="F34" s="90"/>
      <x:c r="G34" s="89"/>
      <x:c r="H34" s="90"/>
      <x:c r="I34" s="89"/>
      <x:c r="J34" s="90"/>
      <x:c r="K34" s="89"/>
      <x:c r="L34" s="90"/>
      <x:c r="M34" s="89"/>
      <x:c r="N34" s="90"/>
      <x:c r="O34" s="89"/>
      <x:c r="P34" s="90"/>
      <x:c r="Q34" s="89"/>
      <x:c r="R34" s="90"/>
      <x:c r="S34" s="89"/>
      <x:c r="T34" s="90"/>
      <x:c r="U34" s="89"/>
      <x:c r="V34" s="90"/>
      <x:c r="W34" s="89"/>
      <x:c r="X34" s="90"/>
      <x:c r="Y34" s="89"/>
      <x:c r="Z34" s="90"/>
      <x:c r="AA34" s="91">
        <x:f t="shared" si="9"/>
        <x:v>0</x:v>
      </x:c>
      <x:c r="AB34" s="354">
        <x:f t="shared" si="10"/>
        <x:v>0</x:v>
      </x:c>
      <x:c r="AC34" s="394">
        <x:f t="shared" si="7"/>
        <x:v>0</x:v>
      </x:c>
      <x:c r="AD34" s="419">
        <x:f t="shared" si="11"/>
        <x:v>0</x:v>
      </x:c>
      <x:c r="AE34" s="498">
        <x:v>0</x:v>
      </x:c>
      <x:c r="AF34" s="477"/>
    </x:row>
    <x:row r="35" spans="1:46" x14ac:dyDescent="0.25">
      <x:c r="A35" s="26" t="s">
        <x:v>378</x:v>
      </x:c>
      <x:c r="B35" s="27" t="s">
        <x:v>30</x:v>
      </x:c>
      <x:c r="C35" s="89"/>
      <x:c r="D35" s="90"/>
      <x:c r="E35" s="89"/>
      <x:c r="F35" s="90"/>
      <x:c r="G35" s="89"/>
      <x:c r="H35" s="90"/>
      <x:c r="I35" s="89"/>
      <x:c r="J35" s="90"/>
      <x:c r="K35" s="89"/>
      <x:c r="L35" s="90"/>
      <x:c r="M35" s="89"/>
      <x:c r="N35" s="90"/>
      <x:c r="O35" s="89"/>
      <x:c r="P35" s="90"/>
      <x:c r="Q35" s="89"/>
      <x:c r="R35" s="90"/>
      <x:c r="S35" s="89"/>
      <x:c r="T35" s="90"/>
      <x:c r="U35" s="89"/>
      <x:c r="V35" s="90"/>
      <x:c r="W35" s="89"/>
      <x:c r="X35" s="90"/>
      <x:c r="Y35" s="89"/>
      <x:c r="Z35" s="90"/>
      <x:c r="AA35" s="91">
        <x:f t="shared" si="9"/>
        <x:v>0</x:v>
      </x:c>
      <x:c r="AB35" s="354">
        <x:f t="shared" si="10"/>
        <x:v>0</x:v>
      </x:c>
      <x:c r="AC35" s="394">
        <x:f t="shared" si="7"/>
        <x:v>0</x:v>
      </x:c>
      <x:c r="AD35" s="419">
        <x:f t="shared" si="11"/>
        <x:v>0</x:v>
      </x:c>
      <x:c r="AE35" s="498">
        <x:v>0</x:v>
      </x:c>
      <x:c r="AF35" s="477"/>
    </x:row>
    <x:row r="36" spans="1:46" x14ac:dyDescent="0.25">
      <x:c r="A36" s="26" t="s">
        <x:v>379</x:v>
      </x:c>
      <x:c r="B36" s="27" t="s">
        <x:v>29</x:v>
      </x:c>
      <x:c r="C36" s="89"/>
      <x:c r="D36" s="90"/>
      <x:c r="E36" s="89"/>
      <x:c r="F36" s="90"/>
      <x:c r="G36" s="89"/>
      <x:c r="H36" s="90"/>
      <x:c r="I36" s="89"/>
      <x:c r="J36" s="90"/>
      <x:c r="K36" s="89"/>
      <x:c r="L36" s="90"/>
      <x:c r="M36" s="89"/>
      <x:c r="N36" s="90"/>
      <x:c r="O36" s="89"/>
      <x:c r="P36" s="90"/>
      <x:c r="Q36" s="89"/>
      <x:c r="R36" s="90"/>
      <x:c r="S36" s="89"/>
      <x:c r="T36" s="90"/>
      <x:c r="U36" s="89"/>
      <x:c r="V36" s="90"/>
      <x:c r="W36" s="89"/>
      <x:c r="X36" s="90"/>
      <x:c r="Y36" s="89"/>
      <x:c r="Z36" s="90"/>
      <x:c r="AA36" s="91">
        <x:f t="shared" si="9"/>
        <x:v>0</x:v>
      </x:c>
      <x:c r="AB36" s="354">
        <x:f t="shared" si="10"/>
        <x:v>0</x:v>
      </x:c>
      <x:c r="AC36" s="394">
        <x:f t="shared" si="7"/>
        <x:v>0</x:v>
      </x:c>
      <x:c r="AD36" s="419">
        <x:f t="shared" si="11"/>
        <x:v>0</x:v>
      </x:c>
      <x:c r="AE36" s="498">
        <x:v>0</x:v>
      </x:c>
      <x:c r="AF36" s="477"/>
    </x:row>
    <x:row r="37" spans="1:46" x14ac:dyDescent="0.25">
      <x:c r="A37" s="26" t="s">
        <x:v>381</x:v>
      </x:c>
      <x:c r="B37" s="27" t="s">
        <x:v>31</x:v>
      </x:c>
      <x:c r="C37" s="89"/>
      <x:c r="D37" s="90"/>
      <x:c r="E37" s="89"/>
      <x:c r="F37" s="90"/>
      <x:c r="G37" s="89"/>
      <x:c r="H37" s="90"/>
      <x:c r="I37" s="89"/>
      <x:c r="J37" s="90"/>
      <x:c r="K37" s="89"/>
      <x:c r="L37" s="90"/>
      <x:c r="M37" s="89"/>
      <x:c r="N37" s="90"/>
      <x:c r="O37" s="89"/>
      <x:c r="P37" s="90"/>
      <x:c r="Q37" s="89"/>
      <x:c r="R37" s="90"/>
      <x:c r="S37" s="89"/>
      <x:c r="T37" s="90"/>
      <x:c r="U37" s="89"/>
      <x:c r="V37" s="90"/>
      <x:c r="W37" s="89"/>
      <x:c r="X37" s="90"/>
      <x:c r="Y37" s="89"/>
      <x:c r="Z37" s="90"/>
      <x:c r="AA37" s="91">
        <x:f t="shared" si="9"/>
        <x:v>0</x:v>
      </x:c>
      <x:c r="AB37" s="354">
        <x:f t="shared" si="10"/>
        <x:v>0</x:v>
      </x:c>
      <x:c r="AC37" s="394">
        <x:f t="shared" si="7"/>
        <x:v>0</x:v>
      </x:c>
      <x:c r="AD37" s="419">
        <x:f t="shared" si="11"/>
        <x:v>0</x:v>
      </x:c>
      <x:c r="AE37" s="498">
        <x:v>0</x:v>
      </x:c>
      <x:c r="AF37" s="477"/>
    </x:row>
    <x:row r="38" spans="1:46" x14ac:dyDescent="0.25">
      <x:c r="A38" s="26" t="s">
        <x:v>382</x:v>
      </x:c>
      <x:c r="B38" s="27" t="s">
        <x:v>28</x:v>
      </x:c>
      <x:c r="C38" s="89"/>
      <x:c r="D38" s="90"/>
      <x:c r="E38" s="89"/>
      <x:c r="F38" s="90"/>
      <x:c r="G38" s="89"/>
      <x:c r="H38" s="90"/>
      <x:c r="I38" s="89"/>
      <x:c r="J38" s="90"/>
      <x:c r="K38" s="89"/>
      <x:c r="L38" s="90"/>
      <x:c r="M38" s="89"/>
      <x:c r="N38" s="90"/>
      <x:c r="O38" s="89"/>
      <x:c r="P38" s="90"/>
      <x:c r="Q38" s="89"/>
      <x:c r="R38" s="90"/>
      <x:c r="S38" s="89"/>
      <x:c r="T38" s="90"/>
      <x:c r="U38" s="89"/>
      <x:c r="V38" s="90"/>
      <x:c r="W38" s="89"/>
      <x:c r="X38" s="90"/>
      <x:c r="Y38" s="89"/>
      <x:c r="Z38" s="90"/>
      <x:c r="AA38" s="91">
        <x:f t="shared" si="9"/>
        <x:v>0</x:v>
      </x:c>
      <x:c r="AB38" s="354">
        <x:f t="shared" si="10"/>
        <x:v>0</x:v>
      </x:c>
      <x:c r="AC38" s="394">
        <x:f t="shared" si="7"/>
        <x:v>0</x:v>
      </x:c>
      <x:c r="AD38" s="419">
        <x:f t="shared" si="11"/>
        <x:v>0</x:v>
      </x:c>
      <x:c r="AE38" s="498">
        <x:v>0</x:v>
      </x:c>
      <x:c r="AF38" s="477"/>
    </x:row>
    <x:row r="39" spans="1:46" x14ac:dyDescent="0.25">
      <x:c r="A39" s="26" t="s">
        <x:v>425</x:v>
      </x:c>
      <x:c r="B39" s="27" t="s">
        <x:v>426</x:v>
      </x:c>
      <x:c r="C39" s="89"/>
      <x:c r="D39" s="90"/>
      <x:c r="E39" s="89"/>
      <x:c r="F39" s="90"/>
      <x:c r="G39" s="89"/>
      <x:c r="H39" s="90"/>
      <x:c r="I39" s="89"/>
      <x:c r="J39" s="90"/>
      <x:c r="K39" s="89"/>
      <x:c r="L39" s="90"/>
      <x:c r="M39" s="89"/>
      <x:c r="N39" s="90"/>
      <x:c r="O39" s="89"/>
      <x:c r="P39" s="90"/>
      <x:c r="Q39" s="89"/>
      <x:c r="R39" s="90"/>
      <x:c r="S39" s="89"/>
      <x:c r="T39" s="90"/>
      <x:c r="U39" s="89"/>
      <x:c r="V39" s="90"/>
      <x:c r="W39" s="89"/>
      <x:c r="X39" s="90"/>
      <x:c r="Y39" s="89"/>
      <x:c r="Z39" s="90"/>
      <x:c r="AA39" s="91"/>
      <x:c r="AB39" s="354"/>
      <x:c r="AC39" s="394">
        <x:f t="shared" si="7"/>
        <x:v>0</x:v>
      </x:c>
      <x:c r="AD39" s="419"/>
      <x:c r="AE39" s="498">
        <x:v>0</x:v>
      </x:c>
      <x:c r="AF39" s="477"/>
    </x:row>
    <x:row r="40" spans="1:46" x14ac:dyDescent="0.25">
      <x:c r="A40" s="26" t="s">
        <x:v>383</x:v>
      </x:c>
      <x:c r="B40" s="27" t="s">
        <x:v>384</x:v>
      </x:c>
      <x:c r="C40" s="89"/>
      <x:c r="D40" s="90"/>
      <x:c r="E40" s="89"/>
      <x:c r="F40" s="90"/>
      <x:c r="G40" s="89"/>
      <x:c r="H40" s="90"/>
      <x:c r="I40" s="89"/>
      <x:c r="J40" s="90"/>
      <x:c r="K40" s="89"/>
      <x:c r="L40" s="90"/>
      <x:c r="M40" s="89"/>
      <x:c r="N40" s="90"/>
      <x:c r="O40" s="89"/>
      <x:c r="P40" s="90"/>
      <x:c r="Q40" s="89"/>
      <x:c r="R40" s="90"/>
      <x:c r="S40" s="89"/>
      <x:c r="T40" s="90"/>
      <x:c r="U40" s="89"/>
      <x:c r="V40" s="90"/>
      <x:c r="W40" s="89"/>
      <x:c r="X40" s="90"/>
      <x:c r="Y40" s="89"/>
      <x:c r="Z40" s="90"/>
      <x:c r="AA40" s="91">
        <x:f t="shared" ref="AA40:AA52" si="12">C40+E40+G40+I40+K40+M40+O40+Q40+S40+U40+W40+Y40</x:f>
        <x:v>0</x:v>
      </x:c>
      <x:c r="AB40" s="354">
        <x:f t="shared" ref="AB40:AB52" si="13">D40+F40+H40+J40+L40+N40+P40+R40+T40+V40+X40+Z40</x:f>
        <x:v>0</x:v>
      </x:c>
      <x:c r="AC40" s="394">
        <x:f t="shared" si="7"/>
        <x:v>0</x:v>
      </x:c>
      <x:c r="AD40" s="419">
        <x:f t="shared" ref="AD40:AD52" si="14">AA40-AC40</x:f>
        <x:v>0</x:v>
      </x:c>
      <x:c r="AE40" s="498">
        <x:v>0</x:v>
      </x:c>
      <x:c r="AF40" s="477"/>
    </x:row>
    <x:row r="41" spans="1:46" x14ac:dyDescent="0.25">
      <x:c r="A41" s="26" t="s">
        <x:v>388</x:v>
      </x:c>
      <x:c r="B41" s="27" t="s">
        <x:v>385</x:v>
      </x:c>
      <x:c r="C41" s="89"/>
      <x:c r="D41" s="90"/>
      <x:c r="E41" s="89"/>
      <x:c r="F41" s="90"/>
      <x:c r="G41" s="89"/>
      <x:c r="H41" s="90"/>
      <x:c r="I41" s="89"/>
      <x:c r="J41" s="90"/>
      <x:c r="K41" s="89"/>
      <x:c r="L41" s="90"/>
      <x:c r="M41" s="89"/>
      <x:c r="N41" s="90"/>
      <x:c r="O41" s="89"/>
      <x:c r="P41" s="90"/>
      <x:c r="Q41" s="89"/>
      <x:c r="R41" s="90"/>
      <x:c r="S41" s="89"/>
      <x:c r="T41" s="90"/>
      <x:c r="U41" s="89"/>
      <x:c r="V41" s="90"/>
      <x:c r="W41" s="89"/>
      <x:c r="X41" s="90"/>
      <x:c r="Y41" s="89"/>
      <x:c r="Z41" s="90"/>
      <x:c r="AA41" s="91">
        <x:f t="shared" si="12"/>
        <x:v>0</x:v>
      </x:c>
      <x:c r="AB41" s="354">
        <x:f t="shared" si="13"/>
        <x:v>0</x:v>
      </x:c>
      <x:c r="AC41" s="394">
        <x:f t="shared" si="7"/>
        <x:v>0</x:v>
      </x:c>
      <x:c r="AD41" s="419">
        <x:f t="shared" si="14"/>
        <x:v>0</x:v>
      </x:c>
      <x:c r="AE41" s="498">
        <x:v>0</x:v>
      </x:c>
      <x:c r="AF41" s="477"/>
    </x:row>
    <x:row r="42" spans="1:46" x14ac:dyDescent="0.25">
      <x:c r="A42" s="26" t="s">
        <x:v>386</x:v>
      </x:c>
      <x:c r="B42" s="27" t="s">
        <x:v>21</x:v>
      </x:c>
      <x:c r="C42" s="89"/>
      <x:c r="D42" s="90"/>
      <x:c r="E42" s="89"/>
      <x:c r="F42" s="90"/>
      <x:c r="G42" s="89"/>
      <x:c r="H42" s="90"/>
      <x:c r="I42" s="89"/>
      <x:c r="J42" s="90"/>
      <x:c r="K42" s="89"/>
      <x:c r="L42" s="90"/>
      <x:c r="M42" s="89"/>
      <x:c r="N42" s="90"/>
      <x:c r="O42" s="89"/>
      <x:c r="P42" s="90"/>
      <x:c r="Q42" s="89"/>
      <x:c r="R42" s="90"/>
      <x:c r="S42" s="89"/>
      <x:c r="T42" s="90"/>
      <x:c r="U42" s="89"/>
      <x:c r="V42" s="90"/>
      <x:c r="W42" s="89"/>
      <x:c r="X42" s="90"/>
      <x:c r="Y42" s="89"/>
      <x:c r="Z42" s="90"/>
      <x:c r="AA42" s="91">
        <x:f t="shared" si="12"/>
        <x:v>0</x:v>
      </x:c>
      <x:c r="AB42" s="354">
        <x:f t="shared" si="13"/>
        <x:v>0</x:v>
      </x:c>
      <x:c r="AC42" s="394">
        <x:f t="shared" si="7"/>
        <x:v>0</x:v>
      </x:c>
      <x:c r="AD42" s="419">
        <x:f t="shared" si="14"/>
        <x:v>0</x:v>
      </x:c>
      <x:c r="AE42" s="498">
        <x:v>0</x:v>
      </x:c>
      <x:c r="AF42" s="477"/>
    </x:row>
    <x:row r="43" spans="1:46" x14ac:dyDescent="0.25">
      <x:c r="A43" s="26" t="s">
        <x:v>387</x:v>
      </x:c>
      <x:c r="B43" s="27" t="s">
        <x:v>22</x:v>
      </x:c>
      <x:c r="C43" s="89"/>
      <x:c r="D43" s="90"/>
      <x:c r="E43" s="89"/>
      <x:c r="F43" s="90"/>
      <x:c r="G43" s="89"/>
      <x:c r="H43" s="90"/>
      <x:c r="I43" s="89"/>
      <x:c r="J43" s="90"/>
      <x:c r="K43" s="89"/>
      <x:c r="L43" s="90"/>
      <x:c r="M43" s="89"/>
      <x:c r="N43" s="90"/>
      <x:c r="O43" s="89"/>
      <x:c r="P43" s="90"/>
      <x:c r="Q43" s="89"/>
      <x:c r="R43" s="90"/>
      <x:c r="S43" s="89"/>
      <x:c r="T43" s="90"/>
      <x:c r="U43" s="89"/>
      <x:c r="V43" s="90"/>
      <x:c r="W43" s="89"/>
      <x:c r="X43" s="90"/>
      <x:c r="Y43" s="89"/>
      <x:c r="Z43" s="90"/>
      <x:c r="AA43" s="91">
        <x:f t="shared" si="12"/>
        <x:v>0</x:v>
      </x:c>
      <x:c r="AB43" s="354">
        <x:f t="shared" si="13"/>
        <x:v>0</x:v>
      </x:c>
      <x:c r="AC43" s="394">
        <x:f t="shared" si="7"/>
        <x:v>0</x:v>
      </x:c>
      <x:c r="AD43" s="419">
        <x:f t="shared" si="14"/>
        <x:v>0</x:v>
      </x:c>
      <x:c r="AE43" s="498">
        <x:v>0</x:v>
      </x:c>
      <x:c r="AF43" s="477"/>
    </x:row>
    <x:row r="44" spans="1:46" x14ac:dyDescent="0.25">
      <x:c r="A44" s="26" t="s">
        <x:v>389</x:v>
      </x:c>
      <x:c r="B44" s="27" t="s">
        <x:v>12</x:v>
      </x:c>
      <x:c r="C44" s="89">
        <x:v>599</x:v>
      </x:c>
      <x:c r="D44" s="90">
        <x:v>200</x:v>
      </x:c>
      <x:c r="E44" s="89">
        <x:v>541</x:v>
      </x:c>
      <x:c r="F44" s="90">
        <x:v>200</x:v>
      </x:c>
      <x:c r="G44" s="89"/>
      <x:c r="H44" s="90">
        <x:v>200</x:v>
      </x:c>
      <x:c r="I44" s="89"/>
      <x:c r="J44" s="90">
        <x:v>200</x:v>
      </x:c>
      <x:c r="K44" s="89"/>
      <x:c r="L44" s="90">
        <x:v>200</x:v>
      </x:c>
      <x:c r="M44" s="89">
        <x:v>0</x:v>
      </x:c>
      <x:c r="N44" s="90">
        <x:v>200</x:v>
      </x:c>
      <x:c r="O44" s="89">
        <x:v>99.9</x:v>
      </x:c>
      <x:c r="P44" s="90">
        <x:v>200</x:v>
      </x:c>
      <x:c r="Q44" s="89"/>
      <x:c r="R44" s="90">
        <x:v>200</x:v>
      </x:c>
      <x:c r="S44" s="89"/>
      <x:c r="T44" s="90">
        <x:v>200</x:v>
      </x:c>
      <x:c r="U44" s="89"/>
      <x:c r="V44" s="90">
        <x:v>200</x:v>
      </x:c>
      <x:c r="W44" s="89"/>
      <x:c r="X44" s="90">
        <x:v>200</x:v>
      </x:c>
      <x:c r="Y44" s="89"/>
      <x:c r="Z44" s="90">
        <x:v>200</x:v>
      </x:c>
      <x:c r="AA44" s="91">
        <x:f t="shared" si="12"/>
        <x:v>1239.9000000000001</x:v>
      </x:c>
      <x:c r="AB44" s="354">
        <x:f t="shared" si="13"/>
        <x:v>2400</x:v>
      </x:c>
      <x:c r="AC44" s="394">
        <x:f t="shared" si="7"/>
        <x:v>1400</x:v>
      </x:c>
      <x:c r="AD44" s="419">
        <x:f t="shared" si="14"/>
        <x:v>-160.09999999999991</x:v>
      </x:c>
      <x:c r="AE44" s="498">
        <x:v>2540</x:v>
      </x:c>
      <x:c r="AF44" s="477"/>
    </x:row>
    <x:row r="45" spans="1:46" x14ac:dyDescent="0.25">
      <x:c r="A45" s="26" t="s">
        <x:v>390</x:v>
      </x:c>
      <x:c r="B45" s="27" t="s">
        <x:v>8</x:v>
      </x:c>
      <x:c r="C45" s="89"/>
      <x:c r="D45" s="90"/>
      <x:c r="E45" s="89"/>
      <x:c r="F45" s="90"/>
      <x:c r="G45" s="89"/>
      <x:c r="H45" s="90"/>
      <x:c r="I45" s="89"/>
      <x:c r="J45" s="90"/>
      <x:c r="K45" s="89"/>
      <x:c r="L45" s="90"/>
      <x:c r="M45" s="89"/>
      <x:c r="N45" s="90"/>
      <x:c r="O45" s="89"/>
      <x:c r="P45" s="90"/>
      <x:c r="Q45" s="89"/>
      <x:c r="R45" s="90"/>
      <x:c r="S45" s="89"/>
      <x:c r="T45" s="90"/>
      <x:c r="U45" s="89"/>
      <x:c r="V45" s="90"/>
      <x:c r="W45" s="89"/>
      <x:c r="X45" s="90"/>
      <x:c r="Y45" s="89"/>
      <x:c r="Z45" s="90"/>
      <x:c r="AA45" s="91">
        <x:f t="shared" si="12"/>
        <x:v>0</x:v>
      </x:c>
      <x:c r="AB45" s="354">
        <x:f t="shared" si="13"/>
        <x:v>0</x:v>
      </x:c>
      <x:c r="AC45" s="394">
        <x:f t="shared" si="7"/>
        <x:v>0</x:v>
      </x:c>
      <x:c r="AD45" s="419">
        <x:f t="shared" si="14"/>
        <x:v>0</x:v>
      </x:c>
      <x:c r="AE45" s="498">
        <x:v>0</x:v>
      </x:c>
      <x:c r="AF45" s="477"/>
      <x:c r="AI45" s="251"/>
      <x:c r="AJ45" s="251"/>
      <x:c r="AK45" s="251"/>
      <x:c r="AL45" s="251"/>
      <x:c r="AM45" s="251"/>
      <x:c r="AN45" s="251"/>
      <x:c r="AO45" s="251"/>
      <x:c r="AP45" s="251"/>
      <x:c r="AQ45" s="251"/>
      <x:c r="AR45" s="251"/>
      <x:c r="AS45" s="251"/>
      <x:c r="AT45" s="251"/>
    </x:row>
    <x:row r="46" spans="1:46" x14ac:dyDescent="0.25">
      <x:c r="A46" s="26" t="s">
        <x:v>390</x:v>
      </x:c>
      <x:c r="B46" s="27" t="s">
        <x:v>13</x:v>
      </x:c>
      <x:c r="C46" s="89"/>
      <x:c r="D46" s="90"/>
      <x:c r="E46" s="89"/>
      <x:c r="F46" s="90"/>
      <x:c r="G46" s="89"/>
      <x:c r="H46" s="90"/>
      <x:c r="I46" s="89"/>
      <x:c r="J46" s="90"/>
      <x:c r="K46" s="89"/>
      <x:c r="L46" s="90"/>
      <x:c r="M46" s="89"/>
      <x:c r="N46" s="90"/>
      <x:c r="O46" s="89"/>
      <x:c r="P46" s="90"/>
      <x:c r="Q46" s="89"/>
      <x:c r="R46" s="90"/>
      <x:c r="S46" s="89"/>
      <x:c r="T46" s="90"/>
      <x:c r="U46" s="89"/>
      <x:c r="V46" s="90"/>
      <x:c r="W46" s="89"/>
      <x:c r="X46" s="90"/>
      <x:c r="Y46" s="89"/>
      <x:c r="Z46" s="90"/>
      <x:c r="AA46" s="91">
        <x:f t="shared" si="12"/>
        <x:v>0</x:v>
      </x:c>
      <x:c r="AB46" s="354">
        <x:f t="shared" si="13"/>
        <x:v>0</x:v>
      </x:c>
      <x:c r="AC46" s="394">
        <x:f t="shared" si="7"/>
        <x:v>0</x:v>
      </x:c>
      <x:c r="AD46" s="419">
        <x:f t="shared" si="14"/>
        <x:v>0</x:v>
      </x:c>
      <x:c r="AE46" s="498">
        <x:v>0</x:v>
      </x:c>
      <x:c r="AF46" s="477"/>
    </x:row>
    <x:row r="47" spans="1:46" x14ac:dyDescent="0.25">
      <x:c r="A47" s="26" t="s">
        <x:v>395</x:v>
      </x:c>
      <x:c r="B47" s="27" t="s">
        <x:v>396</x:v>
      </x:c>
      <x:c r="C47" s="89"/>
      <x:c r="D47" s="90"/>
      <x:c r="E47" s="89"/>
      <x:c r="F47" s="90"/>
      <x:c r="G47" s="89"/>
      <x:c r="H47" s="90"/>
      <x:c r="I47" s="89"/>
      <x:c r="J47" s="90"/>
      <x:c r="K47" s="89"/>
      <x:c r="L47" s="90"/>
      <x:c r="M47" s="515"/>
      <x:c r="N47" s="90"/>
      <x:c r="O47" s="89"/>
      <x:c r="P47" s="90"/>
      <x:c r="Q47" s="89"/>
      <x:c r="R47" s="90"/>
      <x:c r="S47" s="89"/>
      <x:c r="T47" s="90"/>
      <x:c r="U47" s="89"/>
      <x:c r="V47" s="90"/>
      <x:c r="W47" s="89"/>
      <x:c r="X47" s="90"/>
      <x:c r="Y47" s="89"/>
      <x:c r="Z47" s="90"/>
      <x:c r="AA47" s="91">
        <x:f t="shared" si="12"/>
        <x:v>0</x:v>
      </x:c>
      <x:c r="AB47" s="354">
        <x:f t="shared" si="13"/>
        <x:v>0</x:v>
      </x:c>
      <x:c r="AC47" s="394">
        <x:f t="shared" si="7"/>
        <x:v>0</x:v>
      </x:c>
      <x:c r="AD47" s="419">
        <x:f t="shared" si="14"/>
        <x:v>0</x:v>
      </x:c>
      <x:c r="AE47" s="498">
        <x:v>0</x:v>
      </x:c>
      <x:c r="AF47" s="477"/>
    </x:row>
    <x:row r="48" spans="1:46" x14ac:dyDescent="0.25">
      <x:c r="A48" s="26" t="s">
        <x:v>393</x:v>
      </x:c>
      <x:c r="B48" s="27" t="s">
        <x:v>394</x:v>
      </x:c>
      <x:c r="C48" s="89"/>
      <x:c r="D48" s="90"/>
      <x:c r="E48" s="89"/>
      <x:c r="F48" s="90"/>
      <x:c r="G48" s="89"/>
      <x:c r="H48" s="90"/>
      <x:c r="I48" s="89"/>
      <x:c r="J48" s="90"/>
      <x:c r="K48" s="89"/>
      <x:c r="L48" s="90"/>
      <x:c r="M48" s="515"/>
      <x:c r="N48" s="90"/>
      <x:c r="O48" s="89"/>
      <x:c r="P48" s="90"/>
      <x:c r="Q48" s="89"/>
      <x:c r="R48" s="90"/>
      <x:c r="S48" s="89"/>
      <x:c r="T48" s="90"/>
      <x:c r="U48" s="89"/>
      <x:c r="V48" s="90"/>
      <x:c r="W48" s="89"/>
      <x:c r="X48" s="90"/>
      <x:c r="Y48" s="89"/>
      <x:c r="Z48" s="90"/>
      <x:c r="AA48" s="91">
        <x:f t="shared" si="12"/>
        <x:v>0</x:v>
      </x:c>
      <x:c r="AB48" s="354">
        <x:f t="shared" si="13"/>
        <x:v>0</x:v>
      </x:c>
      <x:c r="AC48" s="394">
        <x:f t="shared" si="7"/>
        <x:v>0</x:v>
      </x:c>
      <x:c r="AD48" s="419">
        <x:f t="shared" si="14"/>
        <x:v>0</x:v>
      </x:c>
      <x:c r="AE48" s="498">
        <x:v>0</x:v>
      </x:c>
      <x:c r="AF48" s="477"/>
    </x:row>
    <x:row r="49" spans="1:46" x14ac:dyDescent="0.25">
      <x:c r="A49" s="26" t="s">
        <x:v>391</x:v>
      </x:c>
      <x:c r="B49" s="27" t="s">
        <x:v>392</x:v>
      </x:c>
      <x:c r="C49" s="89"/>
      <x:c r="D49" s="90"/>
      <x:c r="E49" s="89"/>
      <x:c r="F49" s="90"/>
      <x:c r="G49" s="89"/>
      <x:c r="H49" s="90"/>
      <x:c r="I49" s="89"/>
      <x:c r="J49" s="90"/>
      <x:c r="K49" s="89"/>
      <x:c r="L49" s="90"/>
      <x:c r="M49" s="515"/>
      <x:c r="N49" s="90"/>
      <x:c r="O49" s="89"/>
      <x:c r="P49" s="90"/>
      <x:c r="Q49" s="89"/>
      <x:c r="R49" s="90"/>
      <x:c r="S49" s="89"/>
      <x:c r="T49" s="90"/>
      <x:c r="U49" s="89"/>
      <x:c r="V49" s="90"/>
      <x:c r="W49" s="89"/>
      <x:c r="X49" s="90"/>
      <x:c r="Y49" s="89"/>
      <x:c r="Z49" s="90"/>
      <x:c r="AA49" s="91">
        <x:f t="shared" si="12"/>
        <x:v>0</x:v>
      </x:c>
      <x:c r="AB49" s="354">
        <x:f t="shared" si="13"/>
        <x:v>0</x:v>
      </x:c>
      <x:c r="AC49" s="394">
        <x:f t="shared" si="7"/>
        <x:v>0</x:v>
      </x:c>
      <x:c r="AD49" s="419">
        <x:f t="shared" si="14"/>
        <x:v>0</x:v>
      </x:c>
      <x:c r="AE49" s="498">
        <x:v>0</x:v>
      </x:c>
      <x:c r="AF49" s="477"/>
    </x:row>
    <x:row r="50" spans="1:46" x14ac:dyDescent="0.25">
      <x:c r="A50" s="26" t="s">
        <x:v>397</x:v>
      </x:c>
      <x:c r="B50" s="27" t="s">
        <x:v>398</x:v>
      </x:c>
      <x:c r="C50" s="89">
        <x:v>14423.08</x:v>
      </x:c>
      <x:c r="D50" s="90">
        <x:v>13400</x:v>
      </x:c>
      <x:c r="E50" s="89">
        <x:v>13682.970000000001</x:v>
      </x:c>
      <x:c r="F50" s="90">
        <x:v>13400</x:v>
      </x:c>
      <x:c r="G50" s="89">
        <x:v>13283.210000000001</x:v>
      </x:c>
      <x:c r="H50" s="90">
        <x:v>13400</x:v>
      </x:c>
      <x:c r="I50" s="89">
        <x:v>14497.240000000002</x:v>
      </x:c>
      <x:c r="J50" s="90">
        <x:v>14800</x:v>
      </x:c>
      <x:c r="K50" s="89">
        <x:v>13899.62</x:v>
      </x:c>
      <x:c r="L50" s="90">
        <x:v>14800</x:v>
      </x:c>
      <x:c r="M50" s="515">
        <x:v>14687.18</x:v>
      </x:c>
      <x:c r="N50" s="90">
        <x:v>14800</x:v>
      </x:c>
      <x:c r="O50" s="89">
        <x:v>16129.82</x:v>
      </x:c>
      <x:c r="P50" s="90">
        <x:v>14800</x:v>
      </x:c>
      <x:c r="Q50" s="89"/>
      <x:c r="R50" s="90">
        <x:v>14800</x:v>
      </x:c>
      <x:c r="S50" s="89"/>
      <x:c r="T50" s="90">
        <x:v>14800</x:v>
      </x:c>
      <x:c r="U50" s="89"/>
      <x:c r="V50" s="90">
        <x:v>14800</x:v>
      </x:c>
      <x:c r="W50" s="89"/>
      <x:c r="X50" s="90">
        <x:v>14800</x:v>
      </x:c>
      <x:c r="Y50" s="89"/>
      <x:c r="Z50" s="90">
        <x:v>14800</x:v>
      </x:c>
      <x:c r="AA50" s="91">
        <x:f t="shared" si="12"/>
        <x:v>100603.12</x:v>
      </x:c>
      <x:c r="AB50" s="354">
        <x:f t="shared" si="13"/>
        <x:v>173400</x:v>
      </x:c>
      <x:c r="AC50" s="394">
        <x:f t="shared" si="7"/>
        <x:v>99400</x:v>
      </x:c>
      <x:c r="AD50" s="419">
        <x:f t="shared" si="14"/>
        <x:v>1203.1199999999953</x:v>
      </x:c>
      <x:c r="AE50" s="498">
        <x:v>173386.12</x:v>
      </x:c>
      <x:c r="AF50" s="477"/>
    </x:row>
    <x:row r="51" spans="1:46" x14ac:dyDescent="0.25">
      <x:c r="A51" s="26" t="s">
        <x:v>399</x:v>
      </x:c>
      <x:c r="B51" s="27" t="s">
        <x:v>400</x:v>
      </x:c>
      <x:c r="C51" s="89"/>
      <x:c r="D51" s="90"/>
      <x:c r="E51" s="89"/>
      <x:c r="F51" s="90"/>
      <x:c r="G51" s="89"/>
      <x:c r="H51" s="90"/>
      <x:c r="I51" s="89"/>
      <x:c r="J51" s="90"/>
      <x:c r="K51" s="89"/>
      <x:c r="L51" s="90"/>
      <x:c r="M51" s="515"/>
      <x:c r="N51" s="90"/>
      <x:c r="O51" s="89"/>
      <x:c r="P51" s="90"/>
      <x:c r="Q51" s="89"/>
      <x:c r="R51" s="90"/>
      <x:c r="S51" s="89"/>
      <x:c r="T51" s="90"/>
      <x:c r="U51" s="89"/>
      <x:c r="V51" s="90"/>
      <x:c r="W51" s="89"/>
      <x:c r="X51" s="90"/>
      <x:c r="Y51" s="89"/>
      <x:c r="Z51" s="90"/>
      <x:c r="AA51" s="91">
        <x:f t="shared" si="12"/>
        <x:v>0</x:v>
      </x:c>
      <x:c r="AB51" s="354">
        <x:f t="shared" si="13"/>
        <x:v>0</x:v>
      </x:c>
      <x:c r="AC51" s="394">
        <x:f t="shared" si="7"/>
        <x:v>0</x:v>
      </x:c>
      <x:c r="AD51" s="419">
        <x:f t="shared" si="14"/>
        <x:v>0</x:v>
      </x:c>
      <x:c r="AE51" s="498">
        <x:v>0</x:v>
      </x:c>
      <x:c r="AF51" s="477"/>
    </x:row>
    <x:row r="52" spans="1:46" x14ac:dyDescent="0.25">
      <x:c r="A52" s="26" t="s">
        <x:v>401</x:v>
      </x:c>
      <x:c r="B52" s="27" t="s">
        <x:v>402</x:v>
      </x:c>
      <x:c r="C52" s="89"/>
      <x:c r="D52" s="90"/>
      <x:c r="E52" s="89"/>
      <x:c r="F52" s="90"/>
      <x:c r="G52" s="89"/>
      <x:c r="H52" s="90"/>
      <x:c r="I52" s="89"/>
      <x:c r="J52" s="90"/>
      <x:c r="K52" s="89"/>
      <x:c r="L52" s="90"/>
      <x:c r="M52" s="515"/>
      <x:c r="N52" s="90"/>
      <x:c r="O52" s="89"/>
      <x:c r="P52" s="90"/>
      <x:c r="Q52" s="89"/>
      <x:c r="R52" s="90"/>
      <x:c r="S52" s="89"/>
      <x:c r="T52" s="90"/>
      <x:c r="U52" s="89"/>
      <x:c r="V52" s="90"/>
      <x:c r="W52" s="89"/>
      <x:c r="X52" s="90"/>
      <x:c r="Y52" s="89"/>
      <x:c r="Z52" s="90"/>
      <x:c r="AA52" s="91">
        <x:f t="shared" si="12"/>
        <x:v>0</x:v>
      </x:c>
      <x:c r="AB52" s="354">
        <x:f t="shared" si="13"/>
        <x:v>0</x:v>
      </x:c>
      <x:c r="AC52" s="394">
        <x:f t="shared" si="7"/>
        <x:v>0</x:v>
      </x:c>
      <x:c r="AD52" s="419">
        <x:f t="shared" si="14"/>
        <x:v>0</x:v>
      </x:c>
      <x:c r="AE52" s="498">
        <x:v>0</x:v>
      </x:c>
      <x:c r="AF52" s="477"/>
    </x:row>
    <x:row r="53" spans="1:46" x14ac:dyDescent="0.25">
      <x:c r="A53" s="26" t="s">
        <x:v>427</x:v>
      </x:c>
      <x:c r="B53" s="27" t="s">
        <x:v>428</x:v>
      </x:c>
      <x:c r="C53" s="89"/>
      <x:c r="D53" s="90"/>
      <x:c r="E53" s="89"/>
      <x:c r="F53" s="90"/>
      <x:c r="G53" s="89"/>
      <x:c r="H53" s="90"/>
      <x:c r="I53" s="89"/>
      <x:c r="J53" s="90"/>
      <x:c r="K53" s="89"/>
      <x:c r="L53" s="90"/>
      <x:c r="M53" s="515"/>
      <x:c r="N53" s="90"/>
      <x:c r="O53" s="89"/>
      <x:c r="P53" s="90"/>
      <x:c r="Q53" s="89"/>
      <x:c r="R53" s="90"/>
      <x:c r="S53" s="89"/>
      <x:c r="T53" s="90"/>
      <x:c r="U53" s="89"/>
      <x:c r="V53" s="90"/>
      <x:c r="W53" s="89"/>
      <x:c r="X53" s="90"/>
      <x:c r="Y53" s="89"/>
      <x:c r="Z53" s="90"/>
      <x:c r="AA53" s="91"/>
      <x:c r="AB53" s="354"/>
      <x:c r="AC53" s="394">
        <x:f t="shared" si="7"/>
        <x:v>0</x:v>
      </x:c>
      <x:c r="AD53" s="419"/>
      <x:c r="AE53" s="498">
        <x:v>0</x:v>
      </x:c>
      <x:c r="AF53" s="477"/>
    </x:row>
    <x:row r="54" spans="1:46" x14ac:dyDescent="0.25">
      <x:c r="A54" s="26" t="s">
        <x:v>403</x:v>
      </x:c>
      <x:c r="B54" s="27" t="s">
        <x:v>404</x:v>
      </x:c>
      <x:c r="C54" s="89"/>
      <x:c r="D54" s="90">
        <x:v>1300</x:v>
      </x:c>
      <x:c r="E54" s="89"/>
      <x:c r="F54" s="90">
        <x:v>1300</x:v>
      </x:c>
      <x:c r="G54" s="89"/>
      <x:c r="H54" s="90">
        <x:v>1300</x:v>
      </x:c>
      <x:c r="I54" s="89">
        <x:v>1498</x:v>
      </x:c>
      <x:c r="J54" s="90">
        <x:v>1300</x:v>
      </x:c>
      <x:c r="K54" s="89"/>
      <x:c r="L54" s="90">
        <x:v>1300</x:v>
      </x:c>
      <x:c r="M54" s="515"/>
      <x:c r="N54" s="90">
        <x:v>1300</x:v>
      </x:c>
      <x:c r="O54" s="89"/>
      <x:c r="P54" s="90">
        <x:v>1300</x:v>
      </x:c>
      <x:c r="Q54" s="89"/>
      <x:c r="R54" s="90">
        <x:v>1300</x:v>
      </x:c>
      <x:c r="S54" s="89"/>
      <x:c r="T54" s="90">
        <x:v>1300</x:v>
      </x:c>
      <x:c r="U54" s="89"/>
      <x:c r="V54" s="90">
        <x:v>1300</x:v>
      </x:c>
      <x:c r="W54" s="89"/>
      <x:c r="X54" s="90">
        <x:v>1300</x:v>
      </x:c>
      <x:c r="Y54" s="89"/>
      <x:c r="Z54" s="90">
        <x:v>1300</x:v>
      </x:c>
      <x:c r="AA54" s="91">
        <x:f>C54+E54+G54+I54+K54+M54+O54+Q54+S54+U54+W54+Y54</x:f>
        <x:v>1498</x:v>
      </x:c>
      <x:c r="AB54" s="354">
        <x:f>D54+F54+H54+J54+L54+N54+P54+R54+T54+V54+X54+Z54</x:f>
        <x:v>15600</x:v>
      </x:c>
      <x:c r="AC54" s="394">
        <x:f t="shared" si="7"/>
        <x:v>9100</x:v>
      </x:c>
      <x:c r="AD54" s="419">
        <x:f>AA54-AC54</x:f>
        <x:v>-7602</x:v>
      </x:c>
      <x:c r="AE54" s="498">
        <x:v>10598</x:v>
      </x:c>
      <x:c r="AF54" s="477"/>
    </x:row>
    <x:row r="55" spans="1:46" x14ac:dyDescent="0.25">
      <x:c r="A55" s="26" t="s">
        <x:v>429</x:v>
      </x:c>
      <x:c r="B55" s="27" t="s">
        <x:v>359</x:v>
      </x:c>
      <x:c r="C55" s="89"/>
      <x:c r="D55" s="90"/>
      <x:c r="E55" s="89"/>
      <x:c r="F55" s="90"/>
      <x:c r="G55" s="89"/>
      <x:c r="H55" s="90"/>
      <x:c r="I55" s="89"/>
      <x:c r="J55" s="90"/>
      <x:c r="K55" s="89"/>
      <x:c r="L55" s="90"/>
      <x:c r="M55" s="515"/>
      <x:c r="N55" s="90"/>
      <x:c r="O55" s="89"/>
      <x:c r="P55" s="90"/>
      <x:c r="Q55" s="89"/>
      <x:c r="R55" s="90"/>
      <x:c r="S55" s="89"/>
      <x:c r="T55" s="90"/>
      <x:c r="U55" s="89"/>
      <x:c r="V55" s="90"/>
      <x:c r="W55" s="89"/>
      <x:c r="X55" s="90"/>
      <x:c r="Y55" s="89"/>
      <x:c r="Z55" s="90"/>
      <x:c r="AA55" s="91"/>
      <x:c r="AB55" s="354"/>
      <x:c r="AC55" s="394">
        <x:f t="shared" si="7"/>
        <x:v>0</x:v>
      </x:c>
      <x:c r="AD55" s="419"/>
      <x:c r="AE55" s="498">
        <x:v>0</x:v>
      </x:c>
      <x:c r="AF55" s="477"/>
    </x:row>
    <x:row r="56" spans="1:46" x14ac:dyDescent="0.25">
      <x:c r="A56" s="26" t="s">
        <x:v>405</x:v>
      </x:c>
      <x:c r="B56" s="27" t="s">
        <x:v>20</x:v>
      </x:c>
      <x:c r="C56" s="89"/>
      <x:c r="D56" s="90"/>
      <x:c r="E56" s="89"/>
      <x:c r="F56" s="90"/>
      <x:c r="G56" s="89"/>
      <x:c r="H56" s="90"/>
      <x:c r="I56" s="89"/>
      <x:c r="J56" s="90"/>
      <x:c r="K56" s="89"/>
      <x:c r="L56" s="90"/>
      <x:c r="M56" s="515"/>
      <x:c r="N56" s="90"/>
      <x:c r="O56" s="89"/>
      <x:c r="P56" s="90"/>
      <x:c r="Q56" s="89"/>
      <x:c r="R56" s="90"/>
      <x:c r="S56" s="89"/>
      <x:c r="T56" s="90"/>
      <x:c r="U56" s="89"/>
      <x:c r="V56" s="90"/>
      <x:c r="W56" s="89"/>
      <x:c r="X56" s="90"/>
      <x:c r="Y56" s="89"/>
      <x:c r="Z56" s="90"/>
      <x:c r="AA56" s="91">
        <x:f t="shared" ref="AA56:AA67" si="15">C56+E56+G56+I56+K56+M56+O56+Q56+S56+U56+W56+Y56</x:f>
        <x:v>0</x:v>
      </x:c>
      <x:c r="AB56" s="354">
        <x:f t="shared" ref="AB56:AB67" si="16">D56+F56+H56+J56+L56+N56+P56+R56+T56+V56+X56+Z56</x:f>
        <x:v>0</x:v>
      </x:c>
      <x:c r="AC56" s="394">
        <x:f t="shared" si="7"/>
        <x:v>0</x:v>
      </x:c>
      <x:c r="AD56" s="419">
        <x:f t="shared" ref="AD56:AD67" si="17">AA56-AC56</x:f>
        <x:v>0</x:v>
      </x:c>
      <x:c r="AE56" s="498">
        <x:v>0</x:v>
      </x:c>
      <x:c r="AF56" s="477"/>
    </x:row>
    <x:row r="57" spans="1:46" x14ac:dyDescent="0.25">
      <x:c r="A57" s="26" t="s">
        <x:v>406</x:v>
      </x:c>
      <x:c r="B57" s="27" t="s">
        <x:v>1</x:v>
      </x:c>
      <x:c r="C57" s="89"/>
      <x:c r="D57" s="90"/>
      <x:c r="E57" s="89"/>
      <x:c r="F57" s="90"/>
      <x:c r="G57" s="89"/>
      <x:c r="H57" s="90"/>
      <x:c r="I57" s="89"/>
      <x:c r="J57" s="90"/>
      <x:c r="K57" s="89"/>
      <x:c r="L57" s="90"/>
      <x:c r="M57" s="515"/>
      <x:c r="N57" s="90"/>
      <x:c r="O57" s="89"/>
      <x:c r="P57" s="90"/>
      <x:c r="Q57" s="89"/>
      <x:c r="R57" s="90"/>
      <x:c r="S57" s="89"/>
      <x:c r="T57" s="90"/>
      <x:c r="U57" s="89"/>
      <x:c r="V57" s="90"/>
      <x:c r="W57" s="89"/>
      <x:c r="X57" s="90"/>
      <x:c r="Y57" s="89"/>
      <x:c r="Z57" s="90"/>
      <x:c r="AA57" s="91">
        <x:f t="shared" si="15"/>
        <x:v>0</x:v>
      </x:c>
      <x:c r="AB57" s="354">
        <x:f t="shared" si="16"/>
        <x:v>0</x:v>
      </x:c>
      <x:c r="AC57" s="394">
        <x:f t="shared" si="7"/>
        <x:v>0</x:v>
      </x:c>
      <x:c r="AD57" s="419">
        <x:f t="shared" si="17"/>
        <x:v>0</x:v>
      </x:c>
      <x:c r="AE57" s="498">
        <x:v>0</x:v>
      </x:c>
      <x:c r="AF57" s="477"/>
    </x:row>
    <x:row r="58" spans="1:46" x14ac:dyDescent="0.25">
      <x:c r="A58" s="26" t="s">
        <x:v>407</x:v>
      </x:c>
      <x:c r="B58" s="27" t="s">
        <x:v>158</x:v>
      </x:c>
      <x:c r="C58" s="89"/>
      <x:c r="D58" s="90"/>
      <x:c r="E58" s="89"/>
      <x:c r="F58" s="90"/>
      <x:c r="G58" s="89"/>
      <x:c r="H58" s="90">
        <x:v>108000</x:v>
      </x:c>
      <x:c r="I58" s="89"/>
      <x:c r="J58" s="90">
        <x:v>3600</x:v>
      </x:c>
      <x:c r="K58" s="89"/>
      <x:c r="L58" s="90"/>
      <x:c r="M58" s="515"/>
      <x:c r="N58" s="90"/>
      <x:c r="O58" s="89"/>
      <x:c r="P58" s="90"/>
      <x:c r="Q58" s="89"/>
      <x:c r="R58" s="90"/>
      <x:c r="S58" s="89"/>
      <x:c r="T58" s="90"/>
      <x:c r="U58" s="89"/>
      <x:c r="V58" s="90"/>
      <x:c r="W58" s="89"/>
      <x:c r="X58" s="90"/>
      <x:c r="Y58" s="89"/>
      <x:c r="Z58" s="90"/>
      <x:c r="AA58" s="91">
        <x:f t="shared" si="15"/>
        <x:v>0</x:v>
      </x:c>
      <x:c r="AB58" s="354">
        <x:f t="shared" si="16"/>
        <x:v>111600</x:v>
      </x:c>
      <x:c r="AC58" s="394">
        <x:f t="shared" si="7"/>
        <x:v>111600</x:v>
      </x:c>
      <x:c r="AD58" s="419">
        <x:f t="shared" si="17"/>
        <x:v>-111600</x:v>
      </x:c>
      <x:c r="AE58" s="498">
        <x:v>0</x:v>
      </x:c>
      <x:c r="AF58" s="477"/>
    </x:row>
    <x:row r="59" spans="1:46" x14ac:dyDescent="0.25">
      <x:c r="A59" s="26" t="s">
        <x:v>408</x:v>
      </x:c>
      <x:c r="B59" s="27" t="s">
        <x:v>7</x:v>
      </x:c>
      <x:c r="C59" s="89">
        <x:v>142.38999999999999</x:v>
      </x:c>
      <x:c r="D59" s="90">
        <x:v>200</x:v>
      </x:c>
      <x:c r="E59" s="89">
        <x:v>256.14</x:v>
      </x:c>
      <x:c r="F59" s="90">
        <x:v>200</x:v>
      </x:c>
      <x:c r="G59" s="89">
        <x:v>225.46</x:v>
      </x:c>
      <x:c r="H59" s="90">
        <x:v>200</x:v>
      </x:c>
      <x:c r="I59" s="89">
        <x:v>194.09</x:v>
      </x:c>
      <x:c r="J59" s="90">
        <x:v>200</x:v>
      </x:c>
      <x:c r="K59" s="89">
        <x:v>163.54</x:v>
      </x:c>
      <x:c r="L59" s="90">
        <x:v>200</x:v>
      </x:c>
      <x:c r="M59" s="515">
        <x:v>115.75</x:v>
      </x:c>
      <x:c r="N59" s="90">
        <x:v>200</x:v>
      </x:c>
      <x:c r="O59" s="89">
        <x:v>109.62</x:v>
      </x:c>
      <x:c r="P59" s="90">
        <x:v>200</x:v>
      </x:c>
      <x:c r="Q59" s="89"/>
      <x:c r="R59" s="90">
        <x:v>200</x:v>
      </x:c>
      <x:c r="S59" s="89"/>
      <x:c r="T59" s="90">
        <x:v>200</x:v>
      </x:c>
      <x:c r="U59" s="89"/>
      <x:c r="V59" s="90">
        <x:v>200</x:v>
      </x:c>
      <x:c r="W59" s="89"/>
      <x:c r="X59" s="90">
        <x:v>200</x:v>
      </x:c>
      <x:c r="Y59" s="89"/>
      <x:c r="Z59" s="90">
        <x:v>200</x:v>
      </x:c>
      <x:c r="AA59" s="91">
        <x:f t="shared" si="15"/>
        <x:v>1206.9899999999998</x:v>
      </x:c>
      <x:c r="AB59" s="354">
        <x:f t="shared" si="16"/>
        <x:v>2400</x:v>
      </x:c>
      <x:c r="AC59" s="394">
        <x:f t="shared" si="7"/>
        <x:v>1400</x:v>
      </x:c>
      <x:c r="AD59" s="419">
        <x:f t="shared" si="17"/>
        <x:v>-193.01000000000022</x:v>
      </x:c>
      <x:c r="AE59" s="498">
        <x:v>2381.62</x:v>
      </x:c>
      <x:c r="AF59" s="477"/>
    </x:row>
    <x:row r="60" spans="1:46" x14ac:dyDescent="0.25">
      <x:c r="A60" s="26" t="s">
        <x:v>409</x:v>
      </x:c>
      <x:c r="B60" s="27" t="s">
        <x:v>32</x:v>
      </x:c>
      <x:c r="C60" s="89"/>
      <x:c r="D60" s="90">
        <x:v>250</x:v>
      </x:c>
      <x:c r="E60" s="89"/>
      <x:c r="F60" s="90">
        <x:v>250</x:v>
      </x:c>
      <x:c r="G60" s="89"/>
      <x:c r="H60" s="90">
        <x:v>250</x:v>
      </x:c>
      <x:c r="I60" s="89"/>
      <x:c r="J60" s="90">
        <x:v>250</x:v>
      </x:c>
      <x:c r="K60" s="89"/>
      <x:c r="L60" s="90">
        <x:v>250</x:v>
      </x:c>
      <x:c r="M60" s="515"/>
      <x:c r="N60" s="90">
        <x:v>250</x:v>
      </x:c>
      <x:c r="O60" s="89"/>
      <x:c r="P60" s="90">
        <x:v>250</x:v>
      </x:c>
      <x:c r="Q60" s="89"/>
      <x:c r="R60" s="90">
        <x:v>250</x:v>
      </x:c>
      <x:c r="S60" s="89"/>
      <x:c r="T60" s="90">
        <x:v>250</x:v>
      </x:c>
      <x:c r="U60" s="89"/>
      <x:c r="V60" s="90">
        <x:v>250</x:v>
      </x:c>
      <x:c r="W60" s="89"/>
      <x:c r="X60" s="90">
        <x:v>250</x:v>
      </x:c>
      <x:c r="Y60" s="89"/>
      <x:c r="Z60" s="90">
        <x:v>250</x:v>
      </x:c>
      <x:c r="AA60" s="91">
        <x:f t="shared" si="15"/>
        <x:v>0</x:v>
      </x:c>
      <x:c r="AB60" s="354">
        <x:f t="shared" si="16"/>
        <x:v>3000</x:v>
      </x:c>
      <x:c r="AC60" s="394">
        <x:f t="shared" si="7"/>
        <x:v>1750</x:v>
      </x:c>
      <x:c r="AD60" s="419">
        <x:f t="shared" si="17"/>
        <x:v>-1750</x:v>
      </x:c>
      <x:c r="AE60" s="498">
        <x:v>1750</x:v>
      </x:c>
      <x:c r="AF60" s="477"/>
    </x:row>
    <x:row r="61" spans="1:46" x14ac:dyDescent="0.25">
      <x:c r="A61" s="26" t="s">
        <x:v>410</x:v>
      </x:c>
      <x:c r="B61" s="27" t="s">
        <x:v>362</x:v>
      </x:c>
      <x:c r="C61" s="89">
        <x:v>10524.56</x:v>
      </x:c>
      <x:c r="D61" s="90">
        <x:v>5500</x:v>
      </x:c>
      <x:c r="E61" s="89"/>
      <x:c r="F61" s="90">
        <x:v>7000</x:v>
      </x:c>
      <x:c r="G61" s="89"/>
      <x:c r="H61" s="90">
        <x:v>16800</x:v>
      </x:c>
      <x:c r="I61" s="89">
        <x:v>3507.89</x:v>
      </x:c>
      <x:c r="J61" s="90">
        <x:v>5000</x:v>
      </x:c>
      <x:c r="K61" s="89"/>
      <x:c r="L61" s="90">
        <x:v>6200</x:v>
      </x:c>
      <x:c r="M61" s="515"/>
      <x:c r="N61" s="90">
        <x:v>16800</x:v>
      </x:c>
      <x:c r="O61" s="89"/>
      <x:c r="P61" s="90">
        <x:v>5000</x:v>
      </x:c>
      <x:c r="Q61" s="89"/>
      <x:c r="R61" s="90">
        <x:v>5500</x:v>
      </x:c>
      <x:c r="S61" s="89"/>
      <x:c r="T61" s="90">
        <x:v>2700</x:v>
      </x:c>
      <x:c r="U61" s="89"/>
      <x:c r="V61" s="90">
        <x:v>2700</x:v>
      </x:c>
      <x:c r="W61" s="89"/>
      <x:c r="X61" s="90">
        <x:v>2700</x:v>
      </x:c>
      <x:c r="Y61" s="89"/>
      <x:c r="Z61" s="90">
        <x:v>2700</x:v>
      </x:c>
      <x:c r="AA61" s="91">
        <x:f t="shared" si="15"/>
        <x:v>14032.449999999999</x:v>
      </x:c>
      <x:c r="AB61" s="354">
        <x:f t="shared" si="16"/>
        <x:v>78600</x:v>
      </x:c>
      <x:c r="AC61" s="394">
        <x:f t="shared" si="7"/>
        <x:v>62300</x:v>
      </x:c>
      <x:c r="AD61" s="419">
        <x:f t="shared" si="17"/>
        <x:v>-48267.55</x:v>
      </x:c>
      <x:c r="AE61" s="498">
        <x:v>52132.45</x:v>
      </x:c>
      <x:c r="AF61" s="477"/>
    </x:row>
    <x:row r="62" spans="1:46" x14ac:dyDescent="0.25">
      <x:c r="A62" s="26" t="s">
        <x:v>411</x:v>
      </x:c>
      <x:c r="B62" s="27" t="s">
        <x:v>15</x:v>
      </x:c>
      <x:c r="C62" s="89"/>
      <x:c r="D62" s="90"/>
      <x:c r="E62" s="89"/>
      <x:c r="F62" s="90"/>
      <x:c r="G62" s="89"/>
      <x:c r="H62" s="90"/>
      <x:c r="I62" s="89"/>
      <x:c r="J62" s="90"/>
      <x:c r="K62" s="89"/>
      <x:c r="L62" s="90"/>
      <x:c r="M62" s="515"/>
      <x:c r="N62" s="90"/>
      <x:c r="O62" s="89"/>
      <x:c r="P62" s="90"/>
      <x:c r="Q62" s="89"/>
      <x:c r="R62" s="90"/>
      <x:c r="S62" s="89"/>
      <x:c r="T62" s="90"/>
      <x:c r="U62" s="89"/>
      <x:c r="V62" s="90"/>
      <x:c r="W62" s="89"/>
      <x:c r="X62" s="90"/>
      <x:c r="Y62" s="89"/>
      <x:c r="Z62" s="90"/>
      <x:c r="AA62" s="91">
        <x:f t="shared" si="15"/>
        <x:v>0</x:v>
      </x:c>
      <x:c r="AB62" s="354">
        <x:f t="shared" si="16"/>
        <x:v>0</x:v>
      </x:c>
      <x:c r="AC62" s="394">
        <x:f t="shared" si="7"/>
        <x:v>0</x:v>
      </x:c>
      <x:c r="AD62" s="419">
        <x:f t="shared" si="17"/>
        <x:v>0</x:v>
      </x:c>
      <x:c r="AE62" s="498">
        <x:v>0</x:v>
      </x:c>
      <x:c r="AF62" s="477"/>
    </x:row>
    <x:row r="63" spans="1:46" x14ac:dyDescent="0.25">
      <x:c r="A63" s="26" t="s">
        <x:v>412</x:v>
      </x:c>
      <x:c r="B63" s="27" t="s">
        <x:v>25</x:v>
      </x:c>
      <x:c r="C63" s="89"/>
      <x:c r="D63" s="90">
        <x:v>1000</x:v>
      </x:c>
      <x:c r="E63" s="89"/>
      <x:c r="F63" s="90">
        <x:v>0</x:v>
      </x:c>
      <x:c r="G63" s="89"/>
      <x:c r="H63" s="90">
        <x:v>1000</x:v>
      </x:c>
      <x:c r="I63" s="89"/>
      <x:c r="J63" s="90"/>
      <x:c r="K63" s="89"/>
      <x:c r="L63" s="90">
        <x:v>1000</x:v>
      </x:c>
      <x:c r="M63" s="515"/>
      <x:c r="N63" s="90"/>
      <x:c r="O63" s="89"/>
      <x:c r="P63" s="90">
        <x:v>1000</x:v>
      </x:c>
      <x:c r="Q63" s="89"/>
      <x:c r="R63" s="90"/>
      <x:c r="S63" s="89"/>
      <x:c r="T63" s="90">
        <x:v>1000</x:v>
      </x:c>
      <x:c r="U63" s="89"/>
      <x:c r="V63" s="90"/>
      <x:c r="W63" s="89"/>
      <x:c r="X63" s="90">
        <x:v>1000</x:v>
      </x:c>
      <x:c r="Y63" s="89"/>
      <x:c r="Z63" s="90"/>
      <x:c r="AA63" s="91">
        <x:f t="shared" si="15"/>
        <x:v>0</x:v>
      </x:c>
      <x:c r="AB63" s="354">
        <x:f t="shared" si="16"/>
        <x:v>6000</x:v>
      </x:c>
      <x:c r="AC63" s="394">
        <x:f t="shared" si="7"/>
        <x:v>4000</x:v>
      </x:c>
      <x:c r="AD63" s="419">
        <x:f t="shared" si="17"/>
        <x:v>-4000</x:v>
      </x:c>
      <x:c r="AE63" s="498">
        <x:v>3000</x:v>
      </x:c>
      <x:c r="AF63" s="477"/>
      <x:c r="AI63" s="251"/>
      <x:c r="AJ63" s="251"/>
      <x:c r="AK63" s="251"/>
      <x:c r="AL63" s="251"/>
      <x:c r="AM63" s="251"/>
      <x:c r="AN63" s="251"/>
      <x:c r="AO63" s="251"/>
      <x:c r="AP63" s="251"/>
      <x:c r="AQ63" s="251"/>
      <x:c r="AR63" s="251"/>
      <x:c r="AS63" s="251"/>
      <x:c r="AT63" s="251"/>
    </x:row>
    <x:row r="64" spans="1:46" x14ac:dyDescent="0.25">
      <x:c r="A64" s="26" t="s">
        <x:v>413</x:v>
      </x:c>
      <x:c r="B64" s="27" t="s">
        <x:v>24</x:v>
      </x:c>
      <x:c r="C64" s="89"/>
      <x:c r="D64" s="90">
        <x:v>500</x:v>
      </x:c>
      <x:c r="E64" s="89"/>
      <x:c r="F64" s="90">
        <x:v>500</x:v>
      </x:c>
      <x:c r="G64" s="89"/>
      <x:c r="H64" s="90">
        <x:v>500</x:v>
      </x:c>
      <x:c r="I64" s="89"/>
      <x:c r="J64" s="90">
        <x:v>500</x:v>
      </x:c>
      <x:c r="K64" s="89"/>
      <x:c r="L64" s="90">
        <x:v>500</x:v>
      </x:c>
      <x:c r="M64" s="515"/>
      <x:c r="N64" s="90">
        <x:v>500</x:v>
      </x:c>
      <x:c r="O64" s="89"/>
      <x:c r="P64" s="90">
        <x:v>500</x:v>
      </x:c>
      <x:c r="Q64" s="89"/>
      <x:c r="R64" s="90">
        <x:v>500</x:v>
      </x:c>
      <x:c r="S64" s="89"/>
      <x:c r="T64" s="90">
        <x:v>500</x:v>
      </x:c>
      <x:c r="U64" s="89"/>
      <x:c r="V64" s="90">
        <x:v>500</x:v>
      </x:c>
      <x:c r="W64" s="89"/>
      <x:c r="X64" s="90">
        <x:v>500</x:v>
      </x:c>
      <x:c r="Y64" s="89"/>
      <x:c r="Z64" s="90">
        <x:v>500</x:v>
      </x:c>
      <x:c r="AA64" s="91">
        <x:f t="shared" si="15"/>
        <x:v>0</x:v>
      </x:c>
      <x:c r="AB64" s="354">
        <x:f t="shared" si="16"/>
        <x:v>6000</x:v>
      </x:c>
      <x:c r="AC64" s="394">
        <x:f t="shared" si="7"/>
        <x:v>3500</x:v>
      </x:c>
      <x:c r="AD64" s="419">
        <x:f t="shared" si="17"/>
        <x:v>-3500</x:v>
      </x:c>
      <x:c r="AE64" s="498">
        <x:v>3500</x:v>
      </x:c>
      <x:c r="AF64" s="477"/>
      <x:c r="AI64" s="251"/>
      <x:c r="AJ64" s="251"/>
      <x:c r="AK64" s="251"/>
      <x:c r="AL64" s="251"/>
      <x:c r="AM64" s="251"/>
      <x:c r="AN64" s="251"/>
      <x:c r="AO64" s="251"/>
      <x:c r="AP64" s="251"/>
      <x:c r="AQ64" s="251"/>
      <x:c r="AR64" s="251"/>
      <x:c r="AS64" s="251"/>
      <x:c r="AT64" s="251"/>
    </x:row>
    <x:row r="65" spans="1:46" x14ac:dyDescent="0.25">
      <x:c r="A65" s="26" t="s">
        <x:v>414</x:v>
      </x:c>
      <x:c r="B65" s="27" t="s">
        <x:v>415</x:v>
      </x:c>
      <x:c r="C65" s="89">
        <x:v>1044.1099999999999</x:v>
      </x:c>
      <x:c r="D65" s="90">
        <x:v>1950</x:v>
      </x:c>
      <x:c r="E65" s="89">
        <x:v>1271.9000000000001</x:v>
      </x:c>
      <x:c r="F65" s="90">
        <x:v>1950</x:v>
      </x:c>
      <x:c r="G65" s="89">
        <x:v>1598.53</x:v>
      </x:c>
      <x:c r="H65" s="90">
        <x:v>1950</x:v>
      </x:c>
      <x:c r="I65" s="89">
        <x:v>1100.42</x:v>
      </x:c>
      <x:c r="J65" s="90">
        <x:v>1950</x:v>
      </x:c>
      <x:c r="K65" s="89">
        <x:v>1098.6000000000001</x:v>
      </x:c>
      <x:c r="L65" s="90">
        <x:v>1950</x:v>
      </x:c>
      <x:c r="M65" s="515">
        <x:v>1927.3899999999999</x:v>
      </x:c>
      <x:c r="N65" s="90">
        <x:v>1950</x:v>
      </x:c>
      <x:c r="O65" s="89">
        <x:v>2129.2200000000003</x:v>
      </x:c>
      <x:c r="P65" s="90">
        <x:v>1950</x:v>
      </x:c>
      <x:c r="Q65" s="89"/>
      <x:c r="R65" s="90">
        <x:v>1950</x:v>
      </x:c>
      <x:c r="S65" s="89"/>
      <x:c r="T65" s="90">
        <x:v>1950</x:v>
      </x:c>
      <x:c r="U65" s="89"/>
      <x:c r="V65" s="90">
        <x:v>1950</x:v>
      </x:c>
      <x:c r="W65" s="89"/>
      <x:c r="X65" s="90">
        <x:v>1950</x:v>
      </x:c>
      <x:c r="Y65" s="89"/>
      <x:c r="Z65" s="90">
        <x:v>1950</x:v>
      </x:c>
      <x:c r="AA65" s="91">
        <x:f t="shared" si="15"/>
        <x:v>10170.170000000002</x:v>
      </x:c>
      <x:c r="AB65" s="354">
        <x:f t="shared" si="16"/>
        <x:v>23400</x:v>
      </x:c>
      <x:c r="AC65" s="394">
        <x:f t="shared" si="7"/>
        <x:v>13650</x:v>
      </x:c>
      <x:c r="AD65" s="419">
        <x:f t="shared" si="17"/>
        <x:v>-3479.8299999999981</x:v>
      </x:c>
      <x:c r="AE65" s="498">
        <x:v>19763.560000000001</x:v>
      </x:c>
      <x:c r="AF65" s="477"/>
    </x:row>
    <x:row r="66" spans="1:46" x14ac:dyDescent="0.25">
      <x:c r="A66" s="26" t="s">
        <x:v>416</x:v>
      </x:c>
      <x:c r="B66" s="27" t="s">
        <x:v>10</x:v>
      </x:c>
      <x:c r="C66" s="89"/>
      <x:c r="D66" s="90"/>
      <x:c r="E66" s="89"/>
      <x:c r="F66" s="90"/>
      <x:c r="G66" s="89"/>
      <x:c r="H66" s="90"/>
      <x:c r="I66" s="89"/>
      <x:c r="J66" s="90"/>
      <x:c r="K66" s="89"/>
      <x:c r="L66" s="90"/>
      <x:c r="M66" s="515"/>
      <x:c r="N66" s="90"/>
      <x:c r="O66" s="89"/>
      <x:c r="P66" s="90"/>
      <x:c r="Q66" s="89"/>
      <x:c r="R66" s="90"/>
      <x:c r="S66" s="89"/>
      <x:c r="T66" s="90"/>
      <x:c r="U66" s="89"/>
      <x:c r="V66" s="90"/>
      <x:c r="W66" s="89"/>
      <x:c r="X66" s="90"/>
      <x:c r="Y66" s="89"/>
      <x:c r="Z66" s="90"/>
      <x:c r="AA66" s="91">
        <x:f t="shared" si="15"/>
        <x:v>0</x:v>
      </x:c>
      <x:c r="AB66" s="354">
        <x:f t="shared" si="16"/>
        <x:v>0</x:v>
      </x:c>
      <x:c r="AC66" s="394">
        <x:f t="shared" si="7"/>
        <x:v>0</x:v>
      </x:c>
      <x:c r="AD66" s="419">
        <x:f t="shared" si="17"/>
        <x:v>0</x:v>
      </x:c>
      <x:c r="AE66" s="498">
        <x:v>0</x:v>
      </x:c>
      <x:c r="AF66" s="477"/>
    </x:row>
    <x:row r="67" spans="1:46" x14ac:dyDescent="0.25">
      <x:c r="A67" s="26" t="s">
        <x:v>417</x:v>
      </x:c>
      <x:c r="B67" s="27" t="s">
        <x:v>430</x:v>
      </x:c>
      <x:c r="C67" s="89"/>
      <x:c r="D67" s="90"/>
      <x:c r="E67" s="89"/>
      <x:c r="F67" s="90"/>
      <x:c r="G67" s="89"/>
      <x:c r="H67" s="90"/>
      <x:c r="I67" s="89"/>
      <x:c r="J67" s="90"/>
      <x:c r="K67" s="89"/>
      <x:c r="L67" s="90"/>
      <x:c r="M67" s="515"/>
      <x:c r="N67" s="90"/>
      <x:c r="O67" s="89"/>
      <x:c r="P67" s="90"/>
      <x:c r="Q67" s="89"/>
      <x:c r="R67" s="90"/>
      <x:c r="S67" s="89"/>
      <x:c r="T67" s="90"/>
      <x:c r="U67" s="89"/>
      <x:c r="V67" s="90"/>
      <x:c r="W67" s="89"/>
      <x:c r="X67" s="90"/>
      <x:c r="Y67" s="89"/>
      <x:c r="Z67" s="90"/>
      <x:c r="AA67" s="91">
        <x:f t="shared" si="15"/>
        <x:v>0</x:v>
      </x:c>
      <x:c r="AB67" s="354">
        <x:f t="shared" si="16"/>
        <x:v>0</x:v>
      </x:c>
      <x:c r="AC67" s="394">
        <x:f t="shared" si="7"/>
        <x:v>0</x:v>
      </x:c>
      <x:c r="AD67" s="419">
        <x:f t="shared" si="17"/>
        <x:v>0</x:v>
      </x:c>
      <x:c r="AE67" s="498">
        <x:v>0</x:v>
      </x:c>
      <x:c r="AF67" s="477"/>
      <x:c r="AI67" s="252"/>
      <x:c r="AJ67" s="252"/>
      <x:c r="AK67" s="252"/>
      <x:c r="AL67" s="252"/>
      <x:c r="AM67" s="252"/>
      <x:c r="AN67" s="252"/>
      <x:c r="AO67" s="252"/>
      <x:c r="AP67" s="252"/>
      <x:c r="AQ67" s="252"/>
      <x:c r="AR67" s="252"/>
      <x:c r="AS67" s="252"/>
      <x:c r="AT67" s="252"/>
    </x:row>
    <x:row r="68" spans="1:46" x14ac:dyDescent="0.25">
      <x:c r="A68" s="26" t="s">
        <x:v>432</x:v>
      </x:c>
      <x:c r="B68" s="27" t="s">
        <x:v>431</x:v>
      </x:c>
      <x:c r="C68" s="89"/>
      <x:c r="D68" s="90"/>
      <x:c r="E68" s="89"/>
      <x:c r="F68" s="90"/>
      <x:c r="G68" s="89"/>
      <x:c r="H68" s="90"/>
      <x:c r="I68" s="89"/>
      <x:c r="J68" s="90"/>
      <x:c r="K68" s="89"/>
      <x:c r="L68" s="90"/>
      <x:c r="M68" s="515"/>
      <x:c r="N68" s="90"/>
      <x:c r="O68" s="89"/>
      <x:c r="P68" s="90"/>
      <x:c r="Q68" s="89"/>
      <x:c r="R68" s="90"/>
      <x:c r="S68" s="89"/>
      <x:c r="T68" s="90"/>
      <x:c r="U68" s="89"/>
      <x:c r="V68" s="90"/>
      <x:c r="W68" s="89"/>
      <x:c r="X68" s="90"/>
      <x:c r="Y68" s="89"/>
      <x:c r="Z68" s="90"/>
      <x:c r="AA68" s="91"/>
      <x:c r="AB68" s="354"/>
      <x:c r="AC68" s="394">
        <x:f t="shared" si="7"/>
        <x:v>0</x:v>
      </x:c>
      <x:c r="AD68" s="419"/>
      <x:c r="AE68" s="498">
        <x:v>0</x:v>
      </x:c>
      <x:c r="AF68" s="477"/>
    </x:row>
    <x:row r="69" spans="1:46" x14ac:dyDescent="0.25">
      <x:c r="A69" s="26" t="s">
        <x:v>418</x:v>
      </x:c>
      <x:c r="B69" s="27" t="s">
        <x:v>315</x:v>
      </x:c>
      <x:c r="C69" s="89"/>
      <x:c r="D69" s="90">
        <x:v>2500</x:v>
      </x:c>
      <x:c r="E69" s="89"/>
      <x:c r="F69" s="90">
        <x:v>2500</x:v>
      </x:c>
      <x:c r="G69" s="89"/>
      <x:c r="H69" s="90">
        <x:v>2500</x:v>
      </x:c>
      <x:c r="I69" s="89"/>
      <x:c r="J69" s="90">
        <x:v>2500</x:v>
      </x:c>
      <x:c r="K69" s="89"/>
      <x:c r="L69" s="90">
        <x:v>2500</x:v>
      </x:c>
      <x:c r="M69" s="515"/>
      <x:c r="N69" s="90">
        <x:v>2500</x:v>
      </x:c>
      <x:c r="O69" s="89"/>
      <x:c r="P69" s="90">
        <x:v>2500</x:v>
      </x:c>
      <x:c r="Q69" s="89"/>
      <x:c r="R69" s="90">
        <x:v>2500</x:v>
      </x:c>
      <x:c r="S69" s="89"/>
      <x:c r="T69" s="90">
        <x:v>2500</x:v>
      </x:c>
      <x:c r="U69" s="89"/>
      <x:c r="V69" s="90">
        <x:v>2500</x:v>
      </x:c>
      <x:c r="W69" s="89"/>
      <x:c r="X69" s="90">
        <x:v>2500</x:v>
      </x:c>
      <x:c r="Y69" s="89"/>
      <x:c r="Z69" s="90">
        <x:v>2500</x:v>
      </x:c>
      <x:c r="AA69" s="91">
        <x:f t="shared" ref="AA69:AB74" si="18">C69+E69+G69+I69+K69+M69+O69+Q69+S69+U69+W69+Y69</x:f>
        <x:v>0</x:v>
      </x:c>
      <x:c r="AB69" s="354">
        <x:f t="shared" si="18"/>
        <x:v>30000</x:v>
      </x:c>
      <x:c r="AC69" s="394">
        <x:f t="shared" si="7"/>
        <x:v>17500</x:v>
      </x:c>
      <x:c r="AD69" s="419">
        <x:f t="shared" ref="AD69:AD74" si="19">AA69-AC69</x:f>
        <x:v>-17500</x:v>
      </x:c>
      <x:c r="AE69" s="498">
        <x:v>17500</x:v>
      </x:c>
      <x:c r="AF69" s="477"/>
    </x:row>
    <x:row r="70" spans="1:46" x14ac:dyDescent="0.25">
      <x:c r="A70" s="26" t="s">
        <x:v>419</x:v>
      </x:c>
      <x:c r="B70" s="27" t="s">
        <x:v>26</x:v>
      </x:c>
      <x:c r="C70" s="89"/>
      <x:c r="D70" s="90"/>
      <x:c r="E70" s="89"/>
      <x:c r="F70" s="90"/>
      <x:c r="G70" s="89"/>
      <x:c r="H70" s="90"/>
      <x:c r="I70" s="89"/>
      <x:c r="J70" s="90"/>
      <x:c r="K70" s="89"/>
      <x:c r="L70" s="90"/>
      <x:c r="M70" s="515"/>
      <x:c r="N70" s="90"/>
      <x:c r="O70" s="89"/>
      <x:c r="P70" s="90"/>
      <x:c r="Q70" s="89"/>
      <x:c r="R70" s="90"/>
      <x:c r="S70" s="89"/>
      <x:c r="T70" s="90"/>
      <x:c r="U70" s="89"/>
      <x:c r="V70" s="90"/>
      <x:c r="W70" s="89"/>
      <x:c r="X70" s="90"/>
      <x:c r="Y70" s="89"/>
      <x:c r="Z70" s="90"/>
      <x:c r="AA70" s="91">
        <x:f t="shared" si="18"/>
        <x:v>0</x:v>
      </x:c>
      <x:c r="AB70" s="354">
        <x:f t="shared" si="18"/>
        <x:v>0</x:v>
      </x:c>
      <x:c r="AC70" s="394">
        <x:f t="shared" si="7"/>
        <x:v>0</x:v>
      </x:c>
      <x:c r="AD70" s="419">
        <x:f t="shared" si="19"/>
        <x:v>0</x:v>
      </x:c>
      <x:c r="AE70" s="498">
        <x:v>0</x:v>
      </x:c>
      <x:c r="AF70" s="477"/>
    </x:row>
    <x:row r="71" spans="1:46" x14ac:dyDescent="0.25">
      <x:c r="A71" s="26" t="s">
        <x:v>420</x:v>
      </x:c>
      <x:c r="B71" s="27" t="s">
        <x:v>16</x:v>
      </x:c>
      <x:c r="C71" s="89"/>
      <x:c r="D71" s="90"/>
      <x:c r="E71" s="89"/>
      <x:c r="F71" s="90"/>
      <x:c r="G71" s="89"/>
      <x:c r="H71" s="90"/>
      <x:c r="I71" s="89"/>
      <x:c r="J71" s="90"/>
      <x:c r="K71" s="89"/>
      <x:c r="L71" s="90"/>
      <x:c r="M71" s="515"/>
      <x:c r="N71" s="90"/>
      <x:c r="O71" s="89"/>
      <x:c r="P71" s="90"/>
      <x:c r="Q71" s="89"/>
      <x:c r="R71" s="90"/>
      <x:c r="S71" s="89"/>
      <x:c r="T71" s="90"/>
      <x:c r="U71" s="89"/>
      <x:c r="V71" s="90"/>
      <x:c r="W71" s="89"/>
      <x:c r="X71" s="90"/>
      <x:c r="Y71" s="89"/>
      <x:c r="Z71" s="90"/>
      <x:c r="AA71" s="91">
        <x:f t="shared" si="18"/>
        <x:v>0</x:v>
      </x:c>
      <x:c r="AB71" s="354">
        <x:f t="shared" si="18"/>
        <x:v>0</x:v>
      </x:c>
      <x:c r="AC71" s="394">
        <x:f t="shared" si="7"/>
        <x:v>0</x:v>
      </x:c>
      <x:c r="AD71" s="419">
        <x:f t="shared" si="19"/>
        <x:v>0</x:v>
      </x:c>
      <x:c r="AE71" s="498">
        <x:v>0</x:v>
      </x:c>
      <x:c r="AF71" s="477"/>
    </x:row>
    <x:row r="72" spans="1:46" x14ac:dyDescent="0.25">
      <x:c r="A72" s="26" t="s">
        <x:v>435</x:v>
      </x:c>
      <x:c r="B72" s="27" t="s">
        <x:v>27</x:v>
      </x:c>
      <x:c r="C72" s="89"/>
      <x:c r="D72" s="90"/>
      <x:c r="E72" s="89"/>
      <x:c r="F72" s="90"/>
      <x:c r="G72" s="89"/>
      <x:c r="H72" s="90"/>
      <x:c r="I72" s="89"/>
      <x:c r="J72" s="90"/>
      <x:c r="K72" s="89"/>
      <x:c r="L72" s="90"/>
      <x:c r="M72" s="515"/>
      <x:c r="N72" s="90"/>
      <x:c r="O72" s="89"/>
      <x:c r="P72" s="90"/>
      <x:c r="Q72" s="89"/>
      <x:c r="R72" s="90"/>
      <x:c r="S72" s="89"/>
      <x:c r="T72" s="90"/>
      <x:c r="U72" s="89"/>
      <x:c r="V72" s="90"/>
      <x:c r="W72" s="89"/>
      <x:c r="X72" s="90"/>
      <x:c r="Y72" s="89"/>
      <x:c r="Z72" s="90"/>
      <x:c r="AA72" s="91">
        <x:f t="shared" si="18"/>
        <x:v>0</x:v>
      </x:c>
      <x:c r="AB72" s="354">
        <x:f t="shared" si="18"/>
        <x:v>0</x:v>
      </x:c>
      <x:c r="AC72" s="394">
        <x:f t="shared" si="7"/>
        <x:v>0</x:v>
      </x:c>
      <x:c r="AD72" s="419">
        <x:f t="shared" si="19"/>
        <x:v>0</x:v>
      </x:c>
      <x:c r="AE72" s="498">
        <x:v>0</x:v>
      </x:c>
      <x:c r="AF72" s="477"/>
    </x:row>
    <x:row r="73" spans="1:46" x14ac:dyDescent="0.25">
      <x:c r="A73" s="26" t="s">
        <x:v>449</x:v>
      </x:c>
      <x:c r="B73" s="27" t="s">
        <x:v>157</x:v>
      </x:c>
      <x:c r="C73" s="89"/>
      <x:c r="D73" s="90"/>
      <x:c r="E73" s="89"/>
      <x:c r="F73" s="90"/>
      <x:c r="G73" s="89"/>
      <x:c r="H73" s="90"/>
      <x:c r="I73" s="89"/>
      <x:c r="J73" s="90"/>
      <x:c r="K73" s="89"/>
      <x:c r="L73" s="90"/>
      <x:c r="M73" s="515"/>
      <x:c r="N73" s="90"/>
      <x:c r="O73" s="89"/>
      <x:c r="P73" s="90"/>
      <x:c r="Q73" s="89"/>
      <x:c r="R73" s="90"/>
      <x:c r="S73" s="89"/>
      <x:c r="T73" s="90"/>
      <x:c r="U73" s="89"/>
      <x:c r="V73" s="90"/>
      <x:c r="W73" s="89"/>
      <x:c r="X73" s="90"/>
      <x:c r="Y73" s="89"/>
      <x:c r="Z73" s="90"/>
      <x:c r="AA73" s="91">
        <x:f t="shared" si="18"/>
        <x:v>0</x:v>
      </x:c>
      <x:c r="AB73" s="354">
        <x:f t="shared" si="18"/>
        <x:v>0</x:v>
      </x:c>
      <x:c r="AC73" s="394">
        <x:f t="shared" si="7"/>
        <x:v>0</x:v>
      </x:c>
      <x:c r="AD73" s="419">
        <x:f t="shared" si="19"/>
        <x:v>0</x:v>
      </x:c>
      <x:c r="AE73" s="498">
        <x:v>0</x:v>
      </x:c>
      <x:c r="AF73" s="477"/>
    </x:row>
    <x:row r="74" spans="1:46" x14ac:dyDescent="0.25">
      <x:c r="A74" s="26" t="s">
        <x:v>421</x:v>
      </x:c>
      <x:c r="B74" s="27" t="s">
        <x:v>9</x:v>
      </x:c>
      <x:c r="C74" s="89"/>
      <x:c r="D74" s="90"/>
      <x:c r="E74" s="89"/>
      <x:c r="F74" s="90"/>
      <x:c r="G74" s="89"/>
      <x:c r="H74" s="90"/>
      <x:c r="I74" s="89"/>
      <x:c r="J74" s="90"/>
      <x:c r="K74" s="89"/>
      <x:c r="L74" s="90"/>
      <x:c r="M74" s="515"/>
      <x:c r="N74" s="90"/>
      <x:c r="O74" s="89"/>
      <x:c r="P74" s="90"/>
      <x:c r="Q74" s="89"/>
      <x:c r="R74" s="90"/>
      <x:c r="S74" s="89"/>
      <x:c r="T74" s="90"/>
      <x:c r="U74" s="89"/>
      <x:c r="V74" s="90"/>
      <x:c r="W74" s="89"/>
      <x:c r="X74" s="90"/>
      <x:c r="Y74" s="89"/>
      <x:c r="Z74" s="90"/>
      <x:c r="AA74" s="91">
        <x:f t="shared" si="18"/>
        <x:v>0</x:v>
      </x:c>
      <x:c r="AB74" s="354">
        <x:f t="shared" si="18"/>
        <x:v>0</x:v>
      </x:c>
      <x:c r="AC74" s="394">
        <x:f t="shared" si="7"/>
        <x:v>0</x:v>
      </x:c>
      <x:c r="AD74" s="419">
        <x:f t="shared" si="19"/>
        <x:v>0</x:v>
      </x:c>
      <x:c r="AE74" s="498">
        <x:v>0</x:v>
      </x:c>
      <x:c r="AF74" s="477"/>
    </x:row>
    <x:row r="75" spans="1:46" x14ac:dyDescent="0.25">
      <x:c r="A75" s="26" t="s">
        <x:v>162</x:v>
      </x:c>
      <x:c r="B75" s="27" t="s">
        <x:v>0</x:v>
      </x:c>
      <x:c r="C75" s="89"/>
      <x:c r="D75" s="90"/>
      <x:c r="E75" s="89"/>
      <x:c r="F75" s="90"/>
      <x:c r="G75" s="89"/>
      <x:c r="H75" s="90"/>
      <x:c r="I75" s="89"/>
      <x:c r="J75" s="90"/>
      <x:c r="K75" s="89"/>
      <x:c r="L75" s="90"/>
      <x:c r="M75" s="515"/>
      <x:c r="N75" s="90"/>
      <x:c r="O75" s="89"/>
      <x:c r="P75" s="90"/>
      <x:c r="Q75" s="89"/>
      <x:c r="R75" s="90"/>
      <x:c r="S75" s="89"/>
      <x:c r="T75" s="90"/>
      <x:c r="U75" s="89"/>
      <x:c r="V75" s="90"/>
      <x:c r="W75" s="89"/>
      <x:c r="X75" s="90"/>
      <x:c r="Y75" s="89"/>
      <x:c r="Z75" s="90"/>
      <x:c r="AA75" s="91">
        <x:f t="shared" ref="AA75:AB76" si="20">C75+E75+G75+I75+K75+M75+O75+Q75+S75+U75+W75+Y75</x:f>
        <x:v>0</x:v>
      </x:c>
      <x:c r="AB75" s="354">
        <x:f>D75+F75+H75+J75+L75+N75+P75+R75+T75+V75+X75+Z75</x:f>
        <x:v>0</x:v>
      </x:c>
      <x:c r="AC75" s="394">
        <x:f t="shared" si="7"/>
        <x:v>0</x:v>
      </x:c>
      <x:c r="AD75" s="419">
        <x:f t="shared" si="0"/>
        <x:v>0</x:v>
      </x:c>
      <x:c r="AE75" s="498">
        <x:v>0</x:v>
      </x:c>
      <x:c r="AF75" s="477"/>
    </x:row>
    <x:row r="76" spans="1:46" x14ac:dyDescent="0.25">
      <x:c r="A76" s="26" t="s">
        <x:v>163</x:v>
      </x:c>
      <x:c r="B76" s="27" t="s">
        <x:v>6</x:v>
      </x:c>
      <x:c r="C76" s="89"/>
      <x:c r="D76" s="90"/>
      <x:c r="E76" s="89"/>
      <x:c r="F76" s="90"/>
      <x:c r="G76" s="89"/>
      <x:c r="H76" s="90"/>
      <x:c r="I76" s="89"/>
      <x:c r="J76" s="90"/>
      <x:c r="K76" s="89"/>
      <x:c r="L76" s="90"/>
      <x:c r="M76" s="515"/>
      <x:c r="N76" s="90"/>
      <x:c r="O76" s="89"/>
      <x:c r="P76" s="90"/>
      <x:c r="Q76" s="89"/>
      <x:c r="R76" s="90"/>
      <x:c r="S76" s="89"/>
      <x:c r="T76" s="90"/>
      <x:c r="U76" s="89"/>
      <x:c r="V76" s="90"/>
      <x:c r="W76" s="89"/>
      <x:c r="X76" s="90"/>
      <x:c r="Y76" s="89"/>
      <x:c r="Z76" s="90"/>
      <x:c r="AA76" s="91">
        <x:f t="shared" si="20"/>
        <x:v>0</x:v>
      </x:c>
      <x:c r="AB76" s="354">
        <x:f t="shared" si="20"/>
        <x:v>0</x:v>
      </x:c>
      <x:c r="AC76" s="394">
        <x:f t="shared" si="7"/>
        <x:v>0</x:v>
      </x:c>
      <x:c r="AD76" s="419">
        <x:f t="shared" si="0"/>
        <x:v>0</x:v>
      </x:c>
      <x:c r="AE76" s="498">
        <x:v>0</x:v>
      </x:c>
      <x:c r="AF76" s="477"/>
    </x:row>
    <x:row r="77" spans="1:46" x14ac:dyDescent="0.25">
      <x:c r="A77" s="26" t="s">
        <x:v>4</x:v>
      </x:c>
      <x:c r="B77" s="27" t="s">
        <x:v>161</x:v>
      </x:c>
      <x:c r="C77" s="89"/>
      <x:c r="D77" s="90"/>
      <x:c r="E77" s="89"/>
      <x:c r="F77" s="90"/>
      <x:c r="G77" s="89"/>
      <x:c r="H77" s="90"/>
      <x:c r="I77" s="89"/>
      <x:c r="J77" s="90"/>
      <x:c r="K77" s="89"/>
      <x:c r="L77" s="90"/>
      <x:c r="M77" s="515"/>
      <x:c r="N77" s="90"/>
      <x:c r="O77" s="89"/>
      <x:c r="P77" s="90"/>
      <x:c r="Q77" s="89"/>
      <x:c r="R77" s="90"/>
      <x:c r="S77" s="89"/>
      <x:c r="T77" s="90"/>
      <x:c r="U77" s="89"/>
      <x:c r="V77" s="90"/>
      <x:c r="W77" s="89"/>
      <x:c r="X77" s="90"/>
      <x:c r="Y77" s="89"/>
      <x:c r="Z77" s="90"/>
      <x:c r="AA77" s="91">
        <x:f t="shared" ref="AA77:AB77" si="21">C77+E77+G77+I77+K77+M77+O77+Q77+S77+U77+W77+Y77</x:f>
        <x:v>0</x:v>
      </x:c>
      <x:c r="AB77" s="354">
        <x:f t="shared" si="21"/>
        <x:v>0</x:v>
      </x:c>
      <x:c r="AC77" s="394">
        <x:f t="shared" si="7"/>
        <x:v>0</x:v>
      </x:c>
      <x:c r="AD77" s="419">
        <x:f t="shared" ref="AD77:AD81" si="22">AA77-AC77</x:f>
        <x:v>0</x:v>
      </x:c>
      <x:c r="AE77" s="498">
        <x:v>0</x:v>
      </x:c>
      <x:c r="AF77" s="477"/>
    </x:row>
    <x:row r="78" spans="1:46" x14ac:dyDescent="0.25">
      <x:c r="A78" s="514" t="s">
        <x:v>448</x:v>
      </x:c>
      <x:c r="B78" s="27" t="s">
        <x:v>447</x:v>
      </x:c>
      <x:c r="C78" s="89"/>
      <x:c r="D78" s="90"/>
      <x:c r="E78" s="89"/>
      <x:c r="F78" s="90"/>
      <x:c r="G78" s="89"/>
      <x:c r="H78" s="90"/>
      <x:c r="I78" s="89"/>
      <x:c r="J78" s="90"/>
      <x:c r="K78" s="89"/>
      <x:c r="L78" s="90"/>
      <x:c r="M78" s="89"/>
      <x:c r="N78" s="90"/>
      <x:c r="O78" s="89"/>
      <x:c r="P78" s="90"/>
      <x:c r="Q78" s="89"/>
      <x:c r="R78" s="90"/>
      <x:c r="S78" s="89"/>
      <x:c r="T78" s="90"/>
      <x:c r="U78" s="89"/>
      <x:c r="V78" s="90"/>
      <x:c r="W78" s="89"/>
      <x:c r="X78" s="90"/>
      <x:c r="Y78" s="89"/>
      <x:c r="Z78" s="90"/>
      <x:c r="AA78" s="91"/>
      <x:c r="AB78" s="354"/>
      <x:c r="AC78" s="394">
        <x:f t="shared" si="7"/>
        <x:v>0</x:v>
      </x:c>
      <x:c r="AD78" s="419">
        <x:f t="shared" si="22"/>
        <x:v>0</x:v>
      </x:c>
      <x:c r="AE78" s="498">
        <x:v>0</x:v>
      </x:c>
      <x:c r="AF78" s="477"/>
    </x:row>
    <x:row r="79" spans="1:46" s="97" customFormat="1" ht="15.75" thickBot="1" x14ac:dyDescent="0.3">
      <x:c r="A79" s="102"/>
      <x:c r="B79" s="103"/>
      <x:c r="C79" s="104"/>
      <x:c r="D79" s="105"/>
      <x:c r="E79" s="104"/>
      <x:c r="F79" s="105"/>
      <x:c r="G79" s="104"/>
      <x:c r="H79" s="105"/>
      <x:c r="I79" s="104"/>
      <x:c r="J79" s="105"/>
      <x:c r="K79" s="104"/>
      <x:c r="L79" s="105"/>
      <x:c r="M79" s="104"/>
      <x:c r="N79" s="105"/>
      <x:c r="O79" s="104"/>
      <x:c r="P79" s="105"/>
      <x:c r="Q79" s="104"/>
      <x:c r="R79" s="105"/>
      <x:c r="S79" s="104"/>
      <x:c r="T79" s="105"/>
      <x:c r="U79" s="104"/>
      <x:c r="V79" s="105"/>
      <x:c r="W79" s="104"/>
      <x:c r="X79" s="105"/>
      <x:c r="Y79" s="104"/>
      <x:c r="Z79" s="105"/>
      <x:c r="AA79" s="106"/>
      <x:c r="AB79" s="388"/>
      <x:c r="AC79" s="398">
        <x:f t="shared" si="7"/>
        <x:v>0</x:v>
      </x:c>
      <x:c r="AD79" s="422">
        <x:f t="shared" si="22"/>
        <x:v>0</x:v>
      </x:c>
      <x:c r="AE79" s="501">
        <x:v>0</x:v>
      </x:c>
      <x:c r="AF79" s="480"/>
    </x:row>
    <x:row r="80" spans="1:46" s="97" customFormat="1" ht="15.75" thickBot="1" x14ac:dyDescent="0.3">
      <x:c r="A80" s="107"/>
      <x:c r="B80" s="108"/>
      <x:c r="C80" s="109"/>
      <x:c r="D80" s="110"/>
      <x:c r="E80" s="109"/>
      <x:c r="F80" s="110"/>
      <x:c r="G80" s="109"/>
      <x:c r="H80" s="110"/>
      <x:c r="I80" s="109"/>
      <x:c r="J80" s="110"/>
      <x:c r="K80" s="109"/>
      <x:c r="L80" s="110"/>
      <x:c r="M80" s="109"/>
      <x:c r="N80" s="110"/>
      <x:c r="O80" s="109"/>
      <x:c r="P80" s="110"/>
      <x:c r="Q80" s="109"/>
      <x:c r="R80" s="110"/>
      <x:c r="S80" s="109"/>
      <x:c r="T80" s="110"/>
      <x:c r="U80" s="109"/>
      <x:c r="V80" s="110"/>
      <x:c r="W80" s="109"/>
      <x:c r="X80" s="110"/>
      <x:c r="Y80" s="109"/>
      <x:c r="Z80" s="110"/>
      <x:c r="AA80" s="109"/>
      <x:c r="AB80" s="110"/>
      <x:c r="AC80" s="426"/>
      <x:c r="AD80" s="428"/>
      <x:c r="AE80" s="498"/>
      <x:c r="AF80" s="506"/>
    </x:row>
    <x:row r="81" spans="1:32" s="97" customFormat="1" ht="17.25" thickTop="1" thickBot="1" x14ac:dyDescent="0.3">
      <x:c r="A81" s="107"/>
      <x:c r="B81" s="111" t="s">
        <x:v>62</x:v>
      </x:c>
      <x:c r="C81" s="112">
        <x:f t="shared" ref="C81:AC81" si="23">C6+C8-C15</x:f>
        <x:v>-433224.50000000006</x:v>
      </x:c>
      <x:c r="D81" s="113">
        <x:f t="shared" si="23"/>
        <x:v>-578363.79430000007</x:v>
      </x:c>
      <x:c r="E81" s="112">
        <x:f t="shared" si="23"/>
        <x:v>-431488.43000000005</x:v>
      </x:c>
      <x:c r="F81" s="113">
        <x:f t="shared" si="23"/>
        <x:v>-563863.79430000007</x:v>
      </x:c>
      <x:c r="G81" s="112">
        <x:f t="shared" si="23"/>
        <x:v>-444058.36000000004</x:v>
      </x:c>
      <x:c r="H81" s="113">
        <x:f t="shared" si="23"/>
        <x:v>-682663.79430000007</x:v>
      </x:c>
      <x:c r="I81" s="112">
        <x:f t="shared" si="23"/>
        <x:v>-516247.36000000004</x:v>
      </x:c>
      <x:c r="J81" s="113">
        <x:f t="shared" si="23"/>
        <x:v>-578973.27797023999</x:v>
      </x:c>
      <x:c r="K81" s="112">
        <x:f t="shared" si="23"/>
        <x:v>-489461.55999999988</x:v>
      </x:c>
      <x:c r="L81" s="113">
        <x:f t="shared" si="23"/>
        <x:v>-577573.27797023999</x:v>
      </x:c>
      <x:c r="M81" s="112">
        <x:f t="shared" si="23"/>
        <x:v>-482674.76000000007</x:v>
      </x:c>
      <x:c r="N81" s="113">
        <x:f t="shared" si="23"/>
        <x:v>-552893.27797023999</x:v>
      </x:c>
      <x:c r="O81" s="112">
        <x:f t="shared" si="23"/>
        <x:v>-454943.66999999993</x:v>
      </x:c>
      <x:c r="P81" s="113">
        <x:f t="shared" si="23"/>
        <x:v>-527093.27797023999</x:v>
      </x:c>
      <x:c r="Q81" s="112">
        <x:f t="shared" si="23"/>
        <x:v>0</x:v>
      </x:c>
      <x:c r="R81" s="113">
        <x:f t="shared" si="23"/>
        <x:v>-526593.27797023999</x:v>
      </x:c>
      <x:c r="S81" s="112">
        <x:f t="shared" si="23"/>
        <x:v>0</x:v>
      </x:c>
      <x:c r="T81" s="113">
        <x:f t="shared" si="23"/>
        <x:v>-524793.27797023999</x:v>
      </x:c>
      <x:c r="U81" s="112">
        <x:f t="shared" si="23"/>
        <x:v>0</x:v>
      </x:c>
      <x:c r="V81" s="113">
        <x:f t="shared" si="23"/>
        <x:v>-523793.27797023999</x:v>
      </x:c>
      <x:c r="W81" s="112">
        <x:f t="shared" si="23"/>
        <x:v>0</x:v>
      </x:c>
      <x:c r="X81" s="113">
        <x:f t="shared" si="23"/>
        <x:v>-524793.27797023999</x:v>
      </x:c>
      <x:c r="Y81" s="112">
        <x:f t="shared" si="23"/>
        <x:v>0</x:v>
      </x:c>
      <x:c r="Z81" s="113">
        <x:f t="shared" si="23"/>
        <x:v>-523793.27797023999</x:v>
      </x:c>
      <x:c r="AA81" s="112">
        <x:f t="shared" si="23"/>
        <x:v>-3252098.6400000006</x:v>
      </x:c>
      <x:c r="AB81" s="113">
        <x:f t="shared" si="23"/>
        <x:v>-6685190.88463216</x:v>
      </x:c>
      <x:c r="AC81" s="429">
        <x:f t="shared" si="23"/>
        <x:v>-4061424.4947809596</x:v>
      </x:c>
      <x:c r="AD81" s="431">
        <x:f t="shared" si="22"/>
        <x:v>809325.85478095897</x:v>
      </x:c>
      <x:c r="AE81" s="502">
        <x:f>AE6+AE8-AE15</x:f>
        <x:v>-6018233.1557916794</x:v>
      </x:c>
      <x:c r="AF81" s="507">
        <x:f>AF6+AF8-AF15</x:f>
        <x:v>0</x:v>
      </x:c>
    </x:row>
    <x:row r="82" spans="1:32" s="97" customFormat="1" ht="16.5" thickTop="1" x14ac:dyDescent="0.25">
      <x:c r="A82" s="107"/>
      <x:c r="B82" s="255"/>
      <x:c r="C82" s="109"/>
      <x:c r="D82" s="110"/>
      <x:c r="E82" s="109"/>
      <x:c r="F82" s="110"/>
      <x:c r="G82" s="109"/>
      <x:c r="H82" s="110"/>
      <x:c r="I82" s="109"/>
      <x:c r="J82" s="110"/>
      <x:c r="K82" s="109"/>
      <x:c r="L82" s="110"/>
      <x:c r="M82" s="109"/>
      <x:c r="N82" s="110"/>
      <x:c r="O82" s="109"/>
      <x:c r="P82" s="110"/>
      <x:c r="Q82" s="109"/>
      <x:c r="R82" s="110"/>
      <x:c r="S82" s="109"/>
      <x:c r="T82" s="110"/>
      <x:c r="U82" s="109"/>
      <x:c r="V82" s="110"/>
      <x:c r="W82" s="109"/>
      <x:c r="X82" s="110"/>
      <x:c r="Y82" s="109"/>
      <x:c r="Z82" s="110"/>
      <x:c r="AA82" s="109"/>
      <x:c r="AB82" s="110"/>
      <x:c r="AC82" s="425" t="s">
        <x:v>4</x:v>
      </x:c>
      <x:c r="AD82" s="423"/>
      <x:c r="AE82" s="109"/>
      <x:c r="AF82" s="508"/>
    </x:row>
    <x:row r="83" spans="1:32" s="97" customFormat="1" ht="15.75" x14ac:dyDescent="0.25">
      <x:c r="A83" s="107"/>
      <x:c r="B83" s="255"/>
      <x:c r="C83" s="109"/>
      <x:c r="D83" s="110"/>
      <x:c r="E83" s="109"/>
      <x:c r="F83" s="110"/>
      <x:c r="G83" s="109"/>
      <x:c r="H83" s="110"/>
      <x:c r="I83" s="109"/>
      <x:c r="J83" s="110"/>
      <x:c r="K83" s="109"/>
      <x:c r="L83" s="110"/>
      <x:c r="M83" s="109"/>
      <x:c r="N83" s="110"/>
      <x:c r="O83" s="109"/>
      <x:c r="P83" s="110"/>
      <x:c r="Q83" s="109"/>
      <x:c r="R83" s="110"/>
      <x:c r="S83" s="109"/>
      <x:c r="T83" s="110"/>
      <x:c r="U83" s="109"/>
      <x:c r="V83" s="110"/>
      <x:c r="W83" s="109"/>
      <x:c r="X83" s="110"/>
      <x:c r="Y83" s="109"/>
      <x:c r="Z83" s="110"/>
      <x:c r="AA83" s="109"/>
      <x:c r="AB83" s="110"/>
      <x:c r="AC83" s="426" t="s">
        <x:v>4</x:v>
      </x:c>
      <x:c r="AD83" s="423"/>
      <x:c r="AE83" s="109"/>
      <x:c r="AF83" s="508"/>
    </x:row>
    <x:row r="84" spans="1:32" s="97" customFormat="1" ht="15.75" x14ac:dyDescent="0.25">
      <x:c r="A84" s="107"/>
      <x:c r="B84" s="255"/>
      <x:c r="C84" s="109"/>
      <x:c r="D84" s="110"/>
      <x:c r="E84" s="109"/>
      <x:c r="F84" s="110"/>
      <x:c r="G84" s="109"/>
      <x:c r="H84" s="110"/>
      <x:c r="I84" s="109"/>
      <x:c r="J84" s="110"/>
      <x:c r="K84" s="109"/>
      <x:c r="L84" s="110"/>
      <x:c r="M84" s="109"/>
      <x:c r="N84" s="110"/>
      <x:c r="O84" s="109"/>
      <x:c r="P84" s="110"/>
      <x:c r="Q84" s="109"/>
      <x:c r="R84" s="110"/>
      <x:c r="S84" s="109"/>
      <x:c r="T84" s="110"/>
      <x:c r="U84" s="109"/>
      <x:c r="V84" s="110"/>
      <x:c r="W84" s="109"/>
      <x:c r="X84" s="110"/>
      <x:c r="Y84" s="109"/>
      <x:c r="Z84" s="110"/>
      <x:c r="AA84" s="109"/>
      <x:c r="AB84" s="110"/>
      <x:c r="AC84" s="426" t="s">
        <x:v>4</x:v>
      </x:c>
      <x:c r="AD84" s="423"/>
      <x:c r="AE84" s="109"/>
      <x:c r="AF84" s="508"/>
    </x:row>
    <x:row r="85" spans="1:32" s="97" customFormat="1" ht="15.75" x14ac:dyDescent="0.25">
      <x:c r="A85" s="107"/>
      <x:c r="B85" s="255"/>
      <x:c r="C85" s="109"/>
      <x:c r="D85" s="110"/>
      <x:c r="E85" s="109"/>
      <x:c r="F85" s="110"/>
      <x:c r="G85" s="109"/>
      <x:c r="H85" s="110"/>
      <x:c r="I85" s="109"/>
      <x:c r="J85" s="110"/>
      <x:c r="K85" s="109"/>
      <x:c r="L85" s="110"/>
      <x:c r="M85" s="109"/>
      <x:c r="N85" s="110"/>
      <x:c r="O85" s="109"/>
      <x:c r="P85" s="110"/>
      <x:c r="Q85" s="109"/>
      <x:c r="R85" s="110"/>
      <x:c r="S85" s="109"/>
      <x:c r="T85" s="110"/>
      <x:c r="U85" s="109"/>
      <x:c r="V85" s="110"/>
      <x:c r="W85" s="109"/>
      <x:c r="X85" s="110"/>
      <x:c r="Y85" s="109"/>
      <x:c r="Z85" s="110"/>
      <x:c r="AA85" s="109"/>
      <x:c r="AB85" s="110"/>
      <x:c r="AC85" s="426" t="s">
        <x:v>4</x:v>
      </x:c>
      <x:c r="AD85" s="423"/>
      <x:c r="AE85" s="109"/>
      <x:c r="AF85" s="508"/>
    </x:row>
    <x:row r="86" spans="1:32" s="97" customFormat="1" ht="15.75" x14ac:dyDescent="0.25">
      <x:c r="A86" s="107"/>
      <x:c r="B86" s="255"/>
      <x:c r="C86" s="109"/>
      <x:c r="D86" s="110"/>
      <x:c r="E86" s="109"/>
      <x:c r="F86" s="110"/>
      <x:c r="G86" s="109"/>
      <x:c r="H86" s="110"/>
      <x:c r="I86" s="109"/>
      <x:c r="J86" s="110"/>
      <x:c r="K86" s="109"/>
      <x:c r="L86" s="110"/>
      <x:c r="M86" s="109"/>
      <x:c r="N86" s="110"/>
      <x:c r="O86" s="109"/>
      <x:c r="P86" s="110"/>
      <x:c r="Q86" s="109"/>
      <x:c r="R86" s="110"/>
      <x:c r="S86" s="109"/>
      <x:c r="T86" s="110"/>
      <x:c r="U86" s="109"/>
      <x:c r="V86" s="110"/>
      <x:c r="W86" s="109"/>
      <x:c r="X86" s="110"/>
      <x:c r="Y86" s="109"/>
      <x:c r="Z86" s="110"/>
      <x:c r="AA86" s="109"/>
      <x:c r="AB86" s="110"/>
      <x:c r="AC86" s="426" t="s">
        <x:v>4</x:v>
      </x:c>
      <x:c r="AD86" s="423"/>
      <x:c r="AE86" s="109"/>
      <x:c r="AF86" s="508"/>
    </x:row>
    <x:row r="87" spans="1:32" s="97" customFormat="1" ht="15.75" x14ac:dyDescent="0.25">
      <x:c r="A87" s="107"/>
      <x:c r="B87" s="255"/>
      <x:c r="C87" s="109"/>
      <x:c r="D87" s="110"/>
      <x:c r="E87" s="109"/>
      <x:c r="F87" s="110"/>
      <x:c r="G87" s="109"/>
      <x:c r="H87" s="110"/>
      <x:c r="I87" s="109"/>
      <x:c r="J87" s="110"/>
      <x:c r="K87" s="109"/>
      <x:c r="L87" s="110"/>
      <x:c r="M87" s="109"/>
      <x:c r="N87" s="110"/>
      <x:c r="O87" s="109"/>
      <x:c r="P87" s="110"/>
      <x:c r="Q87" s="109"/>
      <x:c r="R87" s="110"/>
      <x:c r="S87" s="109"/>
      <x:c r="T87" s="110"/>
      <x:c r="U87" s="109"/>
      <x:c r="V87" s="110"/>
      <x:c r="W87" s="109"/>
      <x:c r="X87" s="110"/>
      <x:c r="Y87" s="109"/>
      <x:c r="Z87" s="110"/>
      <x:c r="AA87" s="109"/>
      <x:c r="AB87" s="110"/>
      <x:c r="AC87" s="426" t="s">
        <x:v>4</x:v>
      </x:c>
      <x:c r="AD87" s="423"/>
      <x:c r="AE87" s="109"/>
      <x:c r="AF87" s="508"/>
    </x:row>
    <x:row r="88" spans="1:32" ht="15.75" thickBot="1" x14ac:dyDescent="0.3">
      <x:c r="A88" s="114" t="s">
        <x:v>4</x:v>
      </x:c>
      <x:c r="B88" s="115" t="s">
        <x:v>4</x:v>
      </x:c>
      <x:c r="C88" s="116"/>
      <x:c r="D88" s="117"/>
      <x:c r="E88" s="116" t="s">
        <x:v>4</x:v>
      </x:c>
      <x:c r="F88" s="118" t="s">
        <x:v>4</x:v>
      </x:c>
      <x:c r="G88" s="116" t="s">
        <x:v>4</x:v>
      </x:c>
      <x:c r="H88" s="118" t="s">
        <x:v>4</x:v>
      </x:c>
      <x:c r="I88" s="116" t="s">
        <x:v>4</x:v>
      </x:c>
      <x:c r="J88" s="118" t="s">
        <x:v>4</x:v>
      </x:c>
      <x:c r="K88" s="116" t="s">
        <x:v>4</x:v>
      </x:c>
      <x:c r="L88" s="118" t="s">
        <x:v>4</x:v>
      </x:c>
      <x:c r="M88" s="116" t="s">
        <x:v>4</x:v>
      </x:c>
      <x:c r="N88" s="118" t="s">
        <x:v>4</x:v>
      </x:c>
      <x:c r="O88" s="116" t="s">
        <x:v>4</x:v>
      </x:c>
      <x:c r="P88" s="118" t="s">
        <x:v>4</x:v>
      </x:c>
      <x:c r="Q88" s="116" t="s">
        <x:v>4</x:v>
      </x:c>
      <x:c r="R88" s="118">
        <x:v>0</x:v>
      </x:c>
      <x:c r="S88" s="116"/>
      <x:c r="T88" s="118">
        <x:v>0</x:v>
      </x:c>
      <x:c r="U88" s="116"/>
      <x:c r="V88" s="118">
        <x:v>0</x:v>
      </x:c>
      <x:c r="W88" s="116"/>
      <x:c r="X88" s="118">
        <x:v>0</x:v>
      </x:c>
      <x:c r="Y88" s="116"/>
      <x:c r="Z88" s="118" t="s">
        <x:v>4</x:v>
      </x:c>
      <x:c r="AA88" s="116"/>
      <x:c r="AB88" s="118"/>
      <x:c r="AC88" s="427" t="s">
        <x:v>4</x:v>
      </x:c>
      <x:c r="AD88" s="424"/>
      <x:c r="AE88" s="116"/>
      <x:c r="AF88" s="509"/>
    </x:row>
    <x:row r="89" spans="1:32" ht="15.75" thickTop="1" x14ac:dyDescent="0.25">
      <x:c r="C89" s="120"/>
      <x:c r="D89" s="121"/>
      <x:c r="E89" s="120"/>
      <x:c r="F89" s="121"/>
      <x:c r="G89" s="120"/>
      <x:c r="H89" s="121"/>
      <x:c r="I89" s="120"/>
      <x:c r="J89" s="121"/>
      <x:c r="K89" s="120"/>
      <x:c r="L89" s="121"/>
      <x:c r="M89" s="120"/>
      <x:c r="N89" s="121"/>
      <x:c r="O89" s="120"/>
      <x:c r="P89" s="121"/>
      <x:c r="Q89" s="120"/>
      <x:c r="R89" s="121"/>
      <x:c r="S89" s="120"/>
      <x:c r="T89" s="121"/>
      <x:c r="U89" s="120"/>
      <x:c r="V89" s="121"/>
      <x:c r="W89" s="120"/>
      <x:c r="X89" s="121"/>
      <x:c r="Y89" s="122"/>
      <x:c r="Z89" s="121"/>
      <x:c r="AC89" s="399"/>
      <x:c r="AD89" s="122"/>
      <x:c r="AE89" s="122"/>
      <x:c r="AF89" s="503"/>
    </x:row>
    <x:row r="90" spans="1:32" ht="15.75" thickBot="1" x14ac:dyDescent="0.3">
      <x:c r="AF90" s="503"/>
    </x:row>
    <x:row r="91" spans="1:32" ht="16.5" thickTop="1" thickBot="1" x14ac:dyDescent="0.3">
      <x:c r="A91" s="127"/>
      <x:c r="B91" s="128"/>
      <x:c r="C91" s="129"/>
      <x:c r="D91" s="130"/>
      <x:c r="E91" s="129"/>
      <x:c r="F91" s="130"/>
      <x:c r="G91" s="129"/>
      <x:c r="H91" s="130"/>
      <x:c r="I91" s="129"/>
      <x:c r="J91" s="130"/>
      <x:c r="K91" s="129"/>
      <x:c r="L91" s="131"/>
      <x:c r="M91" s="129"/>
      <x:c r="N91" s="130"/>
      <x:c r="O91" s="129"/>
      <x:c r="P91" s="130"/>
      <x:c r="Q91" s="129"/>
      <x:c r="R91" s="130"/>
      <x:c r="S91" s="129"/>
      <x:c r="T91" s="130"/>
      <x:c r="U91" s="129"/>
      <x:c r="V91" s="130"/>
      <x:c r="W91" s="129"/>
      <x:c r="X91" s="130"/>
      <x:c r="Y91" s="132"/>
      <x:c r="Z91" s="130"/>
      <x:c r="AA91" s="133"/>
      <x:c r="AB91" s="403"/>
      <x:c r="AC91" s="401"/>
      <x:c r="AD91" s="358"/>
      <x:c r="AE91" s="358"/>
      <x:c r="AF91" s="503"/>
    </x:row>
    <x:row r="92" spans="1:32" ht="16.5" thickTop="1" thickBot="1" x14ac:dyDescent="0.3">
      <x:c r="A92" s="134"/>
      <x:c r="B92" s="108" t="s">
        <x:v>165</x:v>
      </x:c>
      <x:c r="C92" s="524">
        <x:v>42370</x:v>
      </x:c>
      <x:c r="D92" s="520"/>
      <x:c r="E92" s="521" t="s">
        <x:v>55</x:v>
      </x:c>
      <x:c r="F92" s="522"/>
      <x:c r="G92" s="519" t="s">
        <x:v>177</x:v>
      </x:c>
      <x:c r="H92" s="520"/>
      <x:c r="I92" s="521" t="s">
        <x:v>46</x:v>
      </x:c>
      <x:c r="J92" s="522"/>
      <x:c r="K92" s="519" t="s">
        <x:v>47</x:v>
      </x:c>
      <x:c r="L92" s="520"/>
      <x:c r="M92" s="521" t="s">
        <x:v>48</x:v>
      </x:c>
      <x:c r="N92" s="522"/>
      <x:c r="O92" s="519" t="s">
        <x:v>49</x:v>
      </x:c>
      <x:c r="P92" s="520"/>
      <x:c r="Q92" s="521" t="s">
        <x:v>50</x:v>
      </x:c>
      <x:c r="R92" s="522"/>
      <x:c r="S92" s="519" t="s">
        <x:v>51</x:v>
      </x:c>
      <x:c r="T92" s="520"/>
      <x:c r="U92" s="521" t="s">
        <x:v>52</x:v>
      </x:c>
      <x:c r="V92" s="522"/>
      <x:c r="W92" s="523" t="s">
        <x:v>53</x:v>
      </x:c>
      <x:c r="X92" s="520"/>
      <x:c r="Y92" s="521" t="s">
        <x:v>54</x:v>
      </x:c>
      <x:c r="Z92" s="522"/>
      <x:c r="AA92" s="534" t="s">
        <x:v>59</x:v>
      </x:c>
      <x:c r="AB92" s="535"/>
      <x:c r="AC92" s="536"/>
      <x:c r="AD92" s="356"/>
      <x:c r="AE92" s="356"/>
      <x:c r="AF92" s="356"/>
    </x:row>
    <x:row r="93" spans="1:32" ht="15.75" thickBot="1" x14ac:dyDescent="0.3">
      <x:c r="A93" s="134"/>
      <x:c r="B93" s="108" t="s">
        <x:v>360</x:v>
      </x:c>
      <x:c r="C93" s="81" t="s">
        <x:v>2</x:v>
      </x:c>
      <x:c r="D93" s="82" t="s">
        <x:v>14</x:v>
      </x:c>
      <x:c r="E93" s="81" t="s">
        <x:v>2</x:v>
      </x:c>
      <x:c r="F93" s="82" t="s">
        <x:v>14</x:v>
      </x:c>
      <x:c r="G93" s="81" t="s">
        <x:v>2</x:v>
      </x:c>
      <x:c r="H93" s="82" t="s">
        <x:v>14</x:v>
      </x:c>
      <x:c r="I93" s="81" t="s">
        <x:v>2</x:v>
      </x:c>
      <x:c r="J93" s="82" t="s">
        <x:v>14</x:v>
      </x:c>
      <x:c r="K93" s="81" t="s">
        <x:v>2</x:v>
      </x:c>
      <x:c r="L93" s="82" t="s">
        <x:v>14</x:v>
      </x:c>
      <x:c r="M93" s="81" t="s">
        <x:v>2</x:v>
      </x:c>
      <x:c r="N93" s="82" t="s">
        <x:v>14</x:v>
      </x:c>
      <x:c r="O93" s="81" t="s">
        <x:v>2</x:v>
      </x:c>
      <x:c r="P93" s="82" t="s">
        <x:v>14</x:v>
      </x:c>
      <x:c r="Q93" s="81" t="s">
        <x:v>2</x:v>
      </x:c>
      <x:c r="R93" s="82" t="s">
        <x:v>14</x:v>
      </x:c>
      <x:c r="S93" s="81" t="s">
        <x:v>2</x:v>
      </x:c>
      <x:c r="T93" s="82" t="s">
        <x:v>14</x:v>
      </x:c>
      <x:c r="U93" s="81" t="s">
        <x:v>2</x:v>
      </x:c>
      <x:c r="V93" s="82" t="s">
        <x:v>14</x:v>
      </x:c>
      <x:c r="W93" s="81" t="s">
        <x:v>2</x:v>
      </x:c>
      <x:c r="X93" s="82" t="s">
        <x:v>14</x:v>
      </x:c>
      <x:c r="Y93" s="81" t="s">
        <x:v>2</x:v>
      </x:c>
      <x:c r="Z93" s="82" t="s">
        <x:v>14</x:v>
      </x:c>
      <x:c r="AA93" s="83" t="s">
        <x:v>2</x:v>
      </x:c>
      <x:c r="AB93" s="363" t="s">
        <x:v>309</x:v>
      </x:c>
      <x:c r="AC93" s="377" t="s">
        <x:v>311</x:v>
      </x:c>
      <x:c r="AD93" s="357"/>
      <x:c r="AE93" s="357"/>
      <x:c r="AF93" s="504"/>
    </x:row>
    <x:row r="94" spans="1:32" x14ac:dyDescent="0.25">
      <x:c r="A94" s="134"/>
      <x:c r="B94" s="135"/>
      <x:c r="C94" s="89"/>
      <x:c r="D94" s="90"/>
      <x:c r="E94" s="89"/>
      <x:c r="F94" s="90"/>
      <x:c r="G94" s="89"/>
      <x:c r="H94" s="90"/>
      <x:c r="I94" s="89"/>
      <x:c r="J94" s="90"/>
      <x:c r="K94" s="89"/>
      <x:c r="L94" s="90"/>
      <x:c r="M94" s="89"/>
      <x:c r="N94" s="90"/>
      <x:c r="O94" s="89"/>
      <x:c r="P94" s="90"/>
      <x:c r="Q94" s="89"/>
      <x:c r="R94" s="90"/>
      <x:c r="S94" s="89"/>
      <x:c r="T94" s="90"/>
      <x:c r="U94" s="89"/>
      <x:c r="V94" s="90"/>
      <x:c r="W94" s="89"/>
      <x:c r="X94" s="90"/>
      <x:c r="Y94" s="89"/>
      <x:c r="Z94" s="90"/>
      <x:c r="AA94" s="91">
        <x:f t="shared" ref="AA94:AB114" si="24">C94+E94+G94+I94+K94+M94+O94+Q94+S94+U94+W94+Y94</x:f>
        <x:v>0</x:v>
      </x:c>
      <x:c r="AB94" s="390">
        <x:f t="shared" si="24"/>
        <x:v>0</x:v>
      </x:c>
      <x:c r="AC94" s="404">
        <x:f t="shared" ref="AC94:AC123" si="25">D94+F94+H94+J94+L94+N94+P94</x:f>
        <x:v>0</x:v>
      </x:c>
      <x:c r="AD94" s="135"/>
      <x:c r="AE94" s="135"/>
      <x:c r="AF94" s="503"/>
    </x:row>
    <x:row r="95" spans="1:32" x14ac:dyDescent="0.25">
      <x:c r="A95" s="136"/>
      <x:c r="B95" s="135"/>
      <x:c r="C95" s="89"/>
      <x:c r="D95" s="90"/>
      <x:c r="E95" s="89"/>
      <x:c r="F95" s="90"/>
      <x:c r="G95" s="89"/>
      <x:c r="H95" s="90"/>
      <x:c r="I95" s="89"/>
      <x:c r="J95" s="90"/>
      <x:c r="K95" s="89"/>
      <x:c r="L95" s="90"/>
      <x:c r="M95" s="89"/>
      <x:c r="N95" s="90"/>
      <x:c r="O95" s="89"/>
      <x:c r="P95" s="90"/>
      <x:c r="Q95" s="89"/>
      <x:c r="R95" s="90"/>
      <x:c r="S95" s="89"/>
      <x:c r="T95" s="90"/>
      <x:c r="U95" s="89"/>
      <x:c r="V95" s="90"/>
      <x:c r="W95" s="89"/>
      <x:c r="X95" s="90"/>
      <x:c r="Y95" s="89"/>
      <x:c r="Z95" s="90"/>
      <x:c r="AA95" s="91">
        <x:f t="shared" si="24"/>
        <x:v>0</x:v>
      </x:c>
      <x:c r="AB95" s="391">
        <x:f t="shared" si="24"/>
        <x:v>0</x:v>
      </x:c>
      <x:c r="AC95" s="404">
        <x:f t="shared" si="25"/>
        <x:v>0</x:v>
      </x:c>
      <x:c r="AD95" s="358"/>
      <x:c r="AE95" s="358"/>
      <x:c r="AF95" s="503"/>
    </x:row>
    <x:row r="96" spans="1:32" x14ac:dyDescent="0.25">
      <x:c r="A96" s="134">
        <x:v>5</x:v>
      </x:c>
      <x:c r="B96" s="135" t="s">
        <x:v>441</x:v>
      </x:c>
      <x:c r="C96" s="89"/>
      <x:c r="D96" s="90"/>
      <x:c r="E96" s="89"/>
      <x:c r="F96" s="90"/>
      <x:c r="G96" s="89"/>
      <x:c r="H96" s="90"/>
      <x:c r="I96" s="89"/>
      <x:c r="J96" s="90"/>
      <x:c r="K96" s="89"/>
      <x:c r="L96" s="90"/>
      <x:c r="M96" s="89"/>
      <x:c r="N96" s="90"/>
      <x:c r="O96" s="89"/>
      <x:c r="P96" s="90"/>
      <x:c r="Q96" s="89"/>
      <x:c r="R96" s="90"/>
      <x:c r="S96" s="89"/>
      <x:c r="T96" s="90"/>
      <x:c r="U96" s="89"/>
      <x:c r="V96" s="90"/>
      <x:c r="W96" s="89"/>
      <x:c r="X96" s="90"/>
      <x:c r="Y96" s="89"/>
      <x:c r="Z96" s="90"/>
      <x:c r="AA96" s="91">
        <x:f t="shared" si="24"/>
        <x:v>0</x:v>
      </x:c>
      <x:c r="AB96" s="391">
        <x:f t="shared" si="24"/>
        <x:v>0</x:v>
      </x:c>
      <x:c r="AC96" s="404">
        <x:f t="shared" si="25"/>
        <x:v>0</x:v>
      </x:c>
      <x:c r="AD96" s="358"/>
      <x:c r="AE96" s="358"/>
      <x:c r="AF96" s="503"/>
    </x:row>
    <x:row r="97" spans="1:32" x14ac:dyDescent="0.25">
      <x:c r="A97" s="134">
        <x:v>13</x:v>
      </x:c>
      <x:c r="B97" s="135" t="s">
        <x:v>443</x:v>
      </x:c>
      <x:c r="C97" s="89"/>
      <x:c r="D97" s="90"/>
      <x:c r="E97" s="89"/>
      <x:c r="F97" s="90"/>
      <x:c r="G97" s="89"/>
      <x:c r="H97" s="90"/>
      <x:c r="I97" s="89"/>
      <x:c r="J97" s="90"/>
      <x:c r="K97" s="89"/>
      <x:c r="L97" s="90"/>
      <x:c r="M97" s="89"/>
      <x:c r="N97" s="90"/>
      <x:c r="O97" s="89"/>
      <x:c r="P97" s="90"/>
      <x:c r="Q97" s="89"/>
      <x:c r="R97" s="90"/>
      <x:c r="S97" s="89"/>
      <x:c r="T97" s="90"/>
      <x:c r="U97" s="89"/>
      <x:c r="V97" s="90"/>
      <x:c r="W97" s="89"/>
      <x:c r="X97" s="90"/>
      <x:c r="Y97" s="89"/>
      <x:c r="Z97" s="90"/>
      <x:c r="AA97" s="91">
        <x:f t="shared" si="24"/>
        <x:v>0</x:v>
      </x:c>
      <x:c r="AB97" s="391">
        <x:f t="shared" si="24"/>
        <x:v>0</x:v>
      </x:c>
      <x:c r="AC97" s="404">
        <x:f t="shared" si="25"/>
        <x:v>0</x:v>
      </x:c>
      <x:c r="AD97" s="358"/>
      <x:c r="AE97" s="358"/>
      <x:c r="AF97" s="503"/>
    </x:row>
    <x:row r="98" spans="1:32" x14ac:dyDescent="0.25">
      <x:c r="A98" s="134">
        <x:v>7</x:v>
      </x:c>
      <x:c r="B98" s="135" t="s">
        <x:v>444</x:v>
      </x:c>
      <x:c r="C98" s="89"/>
      <x:c r="D98" s="90"/>
      <x:c r="E98" s="89"/>
      <x:c r="F98" s="90"/>
      <x:c r="G98" s="89"/>
      <x:c r="H98" s="90"/>
      <x:c r="I98" s="89"/>
      <x:c r="J98" s="90"/>
      <x:c r="K98" s="89"/>
      <x:c r="L98" s="90"/>
      <x:c r="M98" s="89"/>
      <x:c r="N98" s="90"/>
      <x:c r="O98" s="89"/>
      <x:c r="P98" s="90"/>
      <x:c r="Q98" s="89"/>
      <x:c r="R98" s="90"/>
      <x:c r="S98" s="89"/>
      <x:c r="T98" s="90"/>
      <x:c r="U98" s="89"/>
      <x:c r="V98" s="90"/>
      <x:c r="W98" s="89"/>
      <x:c r="X98" s="90"/>
      <x:c r="Y98" s="89"/>
      <x:c r="Z98" s="90"/>
      <x:c r="AA98" s="91">
        <x:f t="shared" si="24"/>
        <x:v>0</x:v>
      </x:c>
      <x:c r="AB98" s="391">
        <x:f t="shared" si="24"/>
        <x:v>0</x:v>
      </x:c>
      <x:c r="AC98" s="404">
        <x:f t="shared" si="25"/>
        <x:v>0</x:v>
      </x:c>
      <x:c r="AD98" s="135"/>
      <x:c r="AE98" s="135"/>
      <x:c r="AF98" s="503"/>
    </x:row>
    <x:row r="99" spans="1:32" x14ac:dyDescent="0.25">
      <x:c r="A99" s="134">
        <x:v>8</x:v>
      </x:c>
      <x:c r="B99" s="135" t="s">
        <x:v>445</x:v>
      </x:c>
      <x:c r="C99" s="89">
        <x:f>13891+15451</x:f>
        <x:v>29342</x:v>
      </x:c>
      <x:c r="D99" s="90">
        <x:v>29342</x:v>
      </x:c>
      <x:c r="E99" s="89"/>
      <x:c r="F99" s="90"/>
      <x:c r="G99" s="89">
        <x:v>9845</x:v>
      </x:c>
      <x:c r="H99" s="90">
        <x:v>9845</x:v>
      </x:c>
      <x:c r="I99" s="89"/>
      <x:c r="J99" s="90">
        <x:v>0</x:v>
      </x:c>
      <x:c r="K99" s="89"/>
      <x:c r="L99" s="90">
        <x:v>0</x:v>
      </x:c>
      <x:c r="M99" s="89"/>
      <x:c r="N99" s="90">
        <x:v>0</x:v>
      </x:c>
      <x:c r="O99" s="89"/>
      <x:c r="P99" s="90">
        <x:v>13000</x:v>
      </x:c>
      <x:c r="Q99" s="89"/>
      <x:c r="R99" s="90">
        <x:v>13000</x:v>
      </x:c>
      <x:c r="S99" s="89"/>
      <x:c r="T99" s="90">
        <x:v>13000</x:v>
      </x:c>
      <x:c r="U99" s="89"/>
      <x:c r="V99" s="90">
        <x:v>13000</x:v>
      </x:c>
      <x:c r="W99" s="89"/>
      <x:c r="X99" s="90">
        <x:v>13000</x:v>
      </x:c>
      <x:c r="Y99" s="89"/>
      <x:c r="Z99" s="90"/>
      <x:c r="AA99" s="91">
        <x:f t="shared" si="24"/>
        <x:v>39187</x:v>
      </x:c>
      <x:c r="AB99" s="391">
        <x:f t="shared" si="24"/>
        <x:v>104187</x:v>
      </x:c>
      <x:c r="AC99" s="404">
        <x:f t="shared" si="25"/>
        <x:v>52187</x:v>
      </x:c>
      <x:c r="AD99" s="135"/>
      <x:c r="AE99" s="135"/>
      <x:c r="AF99" s="503"/>
    </x:row>
    <x:row r="100" spans="1:32" x14ac:dyDescent="0.25">
      <x:c r="A100" s="134">
        <x:v>5</x:v>
      </x:c>
      <x:c r="B100" s="135" t="s">
        <x:v>442</x:v>
      </x:c>
      <x:c r="C100" s="89"/>
      <x:c r="D100" s="90">
        <x:v>0</x:v>
      </x:c>
      <x:c r="E100" s="89"/>
      <x:c r="F100" s="90"/>
      <x:c r="G100" s="89"/>
      <x:c r="H100" s="90">
        <x:v>0</x:v>
      </x:c>
      <x:c r="I100" s="89"/>
      <x:c r="J100" s="90"/>
      <x:c r="K100" s="89">
        <x:v>14800</x:v>
      </x:c>
      <x:c r="L100" s="90">
        <x:v>13000</x:v>
      </x:c>
      <x:c r="M100" s="89">
        <x:v>14800</x:v>
      </x:c>
      <x:c r="N100" s="90">
        <x:v>0</x:v>
      </x:c>
      <x:c r="O100" s="89"/>
      <x:c r="P100" s="90">
        <x:v>13000</x:v>
      </x:c>
      <x:c r="Q100" s="89"/>
      <x:c r="R100" s="90">
        <x:v>13000</x:v>
      </x:c>
      <x:c r="S100" s="89"/>
      <x:c r="T100" s="90">
        <x:v>13000</x:v>
      </x:c>
      <x:c r="U100" s="89"/>
      <x:c r="V100" s="90">
        <x:v>13000</x:v>
      </x:c>
      <x:c r="W100" s="89"/>
      <x:c r="X100" s="90">
        <x:v>13000</x:v>
      </x:c>
      <x:c r="Y100" s="89"/>
      <x:c r="Z100" s="90"/>
      <x:c r="AA100" s="91">
        <x:f t="shared" si="24"/>
        <x:v>29600</x:v>
      </x:c>
      <x:c r="AB100" s="391">
        <x:f t="shared" si="24"/>
        <x:v>78000</x:v>
      </x:c>
      <x:c r="AC100" s="404">
        <x:f t="shared" si="25"/>
        <x:v>26000</x:v>
      </x:c>
      <x:c r="AD100" s="135"/>
      <x:c r="AE100" s="135"/>
      <x:c r="AF100" s="503"/>
    </x:row>
    <x:row r="101" spans="1:32" x14ac:dyDescent="0.25">
      <x:c r="A101" s="134">
        <x:v>10</x:v>
      </x:c>
      <x:c r="B101" s="135" t="s">
        <x:v>439</x:v>
      </x:c>
      <x:c r="C101" s="89"/>
      <x:c r="D101" s="90"/>
      <x:c r="E101" s="89"/>
      <x:c r="F101" s="90">
        <x:v>0</x:v>
      </x:c>
      <x:c r="G101" s="89"/>
      <x:c r="H101" s="90">
        <x:v>0</x:v>
      </x:c>
      <x:c r="I101" s="89"/>
      <x:c r="J101" s="90">
        <x:v>0</x:v>
      </x:c>
      <x:c r="K101" s="89"/>
      <x:c r="L101" s="90">
        <x:v>0</x:v>
      </x:c>
      <x:c r="M101" s="89"/>
      <x:c r="N101" s="90">
        <x:v>0</x:v>
      </x:c>
      <x:c r="O101" s="89"/>
      <x:c r="P101" s="90">
        <x:v>0</x:v>
      </x:c>
      <x:c r="Q101" s="89"/>
      <x:c r="R101" s="90">
        <x:v>0</x:v>
      </x:c>
      <x:c r="S101" s="89"/>
      <x:c r="T101" s="90">
        <x:v>0</x:v>
      </x:c>
      <x:c r="U101" s="89"/>
      <x:c r="V101" s="90">
        <x:v>0</x:v>
      </x:c>
      <x:c r="W101" s="89"/>
      <x:c r="X101" s="90">
        <x:v>0</x:v>
      </x:c>
      <x:c r="Y101" s="89"/>
      <x:c r="Z101" s="90"/>
      <x:c r="AA101" s="91">
        <x:f t="shared" si="24"/>
        <x:v>0</x:v>
      </x:c>
      <x:c r="AB101" s="391">
        <x:f t="shared" si="24"/>
        <x:v>0</x:v>
      </x:c>
      <x:c r="AC101" s="404">
        <x:f t="shared" si="25"/>
        <x:v>0</x:v>
      </x:c>
      <x:c r="AD101" s="135"/>
      <x:c r="AE101" s="135"/>
      <x:c r="AF101" s="503"/>
    </x:row>
    <x:row r="102" spans="1:32" x14ac:dyDescent="0.25">
      <x:c r="A102" s="134">
        <x:v>3</x:v>
      </x:c>
      <x:c r="B102" s="135" t="s">
        <x:v>440</x:v>
      </x:c>
      <x:c r="C102" s="89"/>
      <x:c r="D102" s="90"/>
      <x:c r="E102" s="89"/>
      <x:c r="F102" s="90"/>
      <x:c r="G102" s="89"/>
      <x:c r="H102" s="90"/>
      <x:c r="I102" s="89"/>
      <x:c r="J102" s="90"/>
      <x:c r="K102" s="89"/>
      <x:c r="L102" s="90">
        <x:v>0</x:v>
      </x:c>
      <x:c r="M102" s="89"/>
      <x:c r="N102" s="90"/>
      <x:c r="O102" s="89"/>
      <x:c r="P102" s="90"/>
      <x:c r="Q102" s="89"/>
      <x:c r="R102" s="90">
        <x:v>0</x:v>
      </x:c>
      <x:c r="S102" s="89"/>
      <x:c r="T102" s="90"/>
      <x:c r="U102" s="89"/>
      <x:c r="V102" s="90"/>
      <x:c r="W102" s="89"/>
      <x:c r="X102" s="90">
        <x:v>0</x:v>
      </x:c>
      <x:c r="Y102" s="89"/>
      <x:c r="Z102" s="90"/>
      <x:c r="AA102" s="91">
        <x:f t="shared" si="24"/>
        <x:v>0</x:v>
      </x:c>
      <x:c r="AB102" s="391">
        <x:f t="shared" si="24"/>
        <x:v>0</x:v>
      </x:c>
      <x:c r="AC102" s="404">
        <x:f t="shared" si="25"/>
        <x:v>0</x:v>
      </x:c>
      <x:c r="AD102" s="135"/>
      <x:c r="AE102" s="135"/>
      <x:c r="AF102" s="503"/>
    </x:row>
    <x:row r="103" spans="1:32" x14ac:dyDescent="0.25">
      <x:c r="A103" s="134"/>
      <x:c r="B103" s="135"/>
      <x:c r="C103" s="89"/>
      <x:c r="D103" s="90"/>
      <x:c r="E103" s="89"/>
      <x:c r="F103" s="90"/>
      <x:c r="G103" s="89"/>
      <x:c r="H103" s="90"/>
      <x:c r="I103" s="89"/>
      <x:c r="J103" s="90"/>
      <x:c r="K103" s="89"/>
      <x:c r="L103" s="90"/>
      <x:c r="M103" s="89"/>
      <x:c r="N103" s="90"/>
      <x:c r="O103" s="89"/>
      <x:c r="P103" s="90"/>
      <x:c r="Q103" s="89"/>
      <x:c r="R103" s="90"/>
      <x:c r="S103" s="89"/>
      <x:c r="T103" s="90"/>
      <x:c r="U103" s="89"/>
      <x:c r="V103" s="90"/>
      <x:c r="W103" s="89"/>
      <x:c r="X103" s="90"/>
      <x:c r="Y103" s="89"/>
      <x:c r="Z103" s="90"/>
      <x:c r="AA103" s="91">
        <x:f t="shared" si="24"/>
        <x:v>0</x:v>
      </x:c>
      <x:c r="AB103" s="391">
        <x:f t="shared" si="24"/>
        <x:v>0</x:v>
      </x:c>
      <x:c r="AC103" s="404">
        <x:f t="shared" si="25"/>
        <x:v>0</x:v>
      </x:c>
      <x:c r="AD103" s="358"/>
      <x:c r="AE103" s="358"/>
      <x:c r="AF103" s="503"/>
    </x:row>
    <x:row r="104" spans="1:32" x14ac:dyDescent="0.25">
      <x:c r="A104" s="134"/>
      <x:c r="B104" s="135"/>
      <x:c r="C104" s="89"/>
      <x:c r="D104" s="90"/>
      <x:c r="E104" s="89"/>
      <x:c r="F104" s="90"/>
      <x:c r="G104" s="89"/>
      <x:c r="H104" s="90"/>
      <x:c r="I104" s="89"/>
      <x:c r="J104" s="90"/>
      <x:c r="K104" s="89"/>
      <x:c r="L104" s="90"/>
      <x:c r="M104" s="89"/>
      <x:c r="N104" s="90"/>
      <x:c r="O104" s="89"/>
      <x:c r="P104" s="90"/>
      <x:c r="Q104" s="89"/>
      <x:c r="R104" s="90"/>
      <x:c r="S104" s="89"/>
      <x:c r="T104" s="90"/>
      <x:c r="U104" s="89"/>
      <x:c r="V104" s="90"/>
      <x:c r="W104" s="89"/>
      <x:c r="X104" s="90"/>
      <x:c r="Y104" s="89"/>
      <x:c r="Z104" s="90"/>
      <x:c r="AA104" s="91">
        <x:f t="shared" si="24"/>
        <x:v>0</x:v>
      </x:c>
      <x:c r="AB104" s="391">
        <x:f t="shared" si="24"/>
        <x:v>0</x:v>
      </x:c>
      <x:c r="AC104" s="404">
        <x:f t="shared" si="25"/>
        <x:v>0</x:v>
      </x:c>
      <x:c r="AD104" s="135"/>
      <x:c r="AE104" s="135"/>
      <x:c r="AF104" s="503"/>
    </x:row>
    <x:row r="105" spans="1:32" x14ac:dyDescent="0.25">
      <x:c r="A105" s="134"/>
      <x:c r="B105" s="135"/>
      <x:c r="C105" s="89"/>
      <x:c r="D105" s="90"/>
      <x:c r="E105" s="89"/>
      <x:c r="F105" s="90"/>
      <x:c r="G105" s="89"/>
      <x:c r="H105" s="90"/>
      <x:c r="I105" s="89"/>
      <x:c r="J105" s="90"/>
      <x:c r="K105" s="89"/>
      <x:c r="L105" s="90"/>
      <x:c r="M105" s="89"/>
      <x:c r="N105" s="90"/>
      <x:c r="O105" s="89"/>
      <x:c r="P105" s="90"/>
      <x:c r="Q105" s="89"/>
      <x:c r="R105" s="90"/>
      <x:c r="S105" s="89"/>
      <x:c r="T105" s="90"/>
      <x:c r="U105" s="89"/>
      <x:c r="V105" s="90"/>
      <x:c r="W105" s="89"/>
      <x:c r="X105" s="90"/>
      <x:c r="Y105" s="89"/>
      <x:c r="Z105" s="90"/>
      <x:c r="AA105" s="91">
        <x:f t="shared" si="24"/>
        <x:v>0</x:v>
      </x:c>
      <x:c r="AB105" s="391">
        <x:f t="shared" si="24"/>
        <x:v>0</x:v>
      </x:c>
      <x:c r="AC105" s="404">
        <x:f t="shared" si="25"/>
        <x:v>0</x:v>
      </x:c>
      <x:c r="AD105" s="135"/>
      <x:c r="AE105" s="135"/>
      <x:c r="AF105" s="503"/>
    </x:row>
    <x:row r="106" spans="1:32" x14ac:dyDescent="0.25">
      <x:c r="A106" s="134"/>
      <x:c r="B106" s="135"/>
      <x:c r="C106" s="89"/>
      <x:c r="D106" s="90"/>
      <x:c r="E106" s="89"/>
      <x:c r="F106" s="90"/>
      <x:c r="G106" s="89"/>
      <x:c r="H106" s="90"/>
      <x:c r="I106" s="89"/>
      <x:c r="J106" s="90"/>
      <x:c r="K106" s="89"/>
      <x:c r="L106" s="90"/>
      <x:c r="M106" s="89"/>
      <x:c r="N106" s="90"/>
      <x:c r="O106" s="89"/>
      <x:c r="P106" s="90"/>
      <x:c r="Q106" s="89"/>
      <x:c r="R106" s="90"/>
      <x:c r="S106" s="89"/>
      <x:c r="T106" s="90"/>
      <x:c r="U106" s="89"/>
      <x:c r="V106" s="90"/>
      <x:c r="W106" s="89"/>
      <x:c r="X106" s="90"/>
      <x:c r="Y106" s="89"/>
      <x:c r="Z106" s="90"/>
      <x:c r="AA106" s="91">
        <x:f t="shared" si="24"/>
        <x:v>0</x:v>
      </x:c>
      <x:c r="AB106" s="391">
        <x:f t="shared" si="24"/>
        <x:v>0</x:v>
      </x:c>
      <x:c r="AC106" s="404">
        <x:f t="shared" si="25"/>
        <x:v>0</x:v>
      </x:c>
      <x:c r="AD106" s="135"/>
      <x:c r="AE106" s="135"/>
      <x:c r="AF106" s="503"/>
    </x:row>
    <x:row r="107" spans="1:32" x14ac:dyDescent="0.25">
      <x:c r="A107" s="134"/>
      <x:c r="B107" s="135"/>
      <x:c r="C107" s="89"/>
      <x:c r="D107" s="90"/>
      <x:c r="E107" s="89"/>
      <x:c r="F107" s="90"/>
      <x:c r="G107" s="89"/>
      <x:c r="H107" s="90"/>
      <x:c r="I107" s="89"/>
      <x:c r="J107" s="90"/>
      <x:c r="K107" s="89"/>
      <x:c r="L107" s="90"/>
      <x:c r="M107" s="89"/>
      <x:c r="N107" s="90"/>
      <x:c r="O107" s="89"/>
      <x:c r="P107" s="90"/>
      <x:c r="Q107" s="89"/>
      <x:c r="R107" s="90"/>
      <x:c r="S107" s="89"/>
      <x:c r="T107" s="90"/>
      <x:c r="U107" s="89"/>
      <x:c r="V107" s="90"/>
      <x:c r="W107" s="89"/>
      <x:c r="X107" s="90"/>
      <x:c r="Y107" s="89"/>
      <x:c r="Z107" s="90"/>
      <x:c r="AA107" s="91">
        <x:f t="shared" si="24"/>
        <x:v>0</x:v>
      </x:c>
      <x:c r="AB107" s="391">
        <x:f t="shared" si="24"/>
        <x:v>0</x:v>
      </x:c>
      <x:c r="AC107" s="404">
        <x:f t="shared" si="25"/>
        <x:v>0</x:v>
      </x:c>
      <x:c r="AD107" s="135"/>
      <x:c r="AE107" s="135"/>
      <x:c r="AF107" s="503"/>
    </x:row>
    <x:row r="108" spans="1:32" x14ac:dyDescent="0.25">
      <x:c r="A108" s="134"/>
      <x:c r="B108" s="135"/>
      <x:c r="C108" s="89"/>
      <x:c r="D108" s="90"/>
      <x:c r="E108" s="89"/>
      <x:c r="F108" s="90"/>
      <x:c r="G108" s="89"/>
      <x:c r="H108" s="90"/>
      <x:c r="I108" s="89"/>
      <x:c r="J108" s="90"/>
      <x:c r="K108" s="89"/>
      <x:c r="L108" s="90"/>
      <x:c r="M108" s="89"/>
      <x:c r="N108" s="90"/>
      <x:c r="O108" s="89"/>
      <x:c r="P108" s="90"/>
      <x:c r="Q108" s="89"/>
      <x:c r="R108" s="90"/>
      <x:c r="S108" s="89"/>
      <x:c r="T108" s="90"/>
      <x:c r="U108" s="89"/>
      <x:c r="V108" s="90"/>
      <x:c r="W108" s="89"/>
      <x:c r="X108" s="90"/>
      <x:c r="Y108" s="89"/>
      <x:c r="Z108" s="90"/>
      <x:c r="AA108" s="91">
        <x:f t="shared" si="24"/>
        <x:v>0</x:v>
      </x:c>
      <x:c r="AB108" s="391">
        <x:f t="shared" si="24"/>
        <x:v>0</x:v>
      </x:c>
      <x:c r="AC108" s="404">
        <x:f t="shared" si="25"/>
        <x:v>0</x:v>
      </x:c>
      <x:c r="AD108" s="135"/>
      <x:c r="AE108" s="135"/>
      <x:c r="AF108" s="503"/>
    </x:row>
    <x:row r="109" spans="1:32" x14ac:dyDescent="0.25">
      <x:c r="A109" s="134"/>
      <x:c r="B109" s="135"/>
      <x:c r="C109" s="89"/>
      <x:c r="D109" s="90"/>
      <x:c r="E109" s="89"/>
      <x:c r="F109" s="90"/>
      <x:c r="G109" s="89"/>
      <x:c r="H109" s="90"/>
      <x:c r="I109" s="89"/>
      <x:c r="J109" s="90"/>
      <x:c r="K109" s="89"/>
      <x:c r="L109" s="90"/>
      <x:c r="M109" s="89"/>
      <x:c r="N109" s="90"/>
      <x:c r="O109" s="89"/>
      <x:c r="P109" s="90"/>
      <x:c r="Q109" s="89"/>
      <x:c r="R109" s="90"/>
      <x:c r="S109" s="89"/>
      <x:c r="T109" s="90"/>
      <x:c r="U109" s="89"/>
      <x:c r="V109" s="90"/>
      <x:c r="W109" s="89"/>
      <x:c r="X109" s="90"/>
      <x:c r="Y109" s="89"/>
      <x:c r="Z109" s="90"/>
      <x:c r="AA109" s="91">
        <x:f t="shared" si="24"/>
        <x:v>0</x:v>
      </x:c>
      <x:c r="AB109" s="391">
        <x:f t="shared" si="24"/>
        <x:v>0</x:v>
      </x:c>
      <x:c r="AC109" s="404">
        <x:f t="shared" si="25"/>
        <x:v>0</x:v>
      </x:c>
      <x:c r="AD109" s="135"/>
      <x:c r="AE109" s="135"/>
      <x:c r="AF109" s="503"/>
    </x:row>
    <x:row r="110" spans="1:32" x14ac:dyDescent="0.25">
      <x:c r="A110" s="134"/>
      <x:c r="B110" s="135"/>
      <x:c r="C110" s="89"/>
      <x:c r="D110" s="90"/>
      <x:c r="E110" s="89"/>
      <x:c r="F110" s="90"/>
      <x:c r="G110" s="89"/>
      <x:c r="H110" s="90"/>
      <x:c r="I110" s="89"/>
      <x:c r="J110" s="90"/>
      <x:c r="K110" s="89"/>
      <x:c r="L110" s="90"/>
      <x:c r="M110" s="89"/>
      <x:c r="N110" s="90"/>
      <x:c r="O110" s="89"/>
      <x:c r="P110" s="90"/>
      <x:c r="Q110" s="89"/>
      <x:c r="R110" s="90"/>
      <x:c r="S110" s="89"/>
      <x:c r="T110" s="90"/>
      <x:c r="U110" s="89"/>
      <x:c r="V110" s="90"/>
      <x:c r="W110" s="89"/>
      <x:c r="X110" s="90"/>
      <x:c r="Y110" s="89"/>
      <x:c r="Z110" s="90"/>
      <x:c r="AA110" s="91">
        <x:f t="shared" si="24"/>
        <x:v>0</x:v>
      </x:c>
      <x:c r="AB110" s="391">
        <x:f t="shared" si="24"/>
        <x:v>0</x:v>
      </x:c>
      <x:c r="AC110" s="404">
        <x:f t="shared" si="25"/>
        <x:v>0</x:v>
      </x:c>
      <x:c r="AD110" s="135"/>
      <x:c r="AE110" s="135"/>
      <x:c r="AF110" s="503"/>
    </x:row>
    <x:row r="111" spans="1:32" x14ac:dyDescent="0.25">
      <x:c r="A111" s="134"/>
      <x:c r="B111" s="135"/>
      <x:c r="C111" s="89"/>
      <x:c r="D111" s="90"/>
      <x:c r="E111" s="89"/>
      <x:c r="F111" s="90"/>
      <x:c r="G111" s="89"/>
      <x:c r="H111" s="90"/>
      <x:c r="I111" s="89"/>
      <x:c r="J111" s="90"/>
      <x:c r="K111" s="89"/>
      <x:c r="L111" s="90"/>
      <x:c r="M111" s="89"/>
      <x:c r="N111" s="90"/>
      <x:c r="O111" s="89"/>
      <x:c r="P111" s="90"/>
      <x:c r="Q111" s="89"/>
      <x:c r="R111" s="90"/>
      <x:c r="S111" s="89"/>
      <x:c r="T111" s="90"/>
      <x:c r="U111" s="89"/>
      <x:c r="V111" s="90"/>
      <x:c r="W111" s="89"/>
      <x:c r="X111" s="90"/>
      <x:c r="Y111" s="89"/>
      <x:c r="Z111" s="90"/>
      <x:c r="AA111" s="91">
        <x:f t="shared" si="24"/>
        <x:v>0</x:v>
      </x:c>
      <x:c r="AB111" s="391">
        <x:f t="shared" si="24"/>
        <x:v>0</x:v>
      </x:c>
      <x:c r="AC111" s="404">
        <x:f t="shared" si="25"/>
        <x:v>0</x:v>
      </x:c>
      <x:c r="AD111" s="135"/>
      <x:c r="AE111" s="135"/>
      <x:c r="AF111" s="503"/>
    </x:row>
    <x:row r="112" spans="1:32" x14ac:dyDescent="0.25">
      <x:c r="A112" s="134"/>
      <x:c r="B112" s="135"/>
      <x:c r="C112" s="89"/>
      <x:c r="D112" s="90"/>
      <x:c r="E112" s="89"/>
      <x:c r="F112" s="90"/>
      <x:c r="G112" s="89"/>
      <x:c r="H112" s="90"/>
      <x:c r="I112" s="89"/>
      <x:c r="J112" s="90"/>
      <x:c r="K112" s="89"/>
      <x:c r="L112" s="90"/>
      <x:c r="M112" s="89"/>
      <x:c r="N112" s="90"/>
      <x:c r="O112" s="89"/>
      <x:c r="P112" s="90"/>
      <x:c r="Q112" s="89"/>
      <x:c r="R112" s="90"/>
      <x:c r="S112" s="89"/>
      <x:c r="T112" s="90"/>
      <x:c r="U112" s="89"/>
      <x:c r="V112" s="90"/>
      <x:c r="W112" s="89"/>
      <x:c r="X112" s="90"/>
      <x:c r="Y112" s="89"/>
      <x:c r="Z112" s="90"/>
      <x:c r="AA112" s="91">
        <x:f t="shared" si="24"/>
        <x:v>0</x:v>
      </x:c>
      <x:c r="AB112" s="391">
        <x:f t="shared" si="24"/>
        <x:v>0</x:v>
      </x:c>
      <x:c r="AC112" s="404">
        <x:f t="shared" si="25"/>
        <x:v>0</x:v>
      </x:c>
      <x:c r="AD112" s="135"/>
      <x:c r="AE112" s="135"/>
      <x:c r="AF112" s="503"/>
    </x:row>
    <x:row r="113" spans="1:32" x14ac:dyDescent="0.25">
      <x:c r="A113" s="134"/>
      <x:c r="B113" s="135"/>
      <x:c r="C113" s="89"/>
      <x:c r="D113" s="90"/>
      <x:c r="E113" s="89"/>
      <x:c r="F113" s="90"/>
      <x:c r="G113" s="89"/>
      <x:c r="H113" s="90"/>
      <x:c r="I113" s="89"/>
      <x:c r="J113" s="90"/>
      <x:c r="K113" s="89"/>
      <x:c r="L113" s="90"/>
      <x:c r="M113" s="89"/>
      <x:c r="N113" s="90"/>
      <x:c r="O113" s="89"/>
      <x:c r="P113" s="90"/>
      <x:c r="Q113" s="89"/>
      <x:c r="R113" s="90"/>
      <x:c r="S113" s="89"/>
      <x:c r="T113" s="90"/>
      <x:c r="U113" s="89"/>
      <x:c r="V113" s="90"/>
      <x:c r="W113" s="89"/>
      <x:c r="X113" s="90"/>
      <x:c r="Y113" s="89"/>
      <x:c r="Z113" s="90"/>
      <x:c r="AA113" s="91">
        <x:f t="shared" si="24"/>
        <x:v>0</x:v>
      </x:c>
      <x:c r="AB113" s="391">
        <x:f t="shared" si="24"/>
        <x:v>0</x:v>
      </x:c>
      <x:c r="AC113" s="404">
        <x:f t="shared" si="25"/>
        <x:v>0</x:v>
      </x:c>
      <x:c r="AD113" s="135"/>
      <x:c r="AE113" s="135"/>
      <x:c r="AF113" s="503"/>
    </x:row>
    <x:row r="114" spans="1:32" x14ac:dyDescent="0.25">
      <x:c r="A114" s="134"/>
      <x:c r="B114" s="135"/>
      <x:c r="C114" s="89"/>
      <x:c r="D114" s="90"/>
      <x:c r="E114" s="89"/>
      <x:c r="F114" s="90"/>
      <x:c r="G114" s="89"/>
      <x:c r="H114" s="90"/>
      <x:c r="I114" s="89"/>
      <x:c r="J114" s="90"/>
      <x:c r="K114" s="89"/>
      <x:c r="L114" s="90"/>
      <x:c r="M114" s="89"/>
      <x:c r="N114" s="90"/>
      <x:c r="O114" s="89"/>
      <x:c r="P114" s="90"/>
      <x:c r="Q114" s="89"/>
      <x:c r="R114" s="90"/>
      <x:c r="S114" s="89"/>
      <x:c r="T114" s="90"/>
      <x:c r="U114" s="89"/>
      <x:c r="V114" s="90"/>
      <x:c r="W114" s="89"/>
      <x:c r="X114" s="90"/>
      <x:c r="Y114" s="89"/>
      <x:c r="Z114" s="90"/>
      <x:c r="AA114" s="91">
        <x:f t="shared" si="24"/>
        <x:v>0</x:v>
      </x:c>
      <x:c r="AB114" s="391">
        <x:f t="shared" si="24"/>
        <x:v>0</x:v>
      </x:c>
      <x:c r="AC114" s="404">
        <x:f t="shared" si="25"/>
        <x:v>0</x:v>
      </x:c>
      <x:c r="AD114" s="135"/>
      <x:c r="AE114" s="135"/>
      <x:c r="AF114" s="503"/>
    </x:row>
    <x:row r="115" spans="1:32" x14ac:dyDescent="0.25">
      <x:c r="A115" s="134"/>
      <x:c r="B115" s="135"/>
      <x:c r="C115" s="89"/>
      <x:c r="D115" s="90"/>
      <x:c r="E115" s="89"/>
      <x:c r="F115" s="90"/>
      <x:c r="G115" s="89"/>
      <x:c r="H115" s="90"/>
      <x:c r="I115" s="89"/>
      <x:c r="J115" s="90"/>
      <x:c r="K115" s="89"/>
      <x:c r="L115" s="90"/>
      <x:c r="M115" s="89"/>
      <x:c r="N115" s="90"/>
      <x:c r="O115" s="89"/>
      <x:c r="P115" s="90"/>
      <x:c r="Q115" s="89"/>
      <x:c r="R115" s="90"/>
      <x:c r="S115" s="89"/>
      <x:c r="T115" s="90"/>
      <x:c r="U115" s="89"/>
      <x:c r="V115" s="90"/>
      <x:c r="W115" s="89"/>
      <x:c r="X115" s="90"/>
      <x:c r="Y115" s="89"/>
      <x:c r="Z115" s="90"/>
      <x:c r="AA115" s="91">
        <x:f t="shared" ref="AA115:AA123" si="26">C115+E115+G115+I115+K115+M115+O115+Q115+S115+U115+W115+Y115</x:f>
        <x:v>0</x:v>
      </x:c>
      <x:c r="AB115" s="392"/>
      <x:c r="AC115" s="404">
        <x:f t="shared" si="25"/>
        <x:v>0</x:v>
      </x:c>
      <x:c r="AD115" s="135"/>
      <x:c r="AE115" s="135"/>
      <x:c r="AF115" s="503"/>
    </x:row>
    <x:row r="116" spans="1:32" x14ac:dyDescent="0.25">
      <x:c r="A116" s="134"/>
      <x:c r="B116" s="135"/>
      <x:c r="C116" s="89"/>
      <x:c r="D116" s="90"/>
      <x:c r="E116" s="89"/>
      <x:c r="F116" s="90"/>
      <x:c r="G116" s="89"/>
      <x:c r="H116" s="90"/>
      <x:c r="I116" s="89"/>
      <x:c r="J116" s="90"/>
      <x:c r="K116" s="89"/>
      <x:c r="L116" s="90"/>
      <x:c r="M116" s="89"/>
      <x:c r="N116" s="90"/>
      <x:c r="O116" s="89"/>
      <x:c r="P116" s="90"/>
      <x:c r="Q116" s="89"/>
      <x:c r="R116" s="90"/>
      <x:c r="S116" s="89"/>
      <x:c r="T116" s="90"/>
      <x:c r="U116" s="89"/>
      <x:c r="V116" s="90"/>
      <x:c r="W116" s="89"/>
      <x:c r="X116" s="90"/>
      <x:c r="Y116" s="89"/>
      <x:c r="Z116" s="90"/>
      <x:c r="AA116" s="91">
        <x:f t="shared" si="26"/>
        <x:v>0</x:v>
      </x:c>
      <x:c r="AB116" s="392"/>
      <x:c r="AC116" s="404">
        <x:f t="shared" si="25"/>
        <x:v>0</x:v>
      </x:c>
      <x:c r="AD116" s="135"/>
      <x:c r="AE116" s="135"/>
      <x:c r="AF116" s="503"/>
    </x:row>
    <x:row r="117" spans="1:32" x14ac:dyDescent="0.25">
      <x:c r="A117" s="134"/>
      <x:c r="B117" s="135"/>
      <x:c r="C117" s="89"/>
      <x:c r="D117" s="90"/>
      <x:c r="E117" s="89"/>
      <x:c r="F117" s="90"/>
      <x:c r="G117" s="89"/>
      <x:c r="H117" s="90"/>
      <x:c r="I117" s="89"/>
      <x:c r="J117" s="90"/>
      <x:c r="K117" s="89"/>
      <x:c r="L117" s="90"/>
      <x:c r="M117" s="89"/>
      <x:c r="N117" s="90"/>
      <x:c r="O117" s="89"/>
      <x:c r="P117" s="90"/>
      <x:c r="Q117" s="89"/>
      <x:c r="R117" s="90"/>
      <x:c r="S117" s="89"/>
      <x:c r="T117" s="90"/>
      <x:c r="U117" s="89"/>
      <x:c r="V117" s="90"/>
      <x:c r="W117" s="89"/>
      <x:c r="X117" s="90"/>
      <x:c r="Y117" s="89"/>
      <x:c r="Z117" s="90"/>
      <x:c r="AA117" s="91">
        <x:f t="shared" si="26"/>
        <x:v>0</x:v>
      </x:c>
      <x:c r="AB117" s="392"/>
      <x:c r="AC117" s="404">
        <x:f t="shared" si="25"/>
        <x:v>0</x:v>
      </x:c>
      <x:c r="AD117" s="135"/>
      <x:c r="AE117" s="135"/>
      <x:c r="AF117" s="503"/>
    </x:row>
    <x:row r="118" spans="1:32" x14ac:dyDescent="0.25">
      <x:c r="A118" s="134"/>
      <x:c r="B118" s="135"/>
      <x:c r="C118" s="89"/>
      <x:c r="D118" s="90"/>
      <x:c r="E118" s="89"/>
      <x:c r="F118" s="90"/>
      <x:c r="G118" s="89"/>
      <x:c r="H118" s="90"/>
      <x:c r="I118" s="89"/>
      <x:c r="J118" s="90"/>
      <x:c r="K118" s="89"/>
      <x:c r="L118" s="90"/>
      <x:c r="M118" s="89"/>
      <x:c r="N118" s="90"/>
      <x:c r="O118" s="89"/>
      <x:c r="P118" s="90"/>
      <x:c r="Q118" s="89"/>
      <x:c r="R118" s="90"/>
      <x:c r="S118" s="89"/>
      <x:c r="T118" s="90"/>
      <x:c r="U118" s="89"/>
      <x:c r="V118" s="90"/>
      <x:c r="W118" s="89"/>
      <x:c r="X118" s="90"/>
      <x:c r="Y118" s="89"/>
      <x:c r="Z118" s="90"/>
      <x:c r="AA118" s="91">
        <x:f t="shared" si="26"/>
        <x:v>0</x:v>
      </x:c>
      <x:c r="AB118" s="392"/>
      <x:c r="AC118" s="404">
        <x:f t="shared" si="25"/>
        <x:v>0</x:v>
      </x:c>
      <x:c r="AD118" s="135"/>
      <x:c r="AE118" s="135"/>
      <x:c r="AF118" s="503"/>
    </x:row>
    <x:row r="119" spans="1:32" x14ac:dyDescent="0.25">
      <x:c r="A119" s="134"/>
      <x:c r="B119" s="135"/>
      <x:c r="C119" s="89"/>
      <x:c r="D119" s="90"/>
      <x:c r="E119" s="89"/>
      <x:c r="F119" s="90"/>
      <x:c r="G119" s="89"/>
      <x:c r="H119" s="90"/>
      <x:c r="I119" s="89"/>
      <x:c r="J119" s="90"/>
      <x:c r="K119" s="89"/>
      <x:c r="L119" s="90"/>
      <x:c r="M119" s="89"/>
      <x:c r="N119" s="90"/>
      <x:c r="O119" s="89"/>
      <x:c r="P119" s="90"/>
      <x:c r="Q119" s="89"/>
      <x:c r="R119" s="90"/>
      <x:c r="S119" s="89"/>
      <x:c r="T119" s="90"/>
      <x:c r="U119" s="89"/>
      <x:c r="V119" s="90"/>
      <x:c r="W119" s="89"/>
      <x:c r="X119" s="90"/>
      <x:c r="Y119" s="89"/>
      <x:c r="Z119" s="90"/>
      <x:c r="AA119" s="91">
        <x:f t="shared" si="26"/>
        <x:v>0</x:v>
      </x:c>
      <x:c r="AB119" s="392"/>
      <x:c r="AC119" s="404">
        <x:f t="shared" si="25"/>
        <x:v>0</x:v>
      </x:c>
      <x:c r="AD119" s="135"/>
      <x:c r="AE119" s="135"/>
      <x:c r="AF119" s="503"/>
    </x:row>
    <x:row r="120" spans="1:32" x14ac:dyDescent="0.25">
      <x:c r="A120" s="136"/>
      <x:c r="B120" s="135"/>
      <x:c r="C120" s="89"/>
      <x:c r="D120" s="90"/>
      <x:c r="E120" s="89"/>
      <x:c r="F120" s="90"/>
      <x:c r="G120" s="89"/>
      <x:c r="H120" s="90"/>
      <x:c r="I120" s="89"/>
      <x:c r="J120" s="90"/>
      <x:c r="K120" s="89"/>
      <x:c r="L120" s="90"/>
      <x:c r="M120" s="89"/>
      <x:c r="N120" s="90"/>
      <x:c r="O120" s="89"/>
      <x:c r="P120" s="90"/>
      <x:c r="Q120" s="89"/>
      <x:c r="R120" s="90"/>
      <x:c r="S120" s="89"/>
      <x:c r="T120" s="90"/>
      <x:c r="U120" s="89"/>
      <x:c r="V120" s="90"/>
      <x:c r="W120" s="89"/>
      <x:c r="X120" s="90"/>
      <x:c r="Y120" s="89"/>
      <x:c r="Z120" s="90"/>
      <x:c r="AA120" s="91">
        <x:f t="shared" si="26"/>
        <x:v>0</x:v>
      </x:c>
      <x:c r="AB120" s="392"/>
      <x:c r="AC120" s="404">
        <x:f t="shared" si="25"/>
        <x:v>0</x:v>
      </x:c>
      <x:c r="AD120" s="358"/>
      <x:c r="AE120" s="358"/>
      <x:c r="AF120" s="503"/>
    </x:row>
    <x:row r="121" spans="1:32" x14ac:dyDescent="0.25">
      <x:c r="A121" s="136"/>
      <x:c r="B121" s="135"/>
      <x:c r="C121" s="89"/>
      <x:c r="D121" s="90"/>
      <x:c r="E121" s="89"/>
      <x:c r="F121" s="90"/>
      <x:c r="G121" s="89"/>
      <x:c r="H121" s="90"/>
      <x:c r="I121" s="89"/>
      <x:c r="J121" s="90"/>
      <x:c r="K121" s="89"/>
      <x:c r="L121" s="90"/>
      <x:c r="M121" s="89"/>
      <x:c r="N121" s="90"/>
      <x:c r="O121" s="89"/>
      <x:c r="P121" s="90"/>
      <x:c r="Q121" s="89"/>
      <x:c r="R121" s="90"/>
      <x:c r="S121" s="89"/>
      <x:c r="T121" s="90"/>
      <x:c r="U121" s="89"/>
      <x:c r="V121" s="90"/>
      <x:c r="W121" s="89"/>
      <x:c r="X121" s="90"/>
      <x:c r="Y121" s="89"/>
      <x:c r="Z121" s="90"/>
      <x:c r="AA121" s="91">
        <x:f t="shared" si="26"/>
        <x:v>0</x:v>
      </x:c>
      <x:c r="AB121" s="392"/>
      <x:c r="AC121" s="404">
        <x:f t="shared" si="25"/>
        <x:v>0</x:v>
      </x:c>
      <x:c r="AD121" s="358"/>
      <x:c r="AE121" s="358"/>
      <x:c r="AF121" s="503"/>
    </x:row>
    <x:row r="122" spans="1:32" x14ac:dyDescent="0.25">
      <x:c r="A122" s="136"/>
      <x:c r="B122" s="135"/>
      <x:c r="C122" s="89"/>
      <x:c r="D122" s="90"/>
      <x:c r="E122" s="89"/>
      <x:c r="F122" s="90"/>
      <x:c r="G122" s="89"/>
      <x:c r="H122" s="90"/>
      <x:c r="I122" s="89"/>
      <x:c r="J122" s="90"/>
      <x:c r="K122" s="89"/>
      <x:c r="L122" s="90"/>
      <x:c r="M122" s="89"/>
      <x:c r="N122" s="90"/>
      <x:c r="O122" s="89"/>
      <x:c r="P122" s="90"/>
      <x:c r="Q122" s="89"/>
      <x:c r="R122" s="90"/>
      <x:c r="S122" s="89"/>
      <x:c r="T122" s="90"/>
      <x:c r="U122" s="89"/>
      <x:c r="V122" s="90"/>
      <x:c r="W122" s="89"/>
      <x:c r="X122" s="90"/>
      <x:c r="Y122" s="89"/>
      <x:c r="Z122" s="90"/>
      <x:c r="AA122" s="91">
        <x:f t="shared" si="26"/>
        <x:v>0</x:v>
      </x:c>
      <x:c r="AB122" s="392"/>
      <x:c r="AC122" s="404">
        <x:f t="shared" si="25"/>
        <x:v>0</x:v>
      </x:c>
      <x:c r="AD122" s="358"/>
      <x:c r="AE122" s="358"/>
      <x:c r="AF122" s="503"/>
    </x:row>
    <x:row r="123" spans="1:32" x14ac:dyDescent="0.25">
      <x:c r="A123" s="136"/>
      <x:c r="B123" s="135"/>
      <x:c r="C123" s="89"/>
      <x:c r="D123" s="90"/>
      <x:c r="E123" s="89"/>
      <x:c r="F123" s="90"/>
      <x:c r="G123" s="89"/>
      <x:c r="H123" s="90"/>
      <x:c r="I123" s="89"/>
      <x:c r="J123" s="90"/>
      <x:c r="K123" s="89"/>
      <x:c r="L123" s="90"/>
      <x:c r="M123" s="89"/>
      <x:c r="N123" s="90"/>
      <x:c r="O123" s="89"/>
      <x:c r="P123" s="90"/>
      <x:c r="Q123" s="89"/>
      <x:c r="R123" s="90"/>
      <x:c r="S123" s="89"/>
      <x:c r="T123" s="90"/>
      <x:c r="U123" s="89"/>
      <x:c r="V123" s="90"/>
      <x:c r="W123" s="89"/>
      <x:c r="X123" s="90"/>
      <x:c r="Y123" s="89"/>
      <x:c r="Z123" s="90"/>
      <x:c r="AA123" s="91">
        <x:f t="shared" si="26"/>
        <x:v>0</x:v>
      </x:c>
      <x:c r="AB123" s="392"/>
      <x:c r="AC123" s="404">
        <x:f t="shared" si="25"/>
        <x:v>0</x:v>
      </x:c>
      <x:c r="AD123" s="358"/>
      <x:c r="AE123" s="358"/>
      <x:c r="AF123" s="503"/>
    </x:row>
    <x:row r="124" spans="1:32" ht="15.75" thickBot="1" x14ac:dyDescent="0.3">
      <x:c r="A124" s="136"/>
      <x:c r="B124" s="135"/>
      <x:c r="C124" s="93">
        <x:f t="shared" ref="C124:AB124" si="27">SUM(C94:C123)</x:f>
        <x:v>29342</x:v>
      </x:c>
      <x:c r="D124" s="94">
        <x:f t="shared" si="27"/>
        <x:v>29342</x:v>
      </x:c>
      <x:c r="E124" s="93">
        <x:f t="shared" si="27"/>
        <x:v>0</x:v>
      </x:c>
      <x:c r="F124" s="94">
        <x:f t="shared" si="27"/>
        <x:v>0</x:v>
      </x:c>
      <x:c r="G124" s="93">
        <x:f t="shared" si="27"/>
        <x:v>9845</x:v>
      </x:c>
      <x:c r="H124" s="94">
        <x:f t="shared" si="27"/>
        <x:v>9845</x:v>
      </x:c>
      <x:c r="I124" s="93">
        <x:f t="shared" si="27"/>
        <x:v>0</x:v>
      </x:c>
      <x:c r="J124" s="94">
        <x:f t="shared" si="27"/>
        <x:v>0</x:v>
      </x:c>
      <x:c r="K124" s="93">
        <x:f t="shared" si="27"/>
        <x:v>14800</x:v>
      </x:c>
      <x:c r="L124" s="94">
        <x:f t="shared" si="27"/>
        <x:v>13000</x:v>
      </x:c>
      <x:c r="M124" s="93">
        <x:f t="shared" si="27"/>
        <x:v>14800</x:v>
      </x:c>
      <x:c r="N124" s="94">
        <x:f t="shared" si="27"/>
        <x:v>0</x:v>
      </x:c>
      <x:c r="O124" s="93">
        <x:f t="shared" si="27"/>
        <x:v>0</x:v>
      </x:c>
      <x:c r="P124" s="94">
        <x:f t="shared" si="27"/>
        <x:v>26000</x:v>
      </x:c>
      <x:c r="Q124" s="93">
        <x:f t="shared" si="27"/>
        <x:v>0</x:v>
      </x:c>
      <x:c r="R124" s="94">
        <x:f t="shared" si="27"/>
        <x:v>26000</x:v>
      </x:c>
      <x:c r="S124" s="93">
        <x:f t="shared" si="27"/>
        <x:v>0</x:v>
      </x:c>
      <x:c r="T124" s="94">
        <x:f t="shared" si="27"/>
        <x:v>26000</x:v>
      </x:c>
      <x:c r="U124" s="93">
        <x:f t="shared" si="27"/>
        <x:v>0</x:v>
      </x:c>
      <x:c r="V124" s="94">
        <x:f t="shared" si="27"/>
        <x:v>26000</x:v>
      </x:c>
      <x:c r="W124" s="93">
        <x:f t="shared" si="27"/>
        <x:v>0</x:v>
      </x:c>
      <x:c r="X124" s="94">
        <x:f t="shared" si="27"/>
        <x:v>26000</x:v>
      </x:c>
      <x:c r="Y124" s="93">
        <x:f t="shared" si="27"/>
        <x:v>0</x:v>
      </x:c>
      <x:c r="Z124" s="94">
        <x:f t="shared" si="27"/>
        <x:v>0</x:v>
      </x:c>
      <x:c r="AA124" s="93">
        <x:f t="shared" si="27"/>
        <x:v>68787</x:v>
      </x:c>
      <x:c r="AB124" s="137">
        <x:f t="shared" si="27"/>
        <x:v>182187</x:v>
      </x:c>
      <x:c r="AC124" s="407">
        <x:f t="shared" ref="AC124:AC153" si="28">D124+F124+H124</x:f>
        <x:v>39187</x:v>
      </x:c>
      <x:c r="AD124" s="358"/>
      <x:c r="AE124" s="358"/>
      <x:c r="AF124" s="505"/>
    </x:row>
    <x:row r="125" spans="1:32" ht="15.75" thickTop="1" x14ac:dyDescent="0.25">
      <x:c r="A125" s="136"/>
      <x:c r="B125" s="135"/>
      <x:c r="C125" s="138"/>
      <x:c r="D125" s="139"/>
      <x:c r="E125" s="138"/>
      <x:c r="F125" s="139"/>
      <x:c r="G125" s="138"/>
      <x:c r="H125" s="139"/>
      <x:c r="I125" s="138"/>
      <x:c r="J125" s="139"/>
      <x:c r="K125" s="138"/>
      <x:c r="L125" s="139"/>
      <x:c r="M125" s="138"/>
      <x:c r="N125" s="139"/>
      <x:c r="O125" s="138"/>
      <x:c r="P125" s="139"/>
      <x:c r="Q125" s="138"/>
      <x:c r="R125" s="139"/>
      <x:c r="S125" s="138"/>
      <x:c r="T125" s="139"/>
      <x:c r="U125" s="138"/>
      <x:c r="V125" s="139"/>
      <x:c r="W125" s="138"/>
      <x:c r="X125" s="139"/>
      <x:c r="Y125" s="138"/>
      <x:c r="Z125" s="139"/>
      <x:c r="AA125" s="138" t="s">
        <x:v>4</x:v>
      </x:c>
      <x:c r="AB125" s="405"/>
      <x:c r="AC125" s="406">
        <x:f t="shared" si="28"/>
        <x:v>0</x:v>
      </x:c>
      <x:c r="AD125" s="358"/>
      <x:c r="AE125" s="358"/>
      <x:c r="AF125" s="503"/>
    </x:row>
    <x:row r="126" spans="1:32" ht="15.75" thickBot="1" x14ac:dyDescent="0.3">
      <x:c r="A126" s="114"/>
      <x:c r="B126" s="115"/>
      <x:c r="C126" s="116"/>
      <x:c r="D126" s="118"/>
      <x:c r="E126" s="116"/>
      <x:c r="F126" s="118"/>
      <x:c r="G126" s="116"/>
      <x:c r="H126" s="118"/>
      <x:c r="I126" s="116"/>
      <x:c r="J126" s="118"/>
      <x:c r="K126" s="116"/>
      <x:c r="L126" s="118"/>
      <x:c r="M126" s="116"/>
      <x:c r="N126" s="118"/>
      <x:c r="O126" s="116"/>
      <x:c r="P126" s="118"/>
      <x:c r="Q126" s="116"/>
      <x:c r="R126" s="118"/>
      <x:c r="S126" s="116"/>
      <x:c r="T126" s="118"/>
      <x:c r="U126" s="116"/>
      <x:c r="V126" s="118"/>
      <x:c r="W126" s="116"/>
      <x:c r="X126" s="118"/>
      <x:c r="Y126" s="116"/>
      <x:c r="Z126" s="118"/>
      <x:c r="AA126" s="116" t="s">
        <x:v>4</x:v>
      </x:c>
      <x:c r="AB126" s="118"/>
      <x:c r="AC126" s="402">
        <x:f t="shared" si="28"/>
        <x:v>0</x:v>
      </x:c>
      <x:c r="AD126" s="358"/>
      <x:c r="AE126" s="358"/>
      <x:c r="AF126" s="503"/>
    </x:row>
    <x:row r="127" spans="1:32" ht="15.75" thickTop="1" x14ac:dyDescent="0.25">
      <x:c r="AC127" s="400">
        <x:f t="shared" si="28"/>
        <x:v>0</x:v>
      </x:c>
      <x:c r="AF127" s="503"/>
    </x:row>
    <x:row r="128" spans="1:32" x14ac:dyDescent="0.25">
      <x:c r="AC128" s="400">
        <x:f t="shared" si="28"/>
        <x:v>0</x:v>
      </x:c>
    </x:row>
    <x:row r="129" spans="29:29" x14ac:dyDescent="0.25">
      <x:c r="AC129" s="400">
        <x:f t="shared" si="28"/>
        <x:v>0</x:v>
      </x:c>
    </x:row>
    <x:row r="130" spans="29:29" x14ac:dyDescent="0.25">
      <x:c r="AC130" s="400">
        <x:f t="shared" si="28"/>
        <x:v>0</x:v>
      </x:c>
    </x:row>
    <x:row r="131" spans="29:29" x14ac:dyDescent="0.25">
      <x:c r="AC131" s="400">
        <x:f t="shared" si="28"/>
        <x:v>0</x:v>
      </x:c>
    </x:row>
    <x:row r="132" spans="29:29" x14ac:dyDescent="0.25">
      <x:c r="AC132" s="400">
        <x:f t="shared" si="28"/>
        <x:v>0</x:v>
      </x:c>
    </x:row>
    <x:row r="133" spans="29:29" x14ac:dyDescent="0.25">
      <x:c r="AC133" s="400">
        <x:f t="shared" si="28"/>
        <x:v>0</x:v>
      </x:c>
    </x:row>
    <x:row r="134" spans="29:29" x14ac:dyDescent="0.25">
      <x:c r="AC134" s="400">
        <x:f t="shared" si="28"/>
        <x:v>0</x:v>
      </x:c>
    </x:row>
    <x:row r="135" spans="29:29" x14ac:dyDescent="0.25">
      <x:c r="AC135" s="400">
        <x:f t="shared" si="28"/>
        <x:v>0</x:v>
      </x:c>
    </x:row>
    <x:row r="136" spans="29:29" x14ac:dyDescent="0.25">
      <x:c r="AC136" s="400">
        <x:f t="shared" si="28"/>
        <x:v>0</x:v>
      </x:c>
    </x:row>
    <x:row r="137" spans="29:29" x14ac:dyDescent="0.25">
      <x:c r="AC137" s="400">
        <x:f t="shared" si="28"/>
        <x:v>0</x:v>
      </x:c>
    </x:row>
    <x:row r="138" spans="29:29" x14ac:dyDescent="0.25">
      <x:c r="AC138" s="400">
        <x:f t="shared" si="28"/>
        <x:v>0</x:v>
      </x:c>
    </x:row>
    <x:row r="139" spans="29:29" x14ac:dyDescent="0.25">
      <x:c r="AC139" s="400">
        <x:f t="shared" si="28"/>
        <x:v>0</x:v>
      </x:c>
    </x:row>
    <x:row r="140" spans="29:29" x14ac:dyDescent="0.25">
      <x:c r="AC140" s="400">
        <x:f t="shared" si="28"/>
        <x:v>0</x:v>
      </x:c>
    </x:row>
    <x:row r="141" spans="29:29" x14ac:dyDescent="0.25">
      <x:c r="AC141" s="400">
        <x:f t="shared" si="28"/>
        <x:v>0</x:v>
      </x:c>
    </x:row>
    <x:row r="142" spans="29:29" x14ac:dyDescent="0.25">
      <x:c r="AC142" s="400">
        <x:f t="shared" si="28"/>
        <x:v>0</x:v>
      </x:c>
    </x:row>
    <x:row r="143" spans="29:29" x14ac:dyDescent="0.25">
      <x:c r="AC143" s="400">
        <x:f t="shared" si="28"/>
        <x:v>0</x:v>
      </x:c>
    </x:row>
    <x:row r="144" spans="29:29" x14ac:dyDescent="0.25">
      <x:c r="AC144" s="400">
        <x:f t="shared" si="28"/>
        <x:v>0</x:v>
      </x:c>
    </x:row>
    <x:row r="145" spans="29:29" x14ac:dyDescent="0.25">
      <x:c r="AC145" s="400">
        <x:f t="shared" si="28"/>
        <x:v>0</x:v>
      </x:c>
    </x:row>
    <x:row r="146" spans="29:29" x14ac:dyDescent="0.25">
      <x:c r="AC146" s="400">
        <x:f t="shared" si="28"/>
        <x:v>0</x:v>
      </x:c>
    </x:row>
    <x:row r="147" spans="29:29" x14ac:dyDescent="0.25">
      <x:c r="AC147" s="400">
        <x:f t="shared" si="28"/>
        <x:v>0</x:v>
      </x:c>
    </x:row>
    <x:row r="148" spans="29:29" x14ac:dyDescent="0.25">
      <x:c r="AC148" s="400">
        <x:f t="shared" si="28"/>
        <x:v>0</x:v>
      </x:c>
    </x:row>
    <x:row r="149" spans="29:29" x14ac:dyDescent="0.25">
      <x:c r="AC149" s="400">
        <x:f t="shared" si="28"/>
        <x:v>0</x:v>
      </x:c>
    </x:row>
    <x:row r="150" spans="29:29" x14ac:dyDescent="0.25">
      <x:c r="AC150" s="400">
        <x:f t="shared" si="28"/>
        <x:v>0</x:v>
      </x:c>
    </x:row>
    <x:row r="151" spans="29:29" x14ac:dyDescent="0.25">
      <x:c r="AC151" s="400">
        <x:f t="shared" si="28"/>
        <x:v>0</x:v>
      </x:c>
    </x:row>
    <x:row r="152" spans="29:29" x14ac:dyDescent="0.25">
      <x:c r="AC152" s="400">
        <x:f t="shared" si="28"/>
        <x:v>0</x:v>
      </x:c>
    </x:row>
    <x:row r="153" spans="29:29" x14ac:dyDescent="0.25">
      <x:c r="AC153" s="400">
        <x:f t="shared" si="28"/>
        <x:v>0</x:v>
      </x:c>
    </x:row>
    <x:row r="154" spans="29:29" x14ac:dyDescent="0.25">
      <x:c r="AC154" s="400">
        <x:f t="shared" ref="AC154:AC155" si="29">D154</x:f>
        <x:v>0</x:v>
      </x:c>
    </x:row>
    <x:row r="155" spans="29:29" x14ac:dyDescent="0.25">
      <x:c r="AC155" s="400">
        <x:f t="shared" si="29"/>
        <x:v>0</x:v>
      </x:c>
    </x:row>
    <x:row r="156" spans="29:29" x14ac:dyDescent="0.25">
      <x:c r="AC156" s="400">
        <x:f t="shared" ref="AC156" si="30">SUM(AC96:AC155)</x:f>
        <x:v>117374</x:v>
      </x:c>
    </x:row>
  </x:sheetData>
  <x:sheetProtection selectLockedCells="1"/>
  <x:mergeCells count="26">
    <x:mergeCell ref="M1:N1"/>
    <x:mergeCell ref="C1:D1"/>
    <x:mergeCell ref="E1:F1"/>
    <x:mergeCell ref="G1:H1"/>
    <x:mergeCell ref="I1:J1"/>
    <x:mergeCell ref="K1:L1"/>
    <x:mergeCell ref="AA1:AC1"/>
    <x:mergeCell ref="O1:P1"/>
    <x:mergeCell ref="Q1:R1"/>
    <x:mergeCell ref="S1:T1"/>
    <x:mergeCell ref="U1:V1"/>
    <x:mergeCell ref="W1:X1"/>
    <x:mergeCell ref="Y1:Z1"/>
    <x:mergeCell ref="C92:D92"/>
    <x:mergeCell ref="E92:F92"/>
    <x:mergeCell ref="G92:H92"/>
    <x:mergeCell ref="I92:J92"/>
    <x:mergeCell ref="K92:L92"/>
    <x:mergeCell ref="W92:X92"/>
    <x:mergeCell ref="Y92:Z92"/>
    <x:mergeCell ref="AA92:AC92"/>
    <x:mergeCell ref="M92:N92"/>
    <x:mergeCell ref="O92:P92"/>
    <x:mergeCell ref="Q92:R92"/>
    <x:mergeCell ref="S92:T92"/>
    <x:mergeCell ref="U92:V92"/>
  </x:mergeCells>
  <x:printOptions horizontalCentered="1" verticalCentered="1"/>
  <x:pageMargins left="0" right="0" top="0" bottom="0" header="0" footer="0"/>
  <x:pageSetup paperSize="9" scale="38" orientation="landscape" r:id="rId1"/>
  <x:colBreaks count="1" manualBreakCount="1">
    <x:brk id="28" max="136" man="1"/>
  </x:colBreaks>
  <x:drawing r:id="rId2"/>
  <x:legacyDrawing r:id="rId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Y113"/>
  <x:sheetViews>
    <x:sheetView workbookViewId="0">
      <x:selection activeCell="B1" sqref="B1:E1"/>
    </x:sheetView>
  </x:sheetViews>
  <x:sheetFormatPr defaultColWidth="9.140625" defaultRowHeight="15" x14ac:dyDescent="0.25"/>
  <x:cols>
    <x:col min="1" max="1" width="1.7109375" style="156" customWidth="1"/>
    <x:col min="2" max="2" width="42.42578125" style="246" customWidth="1"/>
    <x:col min="3" max="3" width="2.5703125" style="156" customWidth="1"/>
    <x:col min="4" max="15" width="15.7109375" style="259" customWidth="1"/>
    <x:col min="16" max="16" width="15.7109375" style="249" customWidth="1"/>
    <x:col min="17" max="17" width="1.28515625" style="156" customWidth="1"/>
    <x:col min="18" max="16384" width="9.140625" style="156"/>
  </x:cols>
  <x:sheetData>
    <x:row r="1" spans="1:25" ht="15.75" thickTop="1" x14ac:dyDescent="0.25">
      <x:c r="A1" s="149"/>
      <x:c r="B1" s="150"/>
      <x:c r="C1" s="151"/>
      <x:c r="D1" s="461"/>
      <x:c r="E1" s="461"/>
      <x:c r="F1" s="461"/>
      <x:c r="G1" s="461"/>
      <x:c r="H1" s="461"/>
      <x:c r="I1" s="461"/>
      <x:c r="J1" s="461"/>
      <x:c r="K1" s="461"/>
      <x:c r="L1" s="461"/>
      <x:c r="M1" s="461"/>
      <x:c r="N1" s="461"/>
      <x:c r="O1" s="461"/>
      <x:c r="P1" s="154"/>
      <x:c r="Q1" s="155"/>
    </x:row>
    <x:row r="2" spans="1:25" s="165" customFormat="1" ht="26.25" x14ac:dyDescent="0.4">
      <x:c r="A2" s="157"/>
      <x:c r="B2" s="158" t="s">
        <x:v>33</x:v>
      </x:c>
      <x:c r="C2" s="159"/>
      <x:c r="D2" s="462" t="s">
        <x:v>325</x:v>
      </x:c>
      <x:c r="E2" s="462" t="s">
        <x:v>46</x:v>
      </x:c>
      <x:c r="F2" s="462" t="s">
        <x:v>47</x:v>
      </x:c>
      <x:c r="G2" s="462" t="s">
        <x:v>48</x:v>
      </x:c>
      <x:c r="H2" s="462" t="s">
        <x:v>49</x:v>
      </x:c>
      <x:c r="I2" s="462" t="s">
        <x:v>50</x:v>
      </x:c>
      <x:c r="J2" s="462" t="s">
        <x:v>215</x:v>
      </x:c>
      <x:c r="K2" s="462" t="s">
        <x:v>182</x:v>
      </x:c>
      <x:c r="L2" s="462" t="s">
        <x:v>183</x:v>
      </x:c>
      <x:c r="M2" s="462" t="s">
        <x:v>184</x:v>
      </x:c>
      <x:c r="N2" s="462" t="s">
        <x:v>185</x:v>
      </x:c>
      <x:c r="O2" s="462" t="s">
        <x:v>186</x:v>
      </x:c>
      <x:c r="P2" s="163" t="s">
        <x:v>59</x:v>
      </x:c>
      <x:c r="Q2" s="164"/>
    </x:row>
    <x:row r="3" spans="1:25" s="165" customFormat="1" ht="15.75" thickBot="1" x14ac:dyDescent="0.3">
      <x:c r="A3" s="166"/>
      <x:c r="B3" s="167" t="s">
        <x:v>4</x:v>
      </x:c>
      <x:c r="C3" s="168"/>
      <x:c r="D3" s="463" t="s">
        <x:v>14</x:v>
      </x:c>
      <x:c r="E3" s="463" t="s">
        <x:v>14</x:v>
      </x:c>
      <x:c r="F3" s="463" t="s">
        <x:v>14</x:v>
      </x:c>
      <x:c r="G3" s="463" t="s">
        <x:v>14</x:v>
      </x:c>
      <x:c r="H3" s="463" t="s">
        <x:v>14</x:v>
      </x:c>
      <x:c r="I3" s="463" t="s">
        <x:v>14</x:v>
      </x:c>
      <x:c r="J3" s="463" t="s">
        <x:v>14</x:v>
      </x:c>
      <x:c r="K3" s="463" t="s">
        <x:v>14</x:v>
      </x:c>
      <x:c r="L3" s="463" t="s">
        <x:v>14</x:v>
      </x:c>
      <x:c r="M3" s="463" t="s">
        <x:v>14</x:v>
      </x:c>
      <x:c r="N3" s="463" t="s">
        <x:v>14</x:v>
      </x:c>
      <x:c r="O3" s="463" t="s">
        <x:v>14</x:v>
      </x:c>
      <x:c r="P3" s="463" t="s">
        <x:v>14</x:v>
      </x:c>
      <x:c r="Q3" s="170"/>
    </x:row>
    <x:row r="4" spans="1:25" s="165" customFormat="1" x14ac:dyDescent="0.25">
      <x:c r="A4" s="157"/>
      <x:c r="B4" s="171"/>
      <x:c r="C4" s="172"/>
      <x:c r="D4" s="464"/>
      <x:c r="E4" s="464"/>
      <x:c r="F4" s="464"/>
      <x:c r="G4" s="464"/>
      <x:c r="H4" s="464"/>
      <x:c r="I4" s="464"/>
      <x:c r="J4" s="464"/>
      <x:c r="K4" s="464"/>
      <x:c r="L4" s="464"/>
      <x:c r="M4" s="464"/>
      <x:c r="N4" s="464"/>
      <x:c r="O4" s="464"/>
      <x:c r="P4" s="465"/>
      <x:c r="Q4" s="164"/>
    </x:row>
    <x:row r="5" spans="1:25" s="165" customFormat="1" x14ac:dyDescent="0.25">
      <x:c r="A5" s="157"/>
      <x:c r="B5" s="186" t="s">
        <x:v>352</x:v>
      </x:c>
      <x:c r="C5" s="172"/>
      <x:c r="D5" s="471">
        <x:v>5016</x:v>
      </x:c>
      <x:c r="E5" s="471">
        <x:v>2792.25</x:v>
      </x:c>
      <x:c r="F5" s="471">
        <x:v>5431.5</x:v>
      </x:c>
      <x:c r="G5" s="471">
        <x:v>5916</x:v>
      </x:c>
      <x:c r="H5" s="471">
        <x:v>4819.5</x:v>
      </x:c>
      <x:c r="I5" s="471">
        <x:v>3646.5</x:v>
      </x:c>
      <x:c r="J5" s="471">
        <x:v>9294.75</x:v>
      </x:c>
      <x:c r="K5" s="471">
        <x:v>8131.95</x:v>
      </x:c>
      <x:c r="L5" s="471">
        <x:v>14116.8</x:v>
      </x:c>
      <x:c r="M5" s="471">
        <x:v>10001.1</x:v>
      </x:c>
      <x:c r="N5" s="471">
        <x:v>7354.2</x:v>
      </x:c>
      <x:c r="O5" s="471">
        <x:v>7421.4</x:v>
      </x:c>
      <x:c r="P5" s="471">
        <x:f t="shared" ref="P5:P11" si="0">SUM(D5:O5)</x:f>
        <x:v>83941.95</x:v>
      </x:c>
      <x:c r="Q5" s="164"/>
    </x:row>
    <x:row r="6" spans="1:25" s="165" customFormat="1" x14ac:dyDescent="0.25">
      <x:c r="A6" s="157"/>
      <x:c r="B6" s="186" t="s">
        <x:v>353</x:v>
      </x:c>
      <x:c r="C6" s="172"/>
      <x:c r="D6" s="471">
        <x:v>3901.76</x:v>
      </x:c>
      <x:c r="E6" s="471">
        <x:v>10587.6</x:v>
      </x:c>
      <x:c r="F6" s="471">
        <x:v>7642.86</x:v>
      </x:c>
      <x:c r="G6" s="471">
        <x:v>9962.85</x:v>
      </x:c>
      <x:c r="H6" s="471">
        <x:v>6461.7</x:v>
      </x:c>
      <x:c r="I6" s="471">
        <x:v>13321.2</x:v>
      </x:c>
      <x:c r="J6" s="471">
        <x:v>8295.15</x:v>
      </x:c>
      <x:c r="K6" s="471">
        <x:v>6082.26</x:v>
      </x:c>
      <x:c r="L6" s="471">
        <x:v>9516.6</x:v>
      </x:c>
      <x:c r="M6" s="471">
        <x:v>5102.55</x:v>
      </x:c>
      <x:c r="N6" s="471">
        <x:v>7856.55</x:v>
      </x:c>
      <x:c r="O6" s="471">
        <x:v>2416.35</x:v>
      </x:c>
      <x:c r="P6" s="471">
        <x:f t="shared" si="0"/>
        <x:v>91147.430000000022</x:v>
      </x:c>
      <x:c r="Q6" s="164"/>
    </x:row>
    <x:row r="7" spans="1:25" s="165" customFormat="1" x14ac:dyDescent="0.25">
      <x:c r="A7" s="157"/>
      <x:c r="B7" s="186"/>
      <x:c r="C7" s="172"/>
      <x:c r="D7" s="471"/>
      <x:c r="E7" s="471"/>
      <x:c r="F7" s="471"/>
      <x:c r="G7" s="471"/>
      <x:c r="H7" s="471"/>
      <x:c r="I7" s="471"/>
      <x:c r="J7" s="471"/>
      <x:c r="K7" s="471"/>
      <x:c r="L7" s="471"/>
      <x:c r="M7" s="471"/>
      <x:c r="N7" s="471"/>
      <x:c r="O7" s="471"/>
      <x:c r="P7" s="471">
        <x:f t="shared" si="0"/>
        <x:v>0</x:v>
      </x:c>
      <x:c r="Q7" s="164"/>
    </x:row>
    <x:row r="8" spans="1:25" s="165" customFormat="1" x14ac:dyDescent="0.25">
      <x:c r="A8" s="157"/>
      <x:c r="B8" s="186" t="s">
        <x:v>348</x:v>
      </x:c>
      <x:c r="C8" s="172"/>
      <x:c r="D8" s="471">
        <x:v>1160</x:v>
      </x:c>
      <x:c r="E8" s="471">
        <x:v>2537.5</x:v>
      </x:c>
      <x:c r="F8" s="471">
        <x:v>652.5</x:v>
      </x:c>
      <x:c r="G8" s="471">
        <x:v>2030</x:v>
      </x:c>
      <x:c r="H8" s="471">
        <x:v>2610</x:v>
      </x:c>
      <x:c r="I8" s="471">
        <x:v>3117.5</x:v>
      </x:c>
      <x:c r="J8" s="471">
        <x:v>1732.5</x:v>
      </x:c>
      <x:c r="K8" s="471">
        <x:v>3085</x:v>
      </x:c>
      <x:c r="L8" s="471">
        <x:v>5467.5</x:v>
      </x:c>
      <x:c r="M8" s="471">
        <x:v>2785</x:v>
      </x:c>
      <x:c r="N8" s="471">
        <x:v>2992.5</x:v>
      </x:c>
      <x:c r="O8" s="471"/>
      <x:c r="P8" s="471">
        <x:f t="shared" si="0"/>
        <x:v>28170</x:v>
      </x:c>
      <x:c r="Q8" s="164"/>
    </x:row>
    <x:row r="9" spans="1:25" x14ac:dyDescent="0.25">
      <x:c r="A9" s="180"/>
      <x:c r="B9" s="186"/>
      <x:c r="C9" s="200"/>
      <x:c r="D9" s="470"/>
      <x:c r="E9" s="470"/>
      <x:c r="F9" s="470"/>
      <x:c r="G9" s="470"/>
      <x:c r="H9" s="470"/>
      <x:c r="I9" s="470"/>
      <x:c r="J9" s="470"/>
      <x:c r="K9" s="470"/>
      <x:c r="L9" s="470"/>
      <x:c r="M9" s="470"/>
      <x:c r="N9" s="470"/>
      <x:c r="O9" s="470"/>
      <x:c r="P9" s="471">
        <x:f t="shared" si="0"/>
        <x:v>0</x:v>
      </x:c>
      <x:c r="Q9" s="189"/>
      <x:c r="R9" s="190"/>
      <x:c r="S9" s="199"/>
      <x:c r="T9" s="199"/>
      <x:c r="U9" s="199"/>
      <x:c r="V9" s="199"/>
      <x:c r="W9" s="199"/>
      <x:c r="X9" s="199"/>
      <x:c r="Y9" s="199"/>
    </x:row>
    <x:row r="10" spans="1:25" x14ac:dyDescent="0.25">
      <x:c r="A10" s="180"/>
      <x:c r="B10" s="186" t="s">
        <x:v>351</x:v>
      </x:c>
      <x:c r="C10" s="200"/>
      <x:c r="D10" s="470">
        <x:v>6079.34</x:v>
      </x:c>
      <x:c r="E10" s="470">
        <x:v>4076.43</x:v>
      </x:c>
      <x:c r="F10" s="470">
        <x:v>6553.94</x:v>
      </x:c>
      <x:c r="G10" s="470">
        <x:v>7566.05</x:v>
      </x:c>
      <x:c r="H10" s="470">
        <x:v>4688.4399999999996</x:v>
      </x:c>
      <x:c r="I10" s="470">
        <x:v>5192.84</x:v>
      </x:c>
      <x:c r="J10" s="470">
        <x:v>8625.27</x:v>
      </x:c>
      <x:c r="K10" s="470">
        <x:v>3075.53</x:v>
      </x:c>
      <x:c r="L10" s="470">
        <x:v>3147.98</x:v>
      </x:c>
      <x:c r="M10" s="470">
        <x:v>4298.5</x:v>
      </x:c>
      <x:c r="N10" s="470">
        <x:v>25830.65</x:v>
      </x:c>
      <x:c r="O10" s="470">
        <x:v>2819.06</x:v>
      </x:c>
      <x:c r="P10" s="471">
        <x:f t="shared" si="0"/>
        <x:v>81954.03</x:v>
      </x:c>
      <x:c r="Q10" s="189"/>
      <x:c r="R10" s="190"/>
      <x:c r="S10" s="199"/>
      <x:c r="T10" s="199"/>
      <x:c r="U10" s="199"/>
      <x:c r="V10" s="199"/>
      <x:c r="W10" s="199"/>
      <x:c r="X10" s="199"/>
      <x:c r="Y10" s="199"/>
    </x:row>
    <x:row r="11" spans="1:25" x14ac:dyDescent="0.25">
      <x:c r="A11" s="180"/>
      <x:c r="B11" s="186"/>
      <x:c r="C11" s="200"/>
      <x:c r="D11" s="188"/>
      <x:c r="E11" s="188"/>
      <x:c r="F11" s="188"/>
      <x:c r="G11" s="188"/>
      <x:c r="H11" s="188"/>
      <x:c r="I11" s="188"/>
      <x:c r="J11" s="188"/>
      <x:c r="K11" s="188"/>
      <x:c r="L11" s="188"/>
      <x:c r="M11" s="188"/>
      <x:c r="N11" s="188"/>
      <x:c r="O11" s="188"/>
      <x:c r="P11" s="465">
        <x:f t="shared" si="0"/>
        <x:v>0</x:v>
      </x:c>
      <x:c r="Q11" s="189"/>
      <x:c r="R11" s="190"/>
      <x:c r="S11" s="199"/>
      <x:c r="T11" s="199"/>
      <x:c r="U11" s="199"/>
      <x:c r="V11" s="199"/>
      <x:c r="W11" s="199"/>
      <x:c r="X11" s="199"/>
      <x:c r="Y11" s="199"/>
    </x:row>
    <x:row r="12" spans="1:25" ht="15.75" thickBot="1" x14ac:dyDescent="0.3">
      <x:c r="A12" s="180"/>
      <x:c r="B12" s="186"/>
      <x:c r="C12" s="200"/>
      <x:c r="D12" s="188"/>
      <x:c r="E12" s="188"/>
      <x:c r="F12" s="188"/>
      <x:c r="G12" s="188"/>
      <x:c r="H12" s="188"/>
      <x:c r="I12" s="188"/>
      <x:c r="J12" s="188"/>
      <x:c r="K12" s="188"/>
      <x:c r="L12" s="188"/>
      <x:c r="M12" s="188"/>
      <x:c r="N12" s="188"/>
      <x:c r="O12" s="188"/>
      <x:c r="P12" s="466"/>
      <x:c r="Q12" s="189"/>
      <x:c r="R12" s="190"/>
      <x:c r="S12" s="199"/>
      <x:c r="T12" s="199"/>
      <x:c r="U12" s="199"/>
      <x:c r="V12" s="199"/>
      <x:c r="W12" s="199"/>
      <x:c r="X12" s="199"/>
      <x:c r="Y12" s="199"/>
    </x:row>
    <x:row r="13" spans="1:25" ht="17.25" thickTop="1" thickBot="1" x14ac:dyDescent="0.3">
      <x:c r="A13" s="227"/>
      <x:c r="B13" s="228" t="s">
        <x:v>134</x:v>
      </x:c>
      <x:c r="C13" s="200"/>
      <x:c r="D13" s="467">
        <x:f t="shared" ref="D13:P13" si="1">SUM(D5:D12)</x:f>
        <x:v>16157.1</x:v>
      </x:c>
      <x:c r="E13" s="467">
        <x:f t="shared" si="1"/>
        <x:v>19993.78</x:v>
      </x:c>
      <x:c r="F13" s="467">
        <x:f t="shared" si="1"/>
        <x:v>20280.8</x:v>
      </x:c>
      <x:c r="G13" s="467">
        <x:f t="shared" si="1"/>
        <x:v>25474.899999999998</x:v>
      </x:c>
      <x:c r="H13" s="467">
        <x:f t="shared" si="1"/>
        <x:v>18579.64</x:v>
      </x:c>
      <x:c r="I13" s="467">
        <x:f t="shared" si="1"/>
        <x:v>25278.04</x:v>
      </x:c>
      <x:c r="J13" s="467">
        <x:f t="shared" si="1"/>
        <x:v>27947.670000000002</x:v>
      </x:c>
      <x:c r="K13" s="467">
        <x:f t="shared" si="1"/>
        <x:v>20374.739999999998</x:v>
      </x:c>
      <x:c r="L13" s="467">
        <x:f t="shared" si="1"/>
        <x:v>32248.880000000001</x:v>
      </x:c>
      <x:c r="M13" s="467">
        <x:f t="shared" si="1"/>
        <x:v>22187.15</x:v>
      </x:c>
      <x:c r="N13" s="467">
        <x:f t="shared" si="1"/>
        <x:v>44033.9</x:v>
      </x:c>
      <x:c r="O13" s="467">
        <x:f t="shared" si="1"/>
        <x:v>12656.81</x:v>
      </x:c>
      <x:c r="P13" s="467">
        <x:f t="shared" si="1"/>
        <x:v>285213.41000000003</x:v>
      </x:c>
      <x:c r="Q13" s="231"/>
      <x:c r="R13" s="232"/>
      <x:c r="S13" s="199"/>
      <x:c r="T13" s="199"/>
      <x:c r="U13" s="199"/>
      <x:c r="V13" s="199"/>
      <x:c r="W13" s="199"/>
      <x:c r="X13" s="199"/>
      <x:c r="Y13" s="199"/>
    </x:row>
    <x:row r="14" spans="1:25" ht="15.75" thickTop="1" x14ac:dyDescent="0.25">
      <x:c r="A14" s="180"/>
      <x:c r="B14" s="234"/>
      <x:c r="C14" s="225"/>
      <x:c r="D14" s="468"/>
      <x:c r="E14" s="468"/>
      <x:c r="F14" s="468"/>
      <x:c r="G14" s="468"/>
      <x:c r="H14" s="468"/>
      <x:c r="I14" s="468"/>
      <x:c r="J14" s="468"/>
      <x:c r="K14" s="468"/>
      <x:c r="L14" s="468"/>
      <x:c r="M14" s="468"/>
      <x:c r="N14" s="468"/>
      <x:c r="O14" s="468"/>
      <x:c r="P14" s="238">
        <x:f>SUM(D13:O13)</x:f>
        <x:v>285213.40999999997</x:v>
      </x:c>
      <x:c r="Q14" s="183"/>
    </x:row>
    <x:row r="15" spans="1:25" ht="19.5" thickBot="1" x14ac:dyDescent="0.3">
      <x:c r="A15" s="239"/>
      <x:c r="B15" s="240"/>
      <x:c r="C15" s="175"/>
      <x:c r="D15" s="469"/>
      <x:c r="E15" s="469"/>
      <x:c r="F15" s="469"/>
      <x:c r="G15" s="469"/>
      <x:c r="H15" s="469"/>
      <x:c r="I15" s="469"/>
      <x:c r="J15" s="469"/>
      <x:c r="K15" s="469"/>
      <x:c r="L15" s="469"/>
      <x:c r="M15" s="469"/>
      <x:c r="N15" s="469"/>
      <x:c r="O15" s="469"/>
      <x:c r="P15" s="244"/>
      <x:c r="Q15" s="245"/>
      <x:c r="S15" s="199"/>
      <x:c r="T15" s="199"/>
      <x:c r="U15" s="199"/>
      <x:c r="V15" s="199"/>
      <x:c r="W15" s="199"/>
      <x:c r="X15" s="199"/>
      <x:c r="Y15" s="199"/>
    </x:row>
    <x:row r="16" spans="1:25" ht="15.75" thickTop="1" x14ac:dyDescent="0.25">
      <x:c r="C16" s="226"/>
      <x:c r="S16" s="199"/>
      <x:c r="T16" s="199"/>
      <x:c r="U16" s="199"/>
      <x:c r="V16" s="199"/>
      <x:c r="W16" s="199"/>
      <x:c r="X16" s="199"/>
      <x:c r="Y16" s="199"/>
    </x:row>
    <x:row r="17" spans="1:25" ht="15.75" thickBot="1" x14ac:dyDescent="0.3">
      <x:c r="B17" s="156"/>
    </x:row>
    <x:row r="18" spans="1:25" ht="15.75" thickTop="1" x14ac:dyDescent="0.25">
      <x:c r="A18" s="149"/>
      <x:c r="B18" s="150"/>
      <x:c r="C18" s="151"/>
      <x:c r="D18" s="461"/>
      <x:c r="E18" s="461"/>
      <x:c r="F18" s="461"/>
      <x:c r="G18" s="461"/>
      <x:c r="H18" s="461"/>
      <x:c r="I18" s="461"/>
      <x:c r="J18" s="461"/>
      <x:c r="K18" s="461"/>
      <x:c r="L18" s="461"/>
      <x:c r="M18" s="461"/>
      <x:c r="N18" s="461"/>
      <x:c r="O18" s="461"/>
      <x:c r="P18" s="154"/>
      <x:c r="Q18" s="155"/>
    </x:row>
    <x:row r="19" spans="1:25" ht="26.25" x14ac:dyDescent="0.4">
      <x:c r="A19" s="157"/>
      <x:c r="B19" s="158" t="s">
        <x:v>33</x:v>
      </x:c>
      <x:c r="C19" s="159"/>
      <x:c r="D19" s="462" t="s">
        <x:v>325</x:v>
      </x:c>
      <x:c r="E19" s="462" t="s">
        <x:v>46</x:v>
      </x:c>
      <x:c r="F19" s="462" t="s">
        <x:v>47</x:v>
      </x:c>
      <x:c r="G19" s="462" t="s">
        <x:v>48</x:v>
      </x:c>
      <x:c r="H19" s="462" t="s">
        <x:v>49</x:v>
      </x:c>
      <x:c r="I19" s="462" t="s">
        <x:v>50</x:v>
      </x:c>
      <x:c r="J19" s="462" t="s">
        <x:v>215</x:v>
      </x:c>
      <x:c r="K19" s="462" t="s">
        <x:v>182</x:v>
      </x:c>
      <x:c r="L19" s="462" t="s">
        <x:v>183</x:v>
      </x:c>
      <x:c r="M19" s="462" t="s">
        <x:v>184</x:v>
      </x:c>
      <x:c r="N19" s="462" t="s">
        <x:v>185</x:v>
      </x:c>
      <x:c r="O19" s="462" t="s">
        <x:v>186</x:v>
      </x:c>
      <x:c r="P19" s="163" t="s">
        <x:v>59</x:v>
      </x:c>
      <x:c r="Q19" s="164"/>
    </x:row>
    <x:row r="20" spans="1:25" ht="15.75" thickBot="1" x14ac:dyDescent="0.3">
      <x:c r="A20" s="166"/>
      <x:c r="B20" s="167" t="s">
        <x:v>4</x:v>
      </x:c>
      <x:c r="C20" s="168"/>
      <x:c r="D20" s="463" t="s">
        <x:v>14</x:v>
      </x:c>
      <x:c r="E20" s="463" t="s">
        <x:v>14</x:v>
      </x:c>
      <x:c r="F20" s="463" t="s">
        <x:v>14</x:v>
      </x:c>
      <x:c r="G20" s="463" t="s">
        <x:v>14</x:v>
      </x:c>
      <x:c r="H20" s="463" t="s">
        <x:v>14</x:v>
      </x:c>
      <x:c r="I20" s="463" t="s">
        <x:v>14</x:v>
      </x:c>
      <x:c r="J20" s="463" t="s">
        <x:v>14</x:v>
      </x:c>
      <x:c r="K20" s="463" t="s">
        <x:v>14</x:v>
      </x:c>
      <x:c r="L20" s="463" t="s">
        <x:v>14</x:v>
      </x:c>
      <x:c r="M20" s="463" t="s">
        <x:v>14</x:v>
      </x:c>
      <x:c r="N20" s="463" t="s">
        <x:v>14</x:v>
      </x:c>
      <x:c r="O20" s="463" t="s">
        <x:v>14</x:v>
      </x:c>
      <x:c r="P20" s="463" t="s">
        <x:v>14</x:v>
      </x:c>
      <x:c r="Q20" s="170"/>
    </x:row>
    <x:row r="21" spans="1:25" x14ac:dyDescent="0.25">
      <x:c r="A21" s="157"/>
      <x:c r="B21" s="171"/>
      <x:c r="C21" s="172"/>
      <x:c r="D21" s="464"/>
      <x:c r="E21" s="464"/>
      <x:c r="F21" s="464"/>
      <x:c r="G21" s="464"/>
      <x:c r="H21" s="464"/>
      <x:c r="I21" s="464"/>
      <x:c r="J21" s="464"/>
      <x:c r="K21" s="464"/>
      <x:c r="L21" s="464"/>
      <x:c r="M21" s="464"/>
      <x:c r="N21" s="464"/>
      <x:c r="O21" s="464"/>
      <x:c r="P21" s="465"/>
      <x:c r="Q21" s="164"/>
    </x:row>
    <x:row r="22" spans="1:25" x14ac:dyDescent="0.25">
      <x:c r="A22" s="157"/>
      <x:c r="B22" s="460"/>
      <x:c r="C22" s="172"/>
      <x:c r="D22" s="465"/>
      <x:c r="E22" s="465"/>
      <x:c r="F22" s="465"/>
      <x:c r="G22" s="465"/>
      <x:c r="H22" s="465"/>
      <x:c r="I22" s="465"/>
      <x:c r="J22" s="465"/>
      <x:c r="K22" s="465"/>
      <x:c r="L22" s="465"/>
      <x:c r="M22" s="465"/>
      <x:c r="N22" s="465"/>
      <x:c r="O22" s="465"/>
      <x:c r="P22" s="465"/>
      <x:c r="Q22" s="164"/>
    </x:row>
    <x:row r="23" spans="1:25" s="233" customFormat="1" ht="15.75" x14ac:dyDescent="0.25">
      <x:c r="A23" s="180"/>
      <x:c r="B23" s="186" t="s">
        <x:v>343</x:v>
      </x:c>
      <x:c r="C23" s="172"/>
      <x:c r="D23" s="471">
        <x:v>49702.64</x:v>
      </x:c>
      <x:c r="E23" s="471">
        <x:v>52297.69</x:v>
      </x:c>
      <x:c r="F23" s="471">
        <x:v>36240.47</x:v>
      </x:c>
      <x:c r="G23" s="471">
        <x:v>72849.039999999994</x:v>
      </x:c>
      <x:c r="H23" s="471">
        <x:v>57012.59</x:v>
      </x:c>
      <x:c r="I23" s="471">
        <x:v>71058.38</x:v>
      </x:c>
      <x:c r="J23" s="471">
        <x:v>49486.64</x:v>
      </x:c>
      <x:c r="K23" s="471">
        <x:v>87099.92</x:v>
      </x:c>
      <x:c r="L23" s="471">
        <x:v>91804.31</x:v>
      </x:c>
      <x:c r="M23" s="471">
        <x:v>87842.559999999998</x:v>
      </x:c>
      <x:c r="N23" s="471">
        <x:v>9970.76</x:v>
      </x:c>
      <x:c r="O23" s="471">
        <x:v>71051.92</x:v>
      </x:c>
      <x:c r="P23" s="471">
        <x:f>SUM(D23:O23)</x:f>
        <x:v>736416.92</x:v>
      </x:c>
      <x:c r="Q23" s="472"/>
      <x:c r="S23" s="232"/>
      <x:c r="T23" s="232"/>
      <x:c r="U23" s="232"/>
      <x:c r="V23" s="232"/>
      <x:c r="W23" s="232"/>
      <x:c r="X23" s="232"/>
      <x:c r="Y23" s="232"/>
    </x:row>
    <x:row r="24" spans="1:25" x14ac:dyDescent="0.25">
      <x:c r="A24" s="180"/>
      <x:c r="B24" s="186" t="s">
        <x:v>349</x:v>
      </x:c>
      <x:c r="C24" s="179"/>
      <x:c r="D24" s="470">
        <x:v>7492.74</x:v>
      </x:c>
      <x:c r="E24" s="470">
        <x:v>11024.95</x:v>
      </x:c>
      <x:c r="F24" s="470">
        <x:v>7082.9</x:v>
      </x:c>
      <x:c r="G24" s="470">
        <x:v>9224.91</x:v>
      </x:c>
      <x:c r="H24" s="470">
        <x:v>4804.3599999999997</x:v>
      </x:c>
      <x:c r="I24" s="470">
        <x:v>5627.16</x:v>
      </x:c>
      <x:c r="J24" s="470">
        <x:v>4558.05</x:v>
      </x:c>
      <x:c r="K24" s="470">
        <x:v>13809.22</x:v>
      </x:c>
      <x:c r="L24" s="470">
        <x:v>6985.8</x:v>
      </x:c>
      <x:c r="M24" s="470">
        <x:v>17399.18</x:v>
      </x:c>
      <x:c r="N24" s="470">
        <x:v>32745.57</x:v>
      </x:c>
      <x:c r="O24" s="470">
        <x:v>7578.84</x:v>
      </x:c>
      <x:c r="P24" s="471">
        <x:f>SUM(D24:O24)</x:f>
        <x:v>128333.68000000002</x:v>
      </x:c>
      <x:c r="Q24" s="183"/>
    </x:row>
    <x:row r="25" spans="1:25" x14ac:dyDescent="0.25">
      <x:c r="A25" s="180"/>
      <x:c r="B25" s="186" t="s">
        <x:v>350</x:v>
      </x:c>
      <x:c r="C25" s="200"/>
      <x:c r="D25" s="470">
        <x:v>20085.39</x:v>
      </x:c>
      <x:c r="E25" s="470">
        <x:v>56040.5</x:v>
      </x:c>
      <x:c r="F25" s="470">
        <x:v>18670.71</x:v>
      </x:c>
      <x:c r="G25" s="470">
        <x:v>23942.3</x:v>
      </x:c>
      <x:c r="H25" s="470">
        <x:v>24955.91</x:v>
      </x:c>
      <x:c r="I25" s="470">
        <x:v>16268.89</x:v>
      </x:c>
      <x:c r="J25" s="470">
        <x:v>16386.060000000001</x:v>
      </x:c>
      <x:c r="K25" s="470">
        <x:v>45141.55</x:v>
      </x:c>
      <x:c r="L25" s="470">
        <x:v>11803.31</x:v>
      </x:c>
      <x:c r="M25" s="470">
        <x:v>38626.35</x:v>
      </x:c>
      <x:c r="N25" s="470">
        <x:v>91277.52</x:v>
      </x:c>
      <x:c r="O25" s="470">
        <x:v>29445.05</x:v>
      </x:c>
      <x:c r="P25" s="471">
        <x:f>SUM(D25:O25)</x:f>
        <x:v>392643.54</x:v>
      </x:c>
      <x:c r="Q25" s="183"/>
    </x:row>
    <x:row r="26" spans="1:25" x14ac:dyDescent="0.25">
      <x:c r="A26" s="180"/>
      <x:c r="B26" s="186"/>
      <x:c r="C26" s="200"/>
      <x:c r="D26" s="188"/>
      <x:c r="E26" s="188"/>
      <x:c r="F26" s="188"/>
      <x:c r="G26" s="188"/>
      <x:c r="H26" s="188"/>
      <x:c r="I26" s="188"/>
      <x:c r="J26" s="188"/>
      <x:c r="K26" s="188"/>
      <x:c r="L26" s="188"/>
      <x:c r="M26" s="188"/>
      <x:c r="N26" s="188"/>
      <x:c r="O26" s="188"/>
      <x:c r="P26" s="465">
        <x:f>SUM(D26:O26)</x:f>
        <x:v>0</x:v>
      </x:c>
      <x:c r="Q26" s="189"/>
    </x:row>
    <x:row r="27" spans="1:25" ht="15.75" thickBot="1" x14ac:dyDescent="0.3">
      <x:c r="A27" s="180"/>
      <x:c r="B27" s="186"/>
      <x:c r="C27" s="200"/>
      <x:c r="D27" s="188"/>
      <x:c r="E27" s="188"/>
      <x:c r="F27" s="188"/>
      <x:c r="G27" s="188"/>
      <x:c r="H27" s="188"/>
      <x:c r="I27" s="188"/>
      <x:c r="J27" s="188"/>
      <x:c r="K27" s="188"/>
      <x:c r="L27" s="188"/>
      <x:c r="M27" s="188"/>
      <x:c r="N27" s="188"/>
      <x:c r="O27" s="188"/>
      <x:c r="P27" s="466"/>
      <x:c r="Q27" s="189"/>
    </x:row>
    <x:row r="28" spans="1:25" ht="17.25" thickTop="1" thickBot="1" x14ac:dyDescent="0.3">
      <x:c r="A28" s="227"/>
      <x:c r="B28" s="228" t="s">
        <x:v>134</x:v>
      </x:c>
      <x:c r="C28" s="200"/>
      <x:c r="D28" s="467">
        <x:f>SUM(D23:D27)</x:f>
        <x:v>77280.76999999999</x:v>
      </x:c>
      <x:c r="E28" s="467">
        <x:f t="shared" ref="E28:O28" si="2">SUM(E23:E27)</x:f>
        <x:v>119363.14</x:v>
      </x:c>
      <x:c r="F28" s="467">
        <x:f t="shared" si="2"/>
        <x:v>61994.080000000002</x:v>
      </x:c>
      <x:c r="G28" s="467">
        <x:f t="shared" si="2"/>
        <x:v>106016.25</x:v>
      </x:c>
      <x:c r="H28" s="467">
        <x:f t="shared" si="2"/>
        <x:v>86772.86</x:v>
      </x:c>
      <x:c r="I28" s="467">
        <x:f t="shared" si="2"/>
        <x:v>92954.430000000008</x:v>
      </x:c>
      <x:c r="J28" s="467">
        <x:f t="shared" si="2"/>
        <x:v>70430.75</x:v>
      </x:c>
      <x:c r="K28" s="467">
        <x:f t="shared" si="2"/>
        <x:v>146050.69</x:v>
      </x:c>
      <x:c r="L28" s="467">
        <x:f t="shared" si="2"/>
        <x:v>110593.42</x:v>
      </x:c>
      <x:c r="M28" s="467">
        <x:f t="shared" si="2"/>
        <x:v>143868.09</x:v>
      </x:c>
      <x:c r="N28" s="467">
        <x:f t="shared" si="2"/>
        <x:v>133993.85</x:v>
      </x:c>
      <x:c r="O28" s="467">
        <x:f t="shared" si="2"/>
        <x:v>108075.81</x:v>
      </x:c>
      <x:c r="P28" s="467">
        <x:f>SUM(P23:P26)</x:f>
        <x:v>1257394.1400000001</x:v>
      </x:c>
      <x:c r="Q28" s="231"/>
    </x:row>
    <x:row r="29" spans="1:25" ht="15.75" thickTop="1" x14ac:dyDescent="0.25">
      <x:c r="A29" s="180"/>
      <x:c r="B29" s="234"/>
      <x:c r="C29" s="225"/>
      <x:c r="D29" s="468"/>
      <x:c r="E29" s="468"/>
      <x:c r="F29" s="468"/>
      <x:c r="G29" s="468"/>
      <x:c r="H29" s="468"/>
      <x:c r="I29" s="468"/>
      <x:c r="J29" s="468"/>
      <x:c r="K29" s="468"/>
      <x:c r="L29" s="468"/>
      <x:c r="M29" s="468"/>
      <x:c r="N29" s="468"/>
      <x:c r="O29" s="468"/>
      <x:c r="P29" s="238">
        <x:f>SUM(D28:O28)</x:f>
        <x:v>1257394.1400000001</x:v>
      </x:c>
      <x:c r="Q29" s="183"/>
    </x:row>
    <x:row r="30" spans="1:25" ht="19.5" thickBot="1" x14ac:dyDescent="0.3">
      <x:c r="A30" s="239"/>
      <x:c r="B30" s="240"/>
      <x:c r="C30" s="473"/>
      <x:c r="D30" s="469"/>
      <x:c r="E30" s="469"/>
      <x:c r="F30" s="469"/>
      <x:c r="G30" s="469"/>
      <x:c r="H30" s="469"/>
      <x:c r="I30" s="469"/>
      <x:c r="J30" s="469"/>
      <x:c r="K30" s="469"/>
      <x:c r="L30" s="469"/>
      <x:c r="M30" s="469"/>
      <x:c r="N30" s="469"/>
      <x:c r="O30" s="469"/>
      <x:c r="P30" s="244"/>
      <x:c r="Q30" s="245"/>
    </x:row>
    <x:row r="31" spans="1:25" ht="15.75" thickTop="1" x14ac:dyDescent="0.25">
      <x:c r="B31" s="156"/>
      <x:c r="D31" s="253"/>
      <x:c r="E31" s="253"/>
      <x:c r="F31" s="253"/>
      <x:c r="G31" s="253"/>
      <x:c r="H31" s="253"/>
      <x:c r="I31" s="253"/>
      <x:c r="J31" s="253"/>
      <x:c r="K31" s="253"/>
      <x:c r="L31" s="253"/>
      <x:c r="M31" s="253"/>
      <x:c r="N31" s="253"/>
      <x:c r="O31" s="253"/>
      <x:c r="P31" s="253"/>
    </x:row>
    <x:row r="32" spans="1:25" x14ac:dyDescent="0.25">
      <x:c r="B32" s="156"/>
      <x:c r="D32" s="253"/>
      <x:c r="E32" s="253"/>
      <x:c r="F32" s="253"/>
      <x:c r="G32" s="253"/>
      <x:c r="H32" s="253"/>
      <x:c r="I32" s="253"/>
      <x:c r="J32" s="253"/>
      <x:c r="K32" s="253"/>
      <x:c r="L32" s="253"/>
      <x:c r="M32" s="253"/>
      <x:c r="N32" s="253"/>
      <x:c r="O32" s="253"/>
      <x:c r="P32" s="253"/>
    </x:row>
    <x:row r="33" spans="1:17" s="165" customFormat="1" x14ac:dyDescent="0.25">
      <x:c r="A33" s="157"/>
      <x:c r="B33" s="186" t="s">
        <x:v>354</x:v>
      </x:c>
      <x:c r="C33" s="172"/>
      <x:c r="D33" s="471">
        <x:v>4927.18</x:v>
      </x:c>
      <x:c r="E33" s="471">
        <x:v>16621.740000000002</x:v>
      </x:c>
      <x:c r="F33" s="471">
        <x:v>6942.09</x:v>
      </x:c>
      <x:c r="G33" s="471">
        <x:v>1986.72</x:v>
      </x:c>
      <x:c r="H33" s="471">
        <x:v>4577.6899999999996</x:v>
      </x:c>
      <x:c r="I33" s="471">
        <x:v>37766.230000000003</x:v>
      </x:c>
      <x:c r="J33" s="471">
        <x:v>1387.67</x:v>
      </x:c>
      <x:c r="K33" s="471">
        <x:v>18385.810000000001</x:v>
      </x:c>
      <x:c r="L33" s="471">
        <x:v>10019.299999999999</x:v>
      </x:c>
      <x:c r="M33" s="471">
        <x:v>0</x:v>
      </x:c>
      <x:c r="N33" s="471">
        <x:v>19589.849999999999</x:v>
      </x:c>
      <x:c r="O33" s="471"/>
      <x:c r="P33" s="471">
        <x:f>SUM(D33:O33)</x:f>
        <x:v>122204.28</x:v>
      </x:c>
      <x:c r="Q33" s="164"/>
    </x:row>
    <x:row r="34" spans="1:17" x14ac:dyDescent="0.25">
      <x:c r="B34" s="156"/>
      <x:c r="D34" s="253"/>
      <x:c r="E34" s="253"/>
      <x:c r="F34" s="253"/>
      <x:c r="G34" s="253"/>
      <x:c r="H34" s="253"/>
      <x:c r="I34" s="253"/>
      <x:c r="J34" s="253"/>
      <x:c r="K34" s="253"/>
      <x:c r="L34" s="253"/>
      <x:c r="M34" s="253"/>
      <x:c r="N34" s="253"/>
      <x:c r="O34" s="253"/>
      <x:c r="P34" s="253"/>
    </x:row>
    <x:row r="35" spans="1:17" x14ac:dyDescent="0.25">
      <x:c r="B35" s="156"/>
      <x:c r="D35" s="253"/>
      <x:c r="E35" s="253"/>
      <x:c r="F35" s="253"/>
      <x:c r="G35" s="253"/>
      <x:c r="H35" s="253"/>
      <x:c r="I35" s="253"/>
      <x:c r="J35" s="253"/>
      <x:c r="K35" s="253"/>
      <x:c r="L35" s="253"/>
      <x:c r="M35" s="253"/>
      <x:c r="N35" s="253"/>
      <x:c r="O35" s="253"/>
      <x:c r="P35" s="253"/>
    </x:row>
    <x:row r="36" spans="1:17" x14ac:dyDescent="0.25">
      <x:c r="B36" s="156"/>
      <x:c r="D36" s="253"/>
      <x:c r="E36" s="253"/>
      <x:c r="F36" s="253"/>
      <x:c r="G36" s="253"/>
      <x:c r="H36" s="253"/>
      <x:c r="I36" s="253"/>
      <x:c r="J36" s="253"/>
      <x:c r="K36" s="253"/>
      <x:c r="L36" s="253"/>
      <x:c r="M36" s="253"/>
      <x:c r="N36" s="253"/>
      <x:c r="O36" s="253"/>
      <x:c r="P36" s="253"/>
    </x:row>
    <x:row r="37" spans="1:17" x14ac:dyDescent="0.25">
      <x:c r="B37" s="156"/>
      <x:c r="D37" s="253"/>
      <x:c r="E37" s="253"/>
      <x:c r="F37" s="253"/>
      <x:c r="G37" s="253"/>
      <x:c r="H37" s="253"/>
      <x:c r="I37" s="253"/>
      <x:c r="J37" s="253"/>
      <x:c r="K37" s="253"/>
      <x:c r="L37" s="253"/>
      <x:c r="M37" s="253"/>
      <x:c r="N37" s="253"/>
      <x:c r="O37" s="253"/>
      <x:c r="P37" s="253"/>
    </x:row>
    <x:row r="38" spans="1:17" x14ac:dyDescent="0.25">
      <x:c r="B38" s="156"/>
      <x:c r="D38" s="253"/>
      <x:c r="E38" s="253"/>
      <x:c r="F38" s="253"/>
      <x:c r="G38" s="253"/>
      <x:c r="H38" s="253"/>
      <x:c r="I38" s="253"/>
      <x:c r="J38" s="253"/>
      <x:c r="K38" s="253"/>
      <x:c r="L38" s="253"/>
      <x:c r="M38" s="253"/>
      <x:c r="N38" s="253"/>
      <x:c r="O38" s="253"/>
      <x:c r="P38" s="253"/>
    </x:row>
    <x:row r="39" spans="1:17" x14ac:dyDescent="0.25">
      <x:c r="B39" s="156"/>
      <x:c r="D39" s="253"/>
      <x:c r="E39" s="253"/>
      <x:c r="F39" s="253"/>
      <x:c r="G39" s="253"/>
      <x:c r="H39" s="253"/>
      <x:c r="I39" s="253"/>
      <x:c r="J39" s="253"/>
      <x:c r="K39" s="253"/>
      <x:c r="L39" s="253"/>
      <x:c r="M39" s="253"/>
      <x:c r="N39" s="253"/>
      <x:c r="O39" s="253"/>
      <x:c r="P39" s="253"/>
    </x:row>
    <x:row r="40" spans="1:17" x14ac:dyDescent="0.25">
      <x:c r="B40" s="156"/>
      <x:c r="D40" s="253"/>
      <x:c r="E40" s="253"/>
      <x:c r="F40" s="253"/>
      <x:c r="G40" s="253"/>
      <x:c r="H40" s="253"/>
      <x:c r="I40" s="253"/>
      <x:c r="J40" s="253"/>
      <x:c r="K40" s="253"/>
      <x:c r="L40" s="253"/>
      <x:c r="M40" s="253"/>
      <x:c r="N40" s="253"/>
      <x:c r="O40" s="253"/>
      <x:c r="P40" s="253"/>
    </x:row>
    <x:row r="41" spans="1:17" x14ac:dyDescent="0.25">
      <x:c r="B41" s="156"/>
      <x:c r="D41" s="253"/>
      <x:c r="E41" s="253"/>
      <x:c r="F41" s="253"/>
      <x:c r="G41" s="253"/>
      <x:c r="H41" s="253"/>
      <x:c r="I41" s="253"/>
      <x:c r="J41" s="253"/>
      <x:c r="K41" s="253"/>
      <x:c r="L41" s="253"/>
      <x:c r="M41" s="253"/>
      <x:c r="N41" s="253"/>
      <x:c r="O41" s="253"/>
      <x:c r="P41" s="253"/>
    </x:row>
    <x:row r="42" spans="1:17" x14ac:dyDescent="0.25">
      <x:c r="B42" s="156"/>
      <x:c r="D42" s="253"/>
      <x:c r="E42" s="253"/>
      <x:c r="F42" s="253"/>
      <x:c r="G42" s="253"/>
      <x:c r="H42" s="253"/>
      <x:c r="I42" s="253"/>
      <x:c r="J42" s="253"/>
      <x:c r="K42" s="253"/>
      <x:c r="L42" s="253"/>
      <x:c r="M42" s="253"/>
      <x:c r="N42" s="253"/>
      <x:c r="O42" s="253"/>
      <x:c r="P42" s="253"/>
    </x:row>
    <x:row r="43" spans="1:17" x14ac:dyDescent="0.25">
      <x:c r="B43" s="156"/>
      <x:c r="D43" s="253"/>
      <x:c r="E43" s="253"/>
      <x:c r="F43" s="253"/>
      <x:c r="G43" s="253"/>
      <x:c r="H43" s="253"/>
      <x:c r="I43" s="253"/>
      <x:c r="J43" s="253"/>
      <x:c r="K43" s="253"/>
      <x:c r="L43" s="253"/>
      <x:c r="M43" s="253"/>
      <x:c r="N43" s="253"/>
      <x:c r="O43" s="253"/>
      <x:c r="P43" s="253"/>
    </x:row>
    <x:row r="44" spans="1:17" x14ac:dyDescent="0.25">
      <x:c r="B44" s="156"/>
      <x:c r="D44" s="253"/>
      <x:c r="E44" s="253"/>
      <x:c r="F44" s="253"/>
      <x:c r="G44" s="253"/>
      <x:c r="H44" s="253"/>
      <x:c r="I44" s="253"/>
      <x:c r="J44" s="253"/>
      <x:c r="K44" s="253"/>
      <x:c r="L44" s="253"/>
      <x:c r="M44" s="253"/>
      <x:c r="N44" s="253"/>
      <x:c r="O44" s="253"/>
      <x:c r="P44" s="253"/>
    </x:row>
    <x:row r="45" spans="1:17" x14ac:dyDescent="0.25">
      <x:c r="B45" s="156"/>
      <x:c r="D45" s="253"/>
      <x:c r="E45" s="253"/>
      <x:c r="F45" s="253"/>
      <x:c r="G45" s="253"/>
      <x:c r="H45" s="253"/>
      <x:c r="I45" s="253"/>
      <x:c r="J45" s="253"/>
      <x:c r="K45" s="253"/>
      <x:c r="L45" s="253"/>
      <x:c r="M45" s="253"/>
      <x:c r="N45" s="253"/>
      <x:c r="O45" s="253"/>
      <x:c r="P45" s="253"/>
    </x:row>
    <x:row r="46" spans="1:17" x14ac:dyDescent="0.25">
      <x:c r="B46" s="156"/>
      <x:c r="D46" s="253"/>
      <x:c r="E46" s="253"/>
      <x:c r="F46" s="253"/>
      <x:c r="G46" s="253"/>
      <x:c r="H46" s="253"/>
      <x:c r="I46" s="253"/>
      <x:c r="J46" s="253"/>
      <x:c r="K46" s="253"/>
      <x:c r="L46" s="253"/>
      <x:c r="M46" s="253"/>
      <x:c r="N46" s="253"/>
      <x:c r="O46" s="253"/>
      <x:c r="P46" s="253"/>
    </x:row>
    <x:row r="47" spans="1:17" x14ac:dyDescent="0.25">
      <x:c r="B47" s="156"/>
      <x:c r="D47" s="253"/>
      <x:c r="E47" s="253"/>
      <x:c r="F47" s="253"/>
      <x:c r="G47" s="253"/>
      <x:c r="H47" s="253"/>
      <x:c r="I47" s="253"/>
      <x:c r="J47" s="253"/>
      <x:c r="K47" s="253"/>
      <x:c r="L47" s="253"/>
      <x:c r="M47" s="253"/>
      <x:c r="N47" s="253"/>
      <x:c r="O47" s="253"/>
      <x:c r="P47" s="253"/>
    </x:row>
    <x:row r="48" spans="1:17" x14ac:dyDescent="0.25">
      <x:c r="B48" s="156"/>
      <x:c r="D48" s="253"/>
      <x:c r="E48" s="253"/>
      <x:c r="F48" s="253"/>
      <x:c r="G48" s="253"/>
      <x:c r="H48" s="253"/>
      <x:c r="I48" s="253"/>
      <x:c r="J48" s="253"/>
      <x:c r="K48" s="253"/>
      <x:c r="L48" s="253"/>
      <x:c r="M48" s="253"/>
      <x:c r="N48" s="253"/>
      <x:c r="O48" s="253"/>
      <x:c r="P48" s="253"/>
    </x:row>
    <x:row r="49" spans="2:16" x14ac:dyDescent="0.25">
      <x:c r="B49" s="156"/>
      <x:c r="D49" s="253"/>
      <x:c r="E49" s="253"/>
      <x:c r="F49" s="253"/>
      <x:c r="G49" s="253"/>
      <x:c r="H49" s="253"/>
      <x:c r="I49" s="253"/>
      <x:c r="J49" s="253"/>
      <x:c r="K49" s="253"/>
      <x:c r="L49" s="253"/>
      <x:c r="M49" s="253"/>
      <x:c r="N49" s="253"/>
      <x:c r="O49" s="253"/>
      <x:c r="P49" s="253"/>
    </x:row>
    <x:row r="50" spans="2:16" x14ac:dyDescent="0.25">
      <x:c r="B50" s="156"/>
      <x:c r="D50" s="253"/>
      <x:c r="E50" s="253"/>
      <x:c r="F50" s="253"/>
      <x:c r="G50" s="253"/>
      <x:c r="H50" s="253"/>
      <x:c r="I50" s="253"/>
      <x:c r="J50" s="253"/>
      <x:c r="K50" s="253"/>
      <x:c r="L50" s="253"/>
      <x:c r="M50" s="253"/>
      <x:c r="N50" s="253"/>
      <x:c r="O50" s="253"/>
      <x:c r="P50" s="253"/>
    </x:row>
    <x:row r="51" spans="2:16" x14ac:dyDescent="0.25">
      <x:c r="B51" s="156"/>
      <x:c r="D51" s="253"/>
      <x:c r="E51" s="253"/>
      <x:c r="F51" s="253"/>
      <x:c r="G51" s="253"/>
      <x:c r="H51" s="253"/>
      <x:c r="I51" s="253"/>
      <x:c r="J51" s="253"/>
      <x:c r="K51" s="253"/>
      <x:c r="L51" s="253"/>
      <x:c r="M51" s="253"/>
      <x:c r="N51" s="253"/>
      <x:c r="O51" s="253"/>
      <x:c r="P51" s="253"/>
    </x:row>
    <x:row r="52" spans="2:16" x14ac:dyDescent="0.25">
      <x:c r="B52" s="156"/>
      <x:c r="D52" s="253"/>
      <x:c r="E52" s="253"/>
      <x:c r="F52" s="253"/>
      <x:c r="G52" s="253"/>
      <x:c r="H52" s="253"/>
      <x:c r="I52" s="253"/>
      <x:c r="J52" s="253"/>
      <x:c r="K52" s="253"/>
      <x:c r="L52" s="253"/>
      <x:c r="M52" s="253"/>
      <x:c r="N52" s="253"/>
      <x:c r="O52" s="253"/>
      <x:c r="P52" s="253"/>
    </x:row>
    <x:row r="53" spans="2:16" x14ac:dyDescent="0.25">
      <x:c r="B53" s="156"/>
      <x:c r="D53" s="253"/>
      <x:c r="E53" s="253"/>
      <x:c r="F53" s="253"/>
      <x:c r="G53" s="253"/>
      <x:c r="H53" s="253"/>
      <x:c r="I53" s="253"/>
      <x:c r="J53" s="253"/>
      <x:c r="K53" s="253"/>
      <x:c r="L53" s="253"/>
      <x:c r="M53" s="253"/>
      <x:c r="N53" s="253"/>
      <x:c r="O53" s="253"/>
      <x:c r="P53" s="253"/>
    </x:row>
    <x:row r="54" spans="2:16" x14ac:dyDescent="0.25">
      <x:c r="B54" s="156"/>
      <x:c r="D54" s="253"/>
      <x:c r="E54" s="253"/>
      <x:c r="F54" s="253"/>
      <x:c r="G54" s="253"/>
      <x:c r="H54" s="253"/>
      <x:c r="I54" s="253"/>
      <x:c r="J54" s="253"/>
      <x:c r="K54" s="253"/>
      <x:c r="L54" s="253"/>
      <x:c r="M54" s="253"/>
      <x:c r="N54" s="253"/>
      <x:c r="O54" s="253"/>
      <x:c r="P54" s="253"/>
    </x:row>
    <x:row r="55" spans="2:16" x14ac:dyDescent="0.25">
      <x:c r="B55" s="156"/>
      <x:c r="D55" s="253"/>
      <x:c r="E55" s="253"/>
      <x:c r="F55" s="253"/>
      <x:c r="G55" s="253"/>
      <x:c r="H55" s="253"/>
      <x:c r="I55" s="253"/>
      <x:c r="J55" s="253"/>
      <x:c r="K55" s="253"/>
      <x:c r="L55" s="253"/>
      <x:c r="M55" s="253"/>
      <x:c r="N55" s="253"/>
      <x:c r="O55" s="253"/>
      <x:c r="P55" s="253"/>
    </x:row>
    <x:row r="56" spans="2:16" x14ac:dyDescent="0.25">
      <x:c r="B56" s="156"/>
      <x:c r="D56" s="253"/>
      <x:c r="E56" s="253"/>
      <x:c r="F56" s="253"/>
      <x:c r="G56" s="253"/>
      <x:c r="H56" s="253"/>
      <x:c r="I56" s="253"/>
      <x:c r="J56" s="253"/>
      <x:c r="K56" s="253"/>
      <x:c r="L56" s="253"/>
      <x:c r="M56" s="253"/>
      <x:c r="N56" s="253"/>
      <x:c r="O56" s="253"/>
      <x:c r="P56" s="253"/>
    </x:row>
    <x:row r="57" spans="2:16" x14ac:dyDescent="0.25">
      <x:c r="B57" s="156"/>
      <x:c r="D57" s="253"/>
      <x:c r="E57" s="253"/>
      <x:c r="F57" s="253"/>
      <x:c r="G57" s="253"/>
      <x:c r="H57" s="253"/>
      <x:c r="I57" s="253"/>
      <x:c r="J57" s="253"/>
      <x:c r="K57" s="253"/>
      <x:c r="L57" s="253"/>
      <x:c r="M57" s="253"/>
      <x:c r="N57" s="253"/>
      <x:c r="O57" s="253"/>
      <x:c r="P57" s="253"/>
    </x:row>
    <x:row r="58" spans="2:16" x14ac:dyDescent="0.25">
      <x:c r="B58" s="156"/>
      <x:c r="D58" s="253"/>
      <x:c r="E58" s="253"/>
      <x:c r="F58" s="253"/>
      <x:c r="G58" s="253"/>
      <x:c r="H58" s="253"/>
      <x:c r="I58" s="253"/>
      <x:c r="J58" s="253"/>
      <x:c r="K58" s="253"/>
      <x:c r="L58" s="253"/>
      <x:c r="M58" s="253"/>
      <x:c r="N58" s="253"/>
      <x:c r="O58" s="253"/>
      <x:c r="P58" s="253"/>
    </x:row>
    <x:row r="59" spans="2:16" x14ac:dyDescent="0.25">
      <x:c r="B59" s="156"/>
      <x:c r="D59" s="253"/>
      <x:c r="E59" s="253"/>
      <x:c r="F59" s="253"/>
      <x:c r="G59" s="253"/>
      <x:c r="H59" s="253"/>
      <x:c r="I59" s="253"/>
      <x:c r="J59" s="253"/>
      <x:c r="K59" s="253"/>
      <x:c r="L59" s="253"/>
      <x:c r="M59" s="253"/>
      <x:c r="N59" s="253"/>
      <x:c r="O59" s="253"/>
      <x:c r="P59" s="253"/>
    </x:row>
    <x:row r="60" spans="2:16" x14ac:dyDescent="0.25">
      <x:c r="B60" s="156"/>
      <x:c r="D60" s="253"/>
      <x:c r="E60" s="253"/>
      <x:c r="F60" s="253"/>
      <x:c r="G60" s="253"/>
      <x:c r="H60" s="253"/>
      <x:c r="I60" s="253"/>
      <x:c r="J60" s="253"/>
      <x:c r="K60" s="253"/>
      <x:c r="L60" s="253"/>
      <x:c r="M60" s="253"/>
      <x:c r="N60" s="253"/>
      <x:c r="O60" s="253"/>
      <x:c r="P60" s="253"/>
    </x:row>
    <x:row r="61" spans="2:16" x14ac:dyDescent="0.25">
      <x:c r="B61" s="156"/>
      <x:c r="D61" s="253"/>
      <x:c r="E61" s="253"/>
      <x:c r="F61" s="253"/>
      <x:c r="G61" s="253"/>
      <x:c r="H61" s="253"/>
      <x:c r="I61" s="253"/>
      <x:c r="J61" s="253"/>
      <x:c r="K61" s="253"/>
      <x:c r="L61" s="253"/>
      <x:c r="M61" s="253"/>
      <x:c r="N61" s="253"/>
      <x:c r="O61" s="253"/>
      <x:c r="P61" s="253"/>
    </x:row>
    <x:row r="62" spans="2:16" x14ac:dyDescent="0.25">
      <x:c r="B62" s="156"/>
      <x:c r="D62" s="253"/>
      <x:c r="E62" s="253"/>
      <x:c r="F62" s="253"/>
      <x:c r="G62" s="253"/>
      <x:c r="H62" s="253"/>
      <x:c r="I62" s="253"/>
      <x:c r="J62" s="253"/>
      <x:c r="K62" s="253"/>
      <x:c r="L62" s="253"/>
      <x:c r="M62" s="253"/>
      <x:c r="N62" s="253"/>
      <x:c r="O62" s="253"/>
      <x:c r="P62" s="253"/>
    </x:row>
    <x:row r="63" spans="2:16" x14ac:dyDescent="0.25">
      <x:c r="B63" s="156"/>
      <x:c r="D63" s="253"/>
      <x:c r="E63" s="253"/>
      <x:c r="F63" s="253"/>
      <x:c r="G63" s="253"/>
      <x:c r="H63" s="253"/>
      <x:c r="I63" s="253"/>
      <x:c r="J63" s="253"/>
      <x:c r="K63" s="253"/>
      <x:c r="L63" s="253"/>
      <x:c r="M63" s="253"/>
      <x:c r="N63" s="253"/>
      <x:c r="O63" s="253"/>
      <x:c r="P63" s="253"/>
    </x:row>
    <x:row r="64" spans="2:16" x14ac:dyDescent="0.25">
      <x:c r="B64" s="156"/>
      <x:c r="D64" s="253"/>
      <x:c r="E64" s="253"/>
      <x:c r="F64" s="253"/>
      <x:c r="G64" s="253"/>
      <x:c r="H64" s="253"/>
      <x:c r="I64" s="253"/>
      <x:c r="J64" s="253"/>
      <x:c r="K64" s="253"/>
      <x:c r="L64" s="253"/>
      <x:c r="M64" s="253"/>
      <x:c r="N64" s="253"/>
      <x:c r="O64" s="253"/>
      <x:c r="P64" s="253"/>
    </x:row>
    <x:row r="65" spans="2:16" x14ac:dyDescent="0.25">
      <x:c r="B65" s="156"/>
      <x:c r="D65" s="253"/>
      <x:c r="E65" s="253"/>
      <x:c r="F65" s="253"/>
      <x:c r="G65" s="253"/>
      <x:c r="H65" s="253"/>
      <x:c r="I65" s="253"/>
      <x:c r="J65" s="253"/>
      <x:c r="K65" s="253"/>
      <x:c r="L65" s="253"/>
      <x:c r="M65" s="253"/>
      <x:c r="N65" s="253"/>
      <x:c r="O65" s="253"/>
      <x:c r="P65" s="253"/>
    </x:row>
    <x:row r="66" spans="2:16" x14ac:dyDescent="0.25">
      <x:c r="B66" s="156"/>
      <x:c r="D66" s="253"/>
      <x:c r="E66" s="253"/>
      <x:c r="F66" s="253"/>
      <x:c r="G66" s="253"/>
      <x:c r="H66" s="253"/>
      <x:c r="I66" s="253"/>
      <x:c r="J66" s="253"/>
      <x:c r="K66" s="253"/>
      <x:c r="L66" s="253"/>
      <x:c r="M66" s="253"/>
      <x:c r="N66" s="253"/>
      <x:c r="O66" s="253"/>
      <x:c r="P66" s="253"/>
    </x:row>
    <x:row r="67" spans="2:16" x14ac:dyDescent="0.25">
      <x:c r="B67" s="156"/>
      <x:c r="D67" s="253"/>
      <x:c r="E67" s="253"/>
      <x:c r="F67" s="253"/>
      <x:c r="G67" s="253"/>
      <x:c r="H67" s="253"/>
      <x:c r="I67" s="253"/>
      <x:c r="J67" s="253"/>
      <x:c r="K67" s="253"/>
      <x:c r="L67" s="253"/>
      <x:c r="M67" s="253"/>
      <x:c r="N67" s="253"/>
      <x:c r="O67" s="253"/>
      <x:c r="P67" s="253"/>
    </x:row>
    <x:row r="68" spans="2:16" x14ac:dyDescent="0.25">
      <x:c r="B68" s="156"/>
      <x:c r="D68" s="253"/>
      <x:c r="E68" s="253"/>
      <x:c r="F68" s="253"/>
      <x:c r="G68" s="253"/>
      <x:c r="H68" s="253"/>
      <x:c r="I68" s="253"/>
      <x:c r="J68" s="253"/>
      <x:c r="K68" s="253"/>
      <x:c r="L68" s="253"/>
      <x:c r="M68" s="253"/>
      <x:c r="N68" s="253"/>
      <x:c r="O68" s="253"/>
      <x:c r="P68" s="253"/>
    </x:row>
    <x:row r="69" spans="2:16" x14ac:dyDescent="0.25">
      <x:c r="B69" s="156"/>
      <x:c r="D69" s="253"/>
      <x:c r="E69" s="253"/>
      <x:c r="F69" s="253"/>
      <x:c r="G69" s="253"/>
      <x:c r="H69" s="253"/>
      <x:c r="I69" s="253"/>
      <x:c r="J69" s="253"/>
      <x:c r="K69" s="253"/>
      <x:c r="L69" s="253"/>
      <x:c r="M69" s="253"/>
      <x:c r="N69" s="253"/>
      <x:c r="O69" s="253"/>
      <x:c r="P69" s="253"/>
    </x:row>
    <x:row r="70" spans="2:16" x14ac:dyDescent="0.25">
      <x:c r="B70" s="156"/>
      <x:c r="D70" s="253"/>
      <x:c r="E70" s="253"/>
      <x:c r="F70" s="253"/>
      <x:c r="G70" s="253"/>
      <x:c r="H70" s="253"/>
      <x:c r="I70" s="253"/>
      <x:c r="J70" s="253"/>
      <x:c r="K70" s="253"/>
      <x:c r="L70" s="253"/>
      <x:c r="M70" s="253"/>
      <x:c r="N70" s="253"/>
      <x:c r="O70" s="253"/>
      <x:c r="P70" s="253"/>
    </x:row>
    <x:row r="71" spans="2:16" x14ac:dyDescent="0.25">
      <x:c r="B71" s="156"/>
      <x:c r="D71" s="253"/>
      <x:c r="E71" s="253"/>
      <x:c r="F71" s="253"/>
      <x:c r="G71" s="253"/>
      <x:c r="H71" s="253"/>
      <x:c r="I71" s="253"/>
      <x:c r="J71" s="253"/>
      <x:c r="K71" s="253"/>
      <x:c r="L71" s="253"/>
      <x:c r="M71" s="253"/>
      <x:c r="N71" s="253"/>
      <x:c r="O71" s="253"/>
      <x:c r="P71" s="253"/>
    </x:row>
    <x:row r="72" spans="2:16" x14ac:dyDescent="0.25">
      <x:c r="B72" s="156"/>
      <x:c r="D72" s="253"/>
      <x:c r="E72" s="253"/>
      <x:c r="F72" s="253"/>
      <x:c r="G72" s="253"/>
      <x:c r="H72" s="253"/>
      <x:c r="I72" s="253"/>
      <x:c r="J72" s="253"/>
      <x:c r="K72" s="253"/>
      <x:c r="L72" s="253"/>
      <x:c r="M72" s="253"/>
      <x:c r="N72" s="253"/>
      <x:c r="O72" s="253"/>
      <x:c r="P72" s="253"/>
    </x:row>
    <x:row r="73" spans="2:16" x14ac:dyDescent="0.25">
      <x:c r="B73" s="156"/>
      <x:c r="D73" s="253"/>
      <x:c r="E73" s="253"/>
      <x:c r="F73" s="253"/>
      <x:c r="G73" s="253"/>
      <x:c r="H73" s="253"/>
      <x:c r="I73" s="253"/>
      <x:c r="J73" s="253"/>
      <x:c r="K73" s="253"/>
      <x:c r="L73" s="253"/>
      <x:c r="M73" s="253"/>
      <x:c r="N73" s="253"/>
      <x:c r="O73" s="253"/>
      <x:c r="P73" s="253"/>
    </x:row>
    <x:row r="74" spans="2:16" x14ac:dyDescent="0.25">
      <x:c r="B74" s="156"/>
      <x:c r="D74" s="253"/>
      <x:c r="E74" s="253"/>
      <x:c r="F74" s="253"/>
      <x:c r="G74" s="253"/>
      <x:c r="H74" s="253"/>
      <x:c r="I74" s="253"/>
      <x:c r="J74" s="253"/>
      <x:c r="K74" s="253"/>
      <x:c r="L74" s="253"/>
      <x:c r="M74" s="253"/>
      <x:c r="N74" s="253"/>
      <x:c r="O74" s="253"/>
      <x:c r="P74" s="253"/>
    </x:row>
    <x:row r="75" spans="2:16" x14ac:dyDescent="0.25">
      <x:c r="B75" s="156"/>
      <x:c r="D75" s="253"/>
      <x:c r="E75" s="253"/>
      <x:c r="F75" s="253"/>
      <x:c r="G75" s="253"/>
      <x:c r="H75" s="253"/>
      <x:c r="I75" s="253"/>
      <x:c r="J75" s="253"/>
      <x:c r="K75" s="253"/>
      <x:c r="L75" s="253"/>
      <x:c r="M75" s="253"/>
      <x:c r="N75" s="253"/>
      <x:c r="O75" s="253"/>
      <x:c r="P75" s="253"/>
    </x:row>
    <x:row r="76" spans="2:16" x14ac:dyDescent="0.25">
      <x:c r="B76" s="156"/>
      <x:c r="D76" s="253"/>
      <x:c r="E76" s="253"/>
      <x:c r="F76" s="253"/>
      <x:c r="G76" s="253"/>
      <x:c r="H76" s="253"/>
      <x:c r="I76" s="253"/>
      <x:c r="J76" s="253"/>
      <x:c r="K76" s="253"/>
      <x:c r="L76" s="253"/>
      <x:c r="M76" s="253"/>
      <x:c r="N76" s="253"/>
      <x:c r="O76" s="253"/>
      <x:c r="P76" s="253"/>
    </x:row>
    <x:row r="77" spans="2:16" x14ac:dyDescent="0.25">
      <x:c r="B77" s="156"/>
      <x:c r="D77" s="253"/>
      <x:c r="E77" s="253"/>
      <x:c r="F77" s="253"/>
      <x:c r="G77" s="253"/>
      <x:c r="H77" s="253"/>
      <x:c r="I77" s="253"/>
      <x:c r="J77" s="253"/>
      <x:c r="K77" s="253"/>
      <x:c r="L77" s="253"/>
      <x:c r="M77" s="253"/>
      <x:c r="N77" s="253"/>
      <x:c r="O77" s="253"/>
      <x:c r="P77" s="253"/>
    </x:row>
    <x:row r="78" spans="2:16" x14ac:dyDescent="0.25">
      <x:c r="B78" s="156"/>
      <x:c r="D78" s="253"/>
      <x:c r="E78" s="253"/>
      <x:c r="F78" s="253"/>
      <x:c r="G78" s="253"/>
      <x:c r="H78" s="253"/>
      <x:c r="I78" s="253"/>
      <x:c r="J78" s="253"/>
      <x:c r="K78" s="253"/>
      <x:c r="L78" s="253"/>
      <x:c r="M78" s="253"/>
      <x:c r="N78" s="253"/>
      <x:c r="O78" s="253"/>
      <x:c r="P78" s="253"/>
    </x:row>
    <x:row r="79" spans="2:16" x14ac:dyDescent="0.25">
      <x:c r="B79" s="156"/>
      <x:c r="D79" s="253"/>
      <x:c r="E79" s="253"/>
      <x:c r="F79" s="253"/>
      <x:c r="G79" s="253"/>
      <x:c r="H79" s="253"/>
      <x:c r="I79" s="253"/>
      <x:c r="J79" s="253"/>
      <x:c r="K79" s="253"/>
      <x:c r="L79" s="253"/>
      <x:c r="M79" s="253"/>
      <x:c r="N79" s="253"/>
      <x:c r="O79" s="253"/>
      <x:c r="P79" s="253"/>
    </x:row>
    <x:row r="80" spans="2:16" x14ac:dyDescent="0.25">
      <x:c r="B80" s="156"/>
      <x:c r="D80" s="253"/>
      <x:c r="E80" s="253"/>
      <x:c r="F80" s="253"/>
      <x:c r="G80" s="253"/>
      <x:c r="H80" s="253"/>
      <x:c r="I80" s="253"/>
      <x:c r="J80" s="253"/>
      <x:c r="K80" s="253"/>
      <x:c r="L80" s="253"/>
      <x:c r="M80" s="253"/>
      <x:c r="N80" s="253"/>
      <x:c r="O80" s="253"/>
      <x:c r="P80" s="253"/>
    </x:row>
    <x:row r="81" spans="2:16" x14ac:dyDescent="0.25">
      <x:c r="B81" s="156"/>
      <x:c r="D81" s="253"/>
      <x:c r="E81" s="253"/>
      <x:c r="F81" s="253"/>
      <x:c r="G81" s="253"/>
      <x:c r="H81" s="253"/>
      <x:c r="I81" s="253"/>
      <x:c r="J81" s="253"/>
      <x:c r="K81" s="253"/>
      <x:c r="L81" s="253"/>
      <x:c r="M81" s="253"/>
      <x:c r="N81" s="253"/>
      <x:c r="O81" s="253"/>
      <x:c r="P81" s="253"/>
    </x:row>
    <x:row r="82" spans="2:16" x14ac:dyDescent="0.25">
      <x:c r="B82" s="156"/>
      <x:c r="D82" s="253"/>
      <x:c r="E82" s="253"/>
      <x:c r="F82" s="253"/>
      <x:c r="G82" s="253"/>
      <x:c r="H82" s="253"/>
      <x:c r="I82" s="253"/>
      <x:c r="J82" s="253"/>
      <x:c r="K82" s="253"/>
      <x:c r="L82" s="253"/>
      <x:c r="M82" s="253"/>
      <x:c r="N82" s="253"/>
      <x:c r="O82" s="253"/>
      <x:c r="P82" s="253"/>
    </x:row>
    <x:row r="83" spans="2:16" x14ac:dyDescent="0.25">
      <x:c r="B83" s="156"/>
      <x:c r="D83" s="253"/>
      <x:c r="E83" s="253"/>
      <x:c r="F83" s="253"/>
      <x:c r="G83" s="253"/>
      <x:c r="H83" s="253"/>
      <x:c r="I83" s="253"/>
      <x:c r="J83" s="253"/>
      <x:c r="K83" s="253"/>
      <x:c r="L83" s="253"/>
      <x:c r="M83" s="253"/>
      <x:c r="N83" s="253"/>
      <x:c r="O83" s="253"/>
      <x:c r="P83" s="253"/>
    </x:row>
    <x:row r="84" spans="2:16" x14ac:dyDescent="0.25">
      <x:c r="D84" s="253"/>
      <x:c r="E84" s="253"/>
      <x:c r="F84" s="253"/>
      <x:c r="G84" s="253"/>
      <x:c r="H84" s="253"/>
      <x:c r="I84" s="253"/>
      <x:c r="J84" s="253"/>
      <x:c r="K84" s="253"/>
      <x:c r="L84" s="253"/>
      <x:c r="M84" s="253"/>
      <x:c r="N84" s="253"/>
      <x:c r="O84" s="253"/>
      <x:c r="P84" s="253"/>
    </x:row>
    <x:row r="85" spans="2:16" x14ac:dyDescent="0.25">
      <x:c r="B85" s="156"/>
      <x:c r="D85" s="253"/>
      <x:c r="E85" s="253"/>
      <x:c r="F85" s="253"/>
      <x:c r="G85" s="253"/>
      <x:c r="H85" s="253"/>
      <x:c r="I85" s="253"/>
      <x:c r="J85" s="253"/>
      <x:c r="K85" s="253"/>
      <x:c r="L85" s="253"/>
      <x:c r="M85" s="253"/>
      <x:c r="N85" s="253"/>
      <x:c r="O85" s="253"/>
      <x:c r="P85" s="253"/>
    </x:row>
    <x:row r="86" spans="2:16" x14ac:dyDescent="0.25">
      <x:c r="B86" s="156"/>
      <x:c r="D86" s="253"/>
      <x:c r="E86" s="253"/>
      <x:c r="F86" s="253"/>
      <x:c r="G86" s="253"/>
      <x:c r="H86" s="253"/>
      <x:c r="I86" s="253"/>
      <x:c r="J86" s="253"/>
      <x:c r="K86" s="253"/>
      <x:c r="L86" s="253"/>
      <x:c r="M86" s="253"/>
      <x:c r="N86" s="253"/>
      <x:c r="O86" s="253"/>
      <x:c r="P86" s="253"/>
    </x:row>
    <x:row r="87" spans="2:16" x14ac:dyDescent="0.25">
      <x:c r="B87" s="156"/>
      <x:c r="D87" s="253"/>
      <x:c r="E87" s="253"/>
      <x:c r="F87" s="253"/>
      <x:c r="G87" s="253"/>
      <x:c r="H87" s="253"/>
      <x:c r="I87" s="253"/>
      <x:c r="J87" s="253"/>
      <x:c r="K87" s="253"/>
      <x:c r="L87" s="253"/>
      <x:c r="M87" s="253"/>
      <x:c r="N87" s="253"/>
      <x:c r="O87" s="253"/>
      <x:c r="P87" s="253"/>
    </x:row>
    <x:row r="88" spans="2:16" x14ac:dyDescent="0.25">
      <x:c r="B88" s="156"/>
      <x:c r="D88" s="253"/>
      <x:c r="E88" s="253"/>
      <x:c r="F88" s="253"/>
      <x:c r="G88" s="253"/>
      <x:c r="H88" s="253"/>
      <x:c r="I88" s="253"/>
      <x:c r="J88" s="253"/>
      <x:c r="K88" s="253"/>
      <x:c r="L88" s="253"/>
      <x:c r="M88" s="253"/>
      <x:c r="N88" s="253"/>
      <x:c r="O88" s="253"/>
      <x:c r="P88" s="253"/>
    </x:row>
    <x:row r="89" spans="2:16" x14ac:dyDescent="0.25">
      <x:c r="B89" s="156"/>
      <x:c r="D89" s="253"/>
      <x:c r="E89" s="253"/>
      <x:c r="F89" s="253"/>
      <x:c r="G89" s="253"/>
      <x:c r="H89" s="253"/>
      <x:c r="I89" s="253"/>
      <x:c r="J89" s="253"/>
      <x:c r="K89" s="253"/>
      <x:c r="L89" s="253"/>
      <x:c r="M89" s="253"/>
      <x:c r="N89" s="253"/>
      <x:c r="O89" s="253"/>
      <x:c r="P89" s="253"/>
    </x:row>
    <x:row r="90" spans="2:16" x14ac:dyDescent="0.25">
      <x:c r="B90" s="156"/>
    </x:row>
    <x:row r="91" spans="2:16" x14ac:dyDescent="0.25">
      <x:c r="B91" s="156"/>
      <x:c r="D91" s="253"/>
      <x:c r="E91" s="253"/>
      <x:c r="F91" s="253"/>
      <x:c r="G91" s="253"/>
      <x:c r="H91" s="253"/>
      <x:c r="I91" s="253"/>
      <x:c r="J91" s="253"/>
      <x:c r="K91" s="253"/>
      <x:c r="L91" s="253"/>
      <x:c r="M91" s="253"/>
      <x:c r="N91" s="253"/>
      <x:c r="O91" s="253"/>
      <x:c r="P91" s="253"/>
    </x:row>
    <x:row r="92" spans="2:16" x14ac:dyDescent="0.25">
      <x:c r="B92" s="156"/>
      <x:c r="D92" s="253"/>
      <x:c r="E92" s="253"/>
      <x:c r="F92" s="253"/>
      <x:c r="G92" s="253"/>
      <x:c r="H92" s="253"/>
      <x:c r="I92" s="253"/>
      <x:c r="J92" s="253"/>
      <x:c r="K92" s="253"/>
      <x:c r="L92" s="253"/>
      <x:c r="M92" s="253"/>
      <x:c r="N92" s="253"/>
      <x:c r="O92" s="253"/>
      <x:c r="P92" s="253"/>
    </x:row>
    <x:row r="93" spans="2:16" x14ac:dyDescent="0.25">
      <x:c r="B93" s="156"/>
      <x:c r="D93" s="253"/>
      <x:c r="E93" s="253"/>
      <x:c r="F93" s="253"/>
      <x:c r="G93" s="253"/>
      <x:c r="H93" s="253"/>
      <x:c r="I93" s="253"/>
      <x:c r="J93" s="253"/>
      <x:c r="K93" s="253"/>
      <x:c r="L93" s="253"/>
      <x:c r="M93" s="253"/>
      <x:c r="N93" s="253"/>
      <x:c r="O93" s="253"/>
      <x:c r="P93" s="253"/>
    </x:row>
    <x:row r="94" spans="2:16" x14ac:dyDescent="0.25">
      <x:c r="B94" s="156"/>
      <x:c r="D94" s="253"/>
      <x:c r="E94" s="253"/>
      <x:c r="F94" s="253"/>
      <x:c r="G94" s="253"/>
      <x:c r="H94" s="253"/>
      <x:c r="I94" s="253"/>
      <x:c r="J94" s="253"/>
      <x:c r="K94" s="253"/>
      <x:c r="L94" s="253"/>
      <x:c r="M94" s="253"/>
      <x:c r="N94" s="253"/>
      <x:c r="O94" s="253"/>
      <x:c r="P94" s="253"/>
    </x:row>
    <x:row r="95" spans="2:16" x14ac:dyDescent="0.25">
      <x:c r="B95" s="156"/>
      <x:c r="D95" s="253"/>
      <x:c r="E95" s="253"/>
      <x:c r="F95" s="253"/>
      <x:c r="G95" s="253"/>
      <x:c r="H95" s="253"/>
      <x:c r="I95" s="253"/>
      <x:c r="J95" s="253"/>
      <x:c r="K95" s="253"/>
      <x:c r="L95" s="253"/>
      <x:c r="M95" s="253"/>
      <x:c r="N95" s="253"/>
      <x:c r="O95" s="253"/>
      <x:c r="P95" s="253"/>
    </x:row>
    <x:row r="96" spans="2:16" x14ac:dyDescent="0.25">
      <x:c r="B96" s="156"/>
      <x:c r="D96" s="253"/>
      <x:c r="E96" s="253"/>
      <x:c r="F96" s="253"/>
      <x:c r="G96" s="253"/>
      <x:c r="H96" s="253"/>
      <x:c r="I96" s="253"/>
      <x:c r="J96" s="253"/>
      <x:c r="K96" s="253"/>
      <x:c r="L96" s="253"/>
      <x:c r="M96" s="253"/>
      <x:c r="N96" s="253"/>
      <x:c r="O96" s="253"/>
      <x:c r="P96" s="253"/>
    </x:row>
    <x:row r="97" spans="2:16" x14ac:dyDescent="0.25">
      <x:c r="B97" s="156"/>
      <x:c r="D97" s="253"/>
      <x:c r="E97" s="253"/>
      <x:c r="F97" s="253"/>
      <x:c r="G97" s="253"/>
      <x:c r="H97" s="253"/>
      <x:c r="I97" s="253"/>
      <x:c r="J97" s="253"/>
      <x:c r="K97" s="253"/>
      <x:c r="L97" s="253"/>
      <x:c r="M97" s="253"/>
      <x:c r="N97" s="253"/>
      <x:c r="O97" s="253"/>
      <x:c r="P97" s="253"/>
    </x:row>
    <x:row r="98" spans="2:16" x14ac:dyDescent="0.25">
      <x:c r="D98" s="253"/>
      <x:c r="E98" s="253"/>
      <x:c r="F98" s="253"/>
      <x:c r="G98" s="253"/>
      <x:c r="H98" s="253"/>
      <x:c r="I98" s="253"/>
      <x:c r="J98" s="253"/>
      <x:c r="K98" s="253"/>
      <x:c r="L98" s="253"/>
      <x:c r="M98" s="253"/>
      <x:c r="N98" s="253"/>
      <x:c r="O98" s="253"/>
      <x:c r="P98" s="253"/>
    </x:row>
    <x:row r="99" spans="2:16" x14ac:dyDescent="0.25">
      <x:c r="D99" s="253"/>
      <x:c r="E99" s="253"/>
      <x:c r="F99" s="253"/>
      <x:c r="G99" s="253"/>
      <x:c r="H99" s="253"/>
      <x:c r="I99" s="253"/>
      <x:c r="J99" s="253"/>
      <x:c r="K99" s="253"/>
      <x:c r="L99" s="253"/>
      <x:c r="M99" s="253"/>
      <x:c r="N99" s="253"/>
      <x:c r="O99" s="253"/>
      <x:c r="P99" s="253"/>
    </x:row>
    <x:row r="100" spans="2:16" x14ac:dyDescent="0.25">
      <x:c r="D100" s="253"/>
      <x:c r="E100" s="253"/>
      <x:c r="F100" s="253"/>
      <x:c r="G100" s="253"/>
      <x:c r="H100" s="253"/>
      <x:c r="I100" s="253"/>
      <x:c r="J100" s="253"/>
      <x:c r="K100" s="253"/>
      <x:c r="L100" s="253"/>
      <x:c r="M100" s="253"/>
      <x:c r="N100" s="253"/>
      <x:c r="O100" s="253"/>
      <x:c r="P100" s="253"/>
    </x:row>
    <x:row r="101" spans="2:16" x14ac:dyDescent="0.25">
      <x:c r="B101" s="156"/>
      <x:c r="D101" s="253"/>
      <x:c r="E101" s="253"/>
      <x:c r="F101" s="253"/>
      <x:c r="G101" s="253"/>
      <x:c r="H101" s="253"/>
      <x:c r="I101" s="253"/>
      <x:c r="J101" s="253"/>
      <x:c r="K101" s="253"/>
      <x:c r="L101" s="253"/>
      <x:c r="M101" s="253"/>
      <x:c r="N101" s="253"/>
      <x:c r="O101" s="253"/>
      <x:c r="P101" s="253"/>
    </x:row>
    <x:row r="102" spans="2:16" x14ac:dyDescent="0.25">
      <x:c r="D102" s="253"/>
      <x:c r="E102" s="253"/>
      <x:c r="F102" s="253"/>
      <x:c r="G102" s="253"/>
      <x:c r="H102" s="253"/>
      <x:c r="I102" s="253"/>
      <x:c r="J102" s="253"/>
      <x:c r="K102" s="253"/>
      <x:c r="L102" s="253"/>
      <x:c r="M102" s="253"/>
      <x:c r="N102" s="253"/>
      <x:c r="O102" s="253"/>
      <x:c r="P102" s="253"/>
    </x:row>
    <x:row r="103" spans="2:16" x14ac:dyDescent="0.25">
      <x:c r="B103" s="156"/>
      <x:c r="D103" s="253"/>
      <x:c r="E103" s="253"/>
      <x:c r="F103" s="253"/>
      <x:c r="G103" s="253"/>
      <x:c r="H103" s="253"/>
      <x:c r="I103" s="253"/>
      <x:c r="J103" s="253"/>
      <x:c r="K103" s="253"/>
      <x:c r="L103" s="253"/>
      <x:c r="M103" s="253"/>
      <x:c r="N103" s="253"/>
      <x:c r="O103" s="253"/>
      <x:c r="P103" s="253"/>
    </x:row>
    <x:row r="104" spans="2:16" x14ac:dyDescent="0.25">
      <x:c r="B104" s="156"/>
    </x:row>
    <x:row r="106" spans="2:16" x14ac:dyDescent="0.25">
      <x:c r="B106" s="156"/>
    </x:row>
    <x:row r="107" spans="2:16" x14ac:dyDescent="0.25">
      <x:c r="B107" s="156"/>
      <x:c r="D107" s="253"/>
      <x:c r="E107" s="253"/>
      <x:c r="F107" s="253"/>
      <x:c r="G107" s="253"/>
      <x:c r="H107" s="253"/>
      <x:c r="I107" s="253"/>
      <x:c r="J107" s="253"/>
      <x:c r="K107" s="253"/>
      <x:c r="L107" s="253"/>
      <x:c r="M107" s="253"/>
      <x:c r="N107" s="253"/>
      <x:c r="O107" s="253"/>
      <x:c r="P107" s="253"/>
    </x:row>
    <x:row r="109" spans="2:16" x14ac:dyDescent="0.25">
      <x:c r="D109" s="253"/>
      <x:c r="E109" s="253"/>
      <x:c r="F109" s="253"/>
      <x:c r="G109" s="253"/>
      <x:c r="H109" s="253"/>
      <x:c r="I109" s="253"/>
      <x:c r="J109" s="253"/>
      <x:c r="K109" s="253"/>
      <x:c r="L109" s="253"/>
      <x:c r="M109" s="253"/>
      <x:c r="N109" s="253"/>
      <x:c r="O109" s="253"/>
      <x:c r="P109" s="253"/>
    </x:row>
    <x:row r="110" spans="2:16" x14ac:dyDescent="0.25">
      <x:c r="D110" s="253"/>
      <x:c r="E110" s="253"/>
      <x:c r="F110" s="253"/>
      <x:c r="G110" s="253"/>
      <x:c r="H110" s="253"/>
      <x:c r="I110" s="253"/>
      <x:c r="J110" s="253"/>
      <x:c r="K110" s="253"/>
      <x:c r="L110" s="253"/>
      <x:c r="M110" s="253"/>
      <x:c r="N110" s="253"/>
      <x:c r="O110" s="253"/>
      <x:c r="P110" s="253"/>
    </x:row>
    <x:row r="112" spans="2:16" x14ac:dyDescent="0.25">
      <x:c r="D112" s="253"/>
      <x:c r="E112" s="253"/>
      <x:c r="F112" s="253"/>
      <x:c r="G112" s="253"/>
      <x:c r="H112" s="253"/>
      <x:c r="I112" s="253"/>
      <x:c r="J112" s="253"/>
      <x:c r="K112" s="253"/>
      <x:c r="L112" s="253"/>
      <x:c r="M112" s="253"/>
      <x:c r="N112" s="253"/>
      <x:c r="O112" s="253"/>
      <x:c r="P112" s="253"/>
    </x:row>
    <x:row r="113" spans="4:16" x14ac:dyDescent="0.25">
      <x:c r="D113" s="253"/>
      <x:c r="E113" s="253"/>
      <x:c r="F113" s="253"/>
      <x:c r="G113" s="253"/>
      <x:c r="H113" s="253"/>
      <x:c r="I113" s="253"/>
      <x:c r="J113" s="253"/>
      <x:c r="K113" s="253"/>
      <x:c r="L113" s="253"/>
      <x:c r="M113" s="253"/>
      <x:c r="N113" s="253"/>
      <x:c r="O113" s="253"/>
      <x:c r="P113" s="253"/>
    </x:row>
  </x:sheetData>
  <x:pageMargins left="0.7" right="0.7" top="0.75" bottom="0.75" header="0.3" footer="0.3"/>
  <x:pageSetup paperSize="9" orientation="portrait" r:id="rId1"/>
</x: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opLeftCell="A136" workbookViewId="0">
      <selection activeCell="L24" sqref="L24"/>
    </sheetView>
  </sheetViews>
  <sheetFormatPr defaultColWidth="9.140625" defaultRowHeight="15" x14ac:dyDescent="0.25"/>
  <cols>
    <col min="1" max="1" width="1.7109375" style="156" customWidth="1"/>
    <col min="2" max="2" width="42.42578125" style="246" customWidth="1"/>
    <col min="3" max="3" width="2.5703125" style="156" customWidth="1"/>
    <col min="4" max="8" width="15.7109375" style="247" customWidth="1"/>
    <col min="9" max="9" width="3.5703125" style="156" customWidth="1"/>
    <col min="10" max="10" width="9.140625" style="156"/>
    <col min="11" max="11" width="11.5703125" style="156" bestFit="1" customWidth="1"/>
    <col min="12" max="16384" width="9.140625" style="156"/>
  </cols>
  <sheetData>
    <row r="1" spans="1:9" ht="15.75" thickTop="1" x14ac:dyDescent="0.25">
      <c r="A1" s="149"/>
      <c r="B1" s="150"/>
      <c r="C1" s="151"/>
      <c r="D1" s="544" t="s">
        <v>345</v>
      </c>
      <c r="E1" s="545"/>
      <c r="F1" s="546"/>
      <c r="G1" s="156"/>
      <c r="H1" s="156">
        <v>11</v>
      </c>
      <c r="I1" s="456"/>
    </row>
    <row r="2" spans="1:9" s="165" customFormat="1" ht="26.25" x14ac:dyDescent="0.4">
      <c r="A2" s="157"/>
      <c r="B2" s="158" t="s">
        <v>33</v>
      </c>
      <c r="C2" s="159"/>
      <c r="D2" s="450" t="s">
        <v>343</v>
      </c>
      <c r="E2" s="451" t="s">
        <v>342</v>
      </c>
      <c r="F2" s="451" t="s">
        <v>341</v>
      </c>
      <c r="G2" s="451" t="s">
        <v>346</v>
      </c>
      <c r="H2" s="451" t="s">
        <v>347</v>
      </c>
      <c r="I2" s="457"/>
    </row>
    <row r="3" spans="1:9" s="165" customFormat="1" ht="15.75" thickBot="1" x14ac:dyDescent="0.3">
      <c r="A3" s="166"/>
      <c r="B3" s="167" t="s">
        <v>4</v>
      </c>
      <c r="C3" s="168"/>
      <c r="D3" s="452" t="s">
        <v>59</v>
      </c>
      <c r="E3" s="452" t="s">
        <v>59</v>
      </c>
      <c r="F3" s="452" t="s">
        <v>59</v>
      </c>
      <c r="G3" s="452" t="s">
        <v>59</v>
      </c>
      <c r="H3" s="452" t="s">
        <v>4</v>
      </c>
      <c r="I3" s="457"/>
    </row>
    <row r="4" spans="1:9" s="165" customFormat="1" x14ac:dyDescent="0.25">
      <c r="A4" s="157"/>
      <c r="B4" s="171"/>
      <c r="C4" s="172"/>
      <c r="D4" s="161"/>
      <c r="E4" s="161"/>
      <c r="F4" s="161"/>
      <c r="G4" s="161"/>
      <c r="H4" s="161"/>
      <c r="I4" s="457"/>
    </row>
    <row r="5" spans="1:9" s="179" customFormat="1" ht="18.75" x14ac:dyDescent="0.25">
      <c r="A5" s="173"/>
      <c r="B5" s="174" t="s">
        <v>64</v>
      </c>
      <c r="C5" s="175"/>
      <c r="D5" s="176">
        <f>SUM(D6:D10)</f>
        <v>0</v>
      </c>
      <c r="E5" s="176">
        <f>SUM(E6:E10)</f>
        <v>0</v>
      </c>
      <c r="F5" s="176">
        <f>SUM(F6:F10)</f>
        <v>0</v>
      </c>
      <c r="G5" s="176">
        <f>SUM(G6:G10)</f>
        <v>0</v>
      </c>
      <c r="H5" s="176">
        <f>SUM(H6:H10)</f>
        <v>0</v>
      </c>
      <c r="I5" s="458"/>
    </row>
    <row r="6" spans="1:9" x14ac:dyDescent="0.25">
      <c r="A6" s="180"/>
      <c r="B6" s="181" t="s">
        <v>63</v>
      </c>
      <c r="D6" s="182"/>
      <c r="E6" s="182"/>
      <c r="F6" s="182"/>
      <c r="G6" s="182"/>
      <c r="H6" s="182"/>
      <c r="I6" s="456"/>
    </row>
    <row r="7" spans="1:9" x14ac:dyDescent="0.25">
      <c r="A7" s="180"/>
      <c r="B7" s="181" t="s">
        <v>39</v>
      </c>
      <c r="D7" s="182"/>
      <c r="E7" s="182"/>
      <c r="F7" s="182"/>
      <c r="G7" s="182"/>
      <c r="H7" s="182"/>
      <c r="I7" s="456"/>
    </row>
    <row r="8" spans="1:9" x14ac:dyDescent="0.25">
      <c r="A8" s="180"/>
      <c r="B8" s="181" t="s">
        <v>18</v>
      </c>
      <c r="D8" s="182"/>
      <c r="E8" s="182"/>
      <c r="F8" s="182"/>
      <c r="G8" s="182"/>
      <c r="H8" s="182"/>
      <c r="I8" s="456"/>
    </row>
    <row r="9" spans="1:9" x14ac:dyDescent="0.25">
      <c r="A9" s="180"/>
      <c r="B9" s="181"/>
      <c r="D9" s="182"/>
      <c r="E9" s="182"/>
      <c r="F9" s="182"/>
      <c r="G9" s="182"/>
      <c r="H9" s="182"/>
      <c r="I9" s="456"/>
    </row>
    <row r="10" spans="1:9" x14ac:dyDescent="0.25">
      <c r="A10" s="180"/>
      <c r="B10" s="181"/>
      <c r="D10" s="182"/>
      <c r="E10" s="182"/>
      <c r="F10" s="182"/>
      <c r="G10" s="182"/>
      <c r="H10" s="182"/>
      <c r="I10" s="456"/>
    </row>
    <row r="11" spans="1:9" s="179" customFormat="1" ht="18.75" x14ac:dyDescent="0.25">
      <c r="A11" s="173"/>
      <c r="B11" s="484" t="s">
        <v>127</v>
      </c>
      <c r="C11" s="494"/>
      <c r="D11" s="486">
        <f>SUM(D12:D32)</f>
        <v>101118.87999999999</v>
      </c>
      <c r="E11" s="486">
        <f>SUM(E12:E32)</f>
        <v>7405.3399999999992</v>
      </c>
      <c r="F11" s="486">
        <f>SUM(F12:F32)</f>
        <v>10731.609999999999</v>
      </c>
      <c r="G11" s="486">
        <f>SUM(G12:G32)</f>
        <v>119255.83</v>
      </c>
      <c r="H11" s="486">
        <f>SUM(H12:H32)</f>
        <v>10841.439090909091</v>
      </c>
      <c r="I11" s="458"/>
    </row>
    <row r="12" spans="1:9" x14ac:dyDescent="0.25">
      <c r="A12" s="180"/>
      <c r="B12" s="181" t="s">
        <v>74</v>
      </c>
      <c r="D12" s="182">
        <v>10511.45</v>
      </c>
      <c r="E12" s="182">
        <v>1138.5899999999999</v>
      </c>
      <c r="F12" s="182">
        <v>1492.16</v>
      </c>
      <c r="G12" s="182">
        <f>SUM(D12:F12)</f>
        <v>13142.2</v>
      </c>
      <c r="H12" s="182">
        <f>G12/$H$1</f>
        <v>1194.7454545454545</v>
      </c>
      <c r="I12" s="456"/>
    </row>
    <row r="13" spans="1:9" s="179" customFormat="1" x14ac:dyDescent="0.25">
      <c r="A13" s="173"/>
      <c r="B13" s="181" t="s">
        <v>68</v>
      </c>
      <c r="C13" s="156"/>
      <c r="D13" s="182">
        <v>51964.13</v>
      </c>
      <c r="E13" s="182"/>
      <c r="F13" s="182"/>
      <c r="G13" s="182">
        <f t="shared" ref="G13:G47" si="0">SUM(D13:F13)</f>
        <v>51964.13</v>
      </c>
      <c r="H13" s="182">
        <f t="shared" ref="H13:H54" si="1">G13/$H$1</f>
        <v>4724.0118181818179</v>
      </c>
      <c r="I13" s="458"/>
    </row>
    <row r="14" spans="1:9" s="179" customFormat="1" x14ac:dyDescent="0.25">
      <c r="A14" s="173"/>
      <c r="B14" s="181" t="s">
        <v>77</v>
      </c>
      <c r="C14" s="156"/>
      <c r="D14" s="182">
        <v>1185.3900000000001</v>
      </c>
      <c r="E14" s="182">
        <v>820.02</v>
      </c>
      <c r="F14" s="182">
        <v>1347.8</v>
      </c>
      <c r="G14" s="182">
        <f t="shared" si="0"/>
        <v>3353.21</v>
      </c>
      <c r="H14" s="182">
        <f t="shared" si="1"/>
        <v>304.8372727272727</v>
      </c>
      <c r="I14" s="458"/>
    </row>
    <row r="15" spans="1:9" x14ac:dyDescent="0.25">
      <c r="A15" s="180"/>
      <c r="B15" s="181" t="s">
        <v>327</v>
      </c>
      <c r="D15" s="182">
        <v>3153.93</v>
      </c>
      <c r="E15" s="182"/>
      <c r="F15" s="182"/>
      <c r="G15" s="182">
        <f t="shared" si="0"/>
        <v>3153.93</v>
      </c>
      <c r="H15" s="182">
        <f t="shared" si="1"/>
        <v>286.72090909090906</v>
      </c>
      <c r="I15" s="456"/>
    </row>
    <row r="16" spans="1:9" x14ac:dyDescent="0.25">
      <c r="A16" s="180"/>
      <c r="B16" s="181" t="s">
        <v>75</v>
      </c>
      <c r="D16" s="182">
        <v>8015.48</v>
      </c>
      <c r="E16" s="182">
        <v>165.05</v>
      </c>
      <c r="F16" s="182"/>
      <c r="G16" s="182">
        <f t="shared" si="0"/>
        <v>8180.53</v>
      </c>
      <c r="H16" s="182">
        <f t="shared" si="1"/>
        <v>743.6845454545454</v>
      </c>
      <c r="I16" s="456"/>
    </row>
    <row r="17" spans="1:9" x14ac:dyDescent="0.25">
      <c r="A17" s="180"/>
      <c r="B17" s="181" t="s">
        <v>284</v>
      </c>
      <c r="D17" s="182">
        <v>25.96</v>
      </c>
      <c r="E17" s="182"/>
      <c r="F17" s="182"/>
      <c r="G17" s="182">
        <f t="shared" si="0"/>
        <v>25.96</v>
      </c>
      <c r="H17" s="182">
        <f t="shared" si="1"/>
        <v>2.36</v>
      </c>
      <c r="I17" s="456"/>
    </row>
    <row r="18" spans="1:9" x14ac:dyDescent="0.25">
      <c r="A18" s="180"/>
      <c r="B18" s="181" t="s">
        <v>73</v>
      </c>
      <c r="D18" s="182">
        <v>3767.7</v>
      </c>
      <c r="E18" s="182"/>
      <c r="F18" s="182"/>
      <c r="G18" s="182">
        <f t="shared" si="0"/>
        <v>3767.7</v>
      </c>
      <c r="H18" s="182">
        <f t="shared" si="1"/>
        <v>342.5181818181818</v>
      </c>
      <c r="I18" s="456"/>
    </row>
    <row r="19" spans="1:9" x14ac:dyDescent="0.25">
      <c r="A19" s="180"/>
      <c r="B19" s="181" t="s">
        <v>69</v>
      </c>
      <c r="D19" s="182">
        <v>12205.39</v>
      </c>
      <c r="E19" s="182"/>
      <c r="F19" s="182">
        <v>2874.42</v>
      </c>
      <c r="G19" s="182">
        <f t="shared" si="0"/>
        <v>15079.81</v>
      </c>
      <c r="H19" s="182">
        <f t="shared" si="1"/>
        <v>1370.8918181818181</v>
      </c>
      <c r="I19" s="456"/>
    </row>
    <row r="20" spans="1:9" x14ac:dyDescent="0.25">
      <c r="A20" s="180"/>
      <c r="B20" s="181" t="s">
        <v>336</v>
      </c>
      <c r="D20" s="182"/>
      <c r="E20" s="182"/>
      <c r="F20" s="182"/>
      <c r="G20" s="182">
        <f t="shared" si="0"/>
        <v>0</v>
      </c>
      <c r="H20" s="182">
        <f t="shared" si="1"/>
        <v>0</v>
      </c>
      <c r="I20" s="456"/>
    </row>
    <row r="21" spans="1:9" x14ac:dyDescent="0.25">
      <c r="A21" s="180"/>
      <c r="B21" s="181" t="s">
        <v>319</v>
      </c>
      <c r="D21" s="182"/>
      <c r="E21" s="182"/>
      <c r="F21" s="182"/>
      <c r="G21" s="182">
        <f t="shared" si="0"/>
        <v>0</v>
      </c>
      <c r="H21" s="182">
        <f t="shared" si="1"/>
        <v>0</v>
      </c>
      <c r="I21" s="456"/>
    </row>
    <row r="22" spans="1:9" x14ac:dyDescent="0.25">
      <c r="A22" s="180"/>
      <c r="B22" s="181" t="s">
        <v>72</v>
      </c>
      <c r="D22" s="182">
        <v>2966.68</v>
      </c>
      <c r="E22" s="182">
        <v>1829.61</v>
      </c>
      <c r="F22" s="182">
        <v>820.25</v>
      </c>
      <c r="G22" s="182">
        <f t="shared" si="0"/>
        <v>5616.54</v>
      </c>
      <c r="H22" s="182">
        <f t="shared" si="1"/>
        <v>510.59454545454543</v>
      </c>
      <c r="I22" s="456"/>
    </row>
    <row r="23" spans="1:9" x14ac:dyDescent="0.25">
      <c r="A23" s="180"/>
      <c r="B23" s="181" t="s">
        <v>337</v>
      </c>
      <c r="D23" s="182"/>
      <c r="E23" s="182"/>
      <c r="F23" s="182"/>
      <c r="G23" s="182">
        <f t="shared" si="0"/>
        <v>0</v>
      </c>
      <c r="H23" s="182">
        <f t="shared" si="1"/>
        <v>0</v>
      </c>
      <c r="I23" s="456"/>
    </row>
    <row r="24" spans="1:9" x14ac:dyDescent="0.25">
      <c r="A24" s="180"/>
      <c r="B24" s="181" t="s">
        <v>76</v>
      </c>
      <c r="D24" s="182"/>
      <c r="E24" s="182"/>
      <c r="F24" s="182"/>
      <c r="G24" s="182">
        <f t="shared" si="0"/>
        <v>0</v>
      </c>
      <c r="H24" s="182">
        <f t="shared" si="1"/>
        <v>0</v>
      </c>
      <c r="I24" s="456"/>
    </row>
    <row r="25" spans="1:9" x14ac:dyDescent="0.25">
      <c r="A25" s="180"/>
      <c r="B25" s="181" t="s">
        <v>67</v>
      </c>
      <c r="D25" s="182">
        <v>3046.31</v>
      </c>
      <c r="E25" s="182">
        <v>2123.91</v>
      </c>
      <c r="F25" s="182">
        <v>3643.58</v>
      </c>
      <c r="G25" s="182">
        <f t="shared" si="0"/>
        <v>8813.7999999999993</v>
      </c>
      <c r="H25" s="182">
        <f t="shared" si="1"/>
        <v>801.25454545454534</v>
      </c>
      <c r="I25" s="456"/>
    </row>
    <row r="26" spans="1:9" x14ac:dyDescent="0.25">
      <c r="A26" s="180"/>
      <c r="B26" s="181" t="s">
        <v>66</v>
      </c>
      <c r="D26" s="182">
        <v>3447.77</v>
      </c>
      <c r="E26" s="182">
        <v>1328.16</v>
      </c>
      <c r="F26" s="182">
        <v>553.4</v>
      </c>
      <c r="G26" s="182">
        <f t="shared" si="0"/>
        <v>5329.33</v>
      </c>
      <c r="H26" s="182">
        <f t="shared" si="1"/>
        <v>484.48454545454547</v>
      </c>
      <c r="I26" s="456"/>
    </row>
    <row r="27" spans="1:9" x14ac:dyDescent="0.25">
      <c r="A27" s="180"/>
      <c r="B27" s="181" t="s">
        <v>188</v>
      </c>
      <c r="D27" s="182">
        <v>309.45</v>
      </c>
      <c r="E27" s="182"/>
      <c r="F27" s="182"/>
      <c r="G27" s="182">
        <f t="shared" si="0"/>
        <v>309.45</v>
      </c>
      <c r="H27" s="182">
        <f t="shared" si="1"/>
        <v>28.131818181818179</v>
      </c>
      <c r="I27" s="456"/>
    </row>
    <row r="28" spans="1:9" x14ac:dyDescent="0.25">
      <c r="A28" s="180"/>
      <c r="B28" s="181" t="s">
        <v>70</v>
      </c>
      <c r="D28" s="182">
        <v>519.24</v>
      </c>
      <c r="E28" s="182"/>
      <c r="F28" s="182"/>
      <c r="G28" s="182">
        <f t="shared" si="0"/>
        <v>519.24</v>
      </c>
      <c r="H28" s="182">
        <f t="shared" si="1"/>
        <v>47.203636363636363</v>
      </c>
      <c r="I28" s="456"/>
    </row>
    <row r="29" spans="1:9" x14ac:dyDescent="0.25">
      <c r="A29" s="180"/>
      <c r="B29" s="181"/>
      <c r="D29" s="182"/>
      <c r="E29" s="182"/>
      <c r="F29" s="182"/>
      <c r="G29" s="182">
        <f t="shared" si="0"/>
        <v>0</v>
      </c>
      <c r="H29" s="182">
        <f t="shared" si="1"/>
        <v>0</v>
      </c>
      <c r="I29" s="456"/>
    </row>
    <row r="30" spans="1:9" x14ac:dyDescent="0.25">
      <c r="A30" s="180"/>
      <c r="B30" s="220" t="s">
        <v>330</v>
      </c>
      <c r="D30" s="454"/>
      <c r="E30" s="454"/>
      <c r="F30" s="454"/>
      <c r="G30" s="182">
        <f t="shared" si="0"/>
        <v>0</v>
      </c>
      <c r="H30" s="182">
        <f t="shared" si="1"/>
        <v>0</v>
      </c>
      <c r="I30" s="456"/>
    </row>
    <row r="31" spans="1:9" x14ac:dyDescent="0.25">
      <c r="A31" s="180"/>
      <c r="B31" s="220" t="s">
        <v>330</v>
      </c>
      <c r="D31" s="454"/>
      <c r="E31" s="454"/>
      <c r="F31" s="454"/>
      <c r="G31" s="182">
        <f t="shared" si="0"/>
        <v>0</v>
      </c>
      <c r="H31" s="182">
        <f t="shared" si="1"/>
        <v>0</v>
      </c>
      <c r="I31" s="456"/>
    </row>
    <row r="32" spans="1:9" x14ac:dyDescent="0.25">
      <c r="A32" s="180"/>
      <c r="B32" s="181"/>
      <c r="D32" s="182"/>
      <c r="E32" s="182"/>
      <c r="F32" s="182"/>
      <c r="G32" s="182">
        <f t="shared" si="0"/>
        <v>0</v>
      </c>
      <c r="H32" s="182">
        <f t="shared" si="1"/>
        <v>0</v>
      </c>
      <c r="I32" s="456"/>
    </row>
    <row r="33" spans="1:9" s="179" customFormat="1" ht="18.75" x14ac:dyDescent="0.25">
      <c r="A33" s="173"/>
      <c r="B33" s="174" t="s">
        <v>126</v>
      </c>
      <c r="C33" s="175"/>
      <c r="D33" s="176">
        <f>SUM(D34:D47)</f>
        <v>120448.70999999999</v>
      </c>
      <c r="E33" s="176">
        <f>SUM(E34:E47)</f>
        <v>4305.05</v>
      </c>
      <c r="F33" s="176">
        <f>SUM(F34:F47)</f>
        <v>49910.75</v>
      </c>
      <c r="G33" s="176">
        <f>SUM(G34:G47)</f>
        <v>174664.50999999998</v>
      </c>
      <c r="H33" s="176">
        <f>SUM(H34:H47)</f>
        <v>15878.591818181816</v>
      </c>
      <c r="I33" s="458"/>
    </row>
    <row r="34" spans="1:9" x14ac:dyDescent="0.25">
      <c r="A34" s="180"/>
      <c r="B34" s="181" t="s">
        <v>96</v>
      </c>
      <c r="C34" s="439"/>
      <c r="D34" s="182">
        <v>261.26</v>
      </c>
      <c r="E34" s="182"/>
      <c r="F34" s="182"/>
      <c r="G34" s="182">
        <f t="shared" si="0"/>
        <v>261.26</v>
      </c>
      <c r="H34" s="182">
        <f t="shared" si="1"/>
        <v>23.75090909090909</v>
      </c>
      <c r="I34" s="456"/>
    </row>
    <row r="35" spans="1:9" x14ac:dyDescent="0.25">
      <c r="A35" s="180"/>
      <c r="B35" s="181" t="s">
        <v>40</v>
      </c>
      <c r="C35" s="439"/>
      <c r="D35" s="182">
        <v>9990.86</v>
      </c>
      <c r="E35" s="182">
        <v>1299.47</v>
      </c>
      <c r="F35" s="182">
        <v>3084.62</v>
      </c>
      <c r="G35" s="182">
        <f t="shared" si="0"/>
        <v>14374.95</v>
      </c>
      <c r="H35" s="182">
        <f t="shared" si="1"/>
        <v>1306.8136363636365</v>
      </c>
      <c r="I35" s="456"/>
    </row>
    <row r="36" spans="1:9" x14ac:dyDescent="0.25">
      <c r="A36" s="180"/>
      <c r="B36" s="181" t="s">
        <v>80</v>
      </c>
      <c r="C36" s="439"/>
      <c r="D36" s="182"/>
      <c r="E36" s="182"/>
      <c r="F36" s="182"/>
      <c r="G36" s="182">
        <f t="shared" si="0"/>
        <v>0</v>
      </c>
      <c r="H36" s="182">
        <f t="shared" si="1"/>
        <v>0</v>
      </c>
      <c r="I36" s="456"/>
    </row>
    <row r="37" spans="1:9" x14ac:dyDescent="0.25">
      <c r="A37" s="180"/>
      <c r="B37" s="181" t="s">
        <v>65</v>
      </c>
      <c r="C37" s="439"/>
      <c r="D37" s="182"/>
      <c r="E37" s="182"/>
      <c r="F37" s="182"/>
      <c r="G37" s="182">
        <f t="shared" si="0"/>
        <v>0</v>
      </c>
      <c r="H37" s="182">
        <f t="shared" si="1"/>
        <v>0</v>
      </c>
      <c r="I37" s="456"/>
    </row>
    <row r="38" spans="1:9" x14ac:dyDescent="0.25">
      <c r="A38" s="180"/>
      <c r="B38" s="181" t="s">
        <v>83</v>
      </c>
      <c r="C38" s="439"/>
      <c r="D38" s="182">
        <v>2247.83</v>
      </c>
      <c r="E38" s="182"/>
      <c r="F38" s="182"/>
      <c r="G38" s="182">
        <f t="shared" si="0"/>
        <v>2247.83</v>
      </c>
      <c r="H38" s="182">
        <f t="shared" si="1"/>
        <v>204.34818181818181</v>
      </c>
      <c r="I38" s="456"/>
    </row>
    <row r="39" spans="1:9" x14ac:dyDescent="0.25">
      <c r="A39" s="180"/>
      <c r="B39" s="181" t="s">
        <v>260</v>
      </c>
      <c r="C39" s="439"/>
      <c r="D39" s="182">
        <v>229.1</v>
      </c>
      <c r="E39" s="182"/>
      <c r="F39" s="182"/>
      <c r="G39" s="182">
        <f t="shared" si="0"/>
        <v>229.1</v>
      </c>
      <c r="H39" s="182">
        <f t="shared" si="1"/>
        <v>20.827272727272728</v>
      </c>
      <c r="I39" s="456"/>
    </row>
    <row r="40" spans="1:9" x14ac:dyDescent="0.25">
      <c r="A40" s="180"/>
      <c r="B40" s="181" t="s">
        <v>261</v>
      </c>
      <c r="C40" s="439"/>
      <c r="D40" s="182">
        <v>13056.25</v>
      </c>
      <c r="E40" s="182"/>
      <c r="F40" s="182"/>
      <c r="G40" s="182">
        <f t="shared" si="0"/>
        <v>13056.25</v>
      </c>
      <c r="H40" s="182">
        <f t="shared" si="1"/>
        <v>1186.9318181818182</v>
      </c>
      <c r="I40" s="456"/>
    </row>
    <row r="41" spans="1:9" x14ac:dyDescent="0.25">
      <c r="A41" s="180"/>
      <c r="B41" s="485" t="s">
        <v>146</v>
      </c>
      <c r="C41" s="493"/>
      <c r="D41" s="453">
        <v>69246.84</v>
      </c>
      <c r="E41" s="453"/>
      <c r="F41" s="453">
        <v>41909.18</v>
      </c>
      <c r="G41" s="453">
        <f t="shared" si="0"/>
        <v>111156.01999999999</v>
      </c>
      <c r="H41" s="453">
        <f t="shared" si="1"/>
        <v>10105.092727272726</v>
      </c>
      <c r="I41" s="456"/>
    </row>
    <row r="42" spans="1:9" x14ac:dyDescent="0.25">
      <c r="A42" s="180"/>
      <c r="B42" s="181" t="s">
        <v>328</v>
      </c>
      <c r="C42" s="439"/>
      <c r="D42" s="182"/>
      <c r="E42" s="182"/>
      <c r="F42" s="182"/>
      <c r="G42" s="182">
        <f t="shared" si="0"/>
        <v>0</v>
      </c>
      <c r="H42" s="182">
        <f t="shared" si="1"/>
        <v>0</v>
      </c>
      <c r="I42" s="456"/>
    </row>
    <row r="43" spans="1:9" x14ac:dyDescent="0.25">
      <c r="A43" s="180"/>
      <c r="B43" s="181" t="s">
        <v>78</v>
      </c>
      <c r="C43" s="439"/>
      <c r="D43" s="182">
        <v>25416.57</v>
      </c>
      <c r="E43" s="182">
        <v>3005.58</v>
      </c>
      <c r="F43" s="182">
        <v>4916.95</v>
      </c>
      <c r="G43" s="182">
        <f t="shared" si="0"/>
        <v>33339.1</v>
      </c>
      <c r="H43" s="182">
        <f t="shared" si="1"/>
        <v>3030.8272727272724</v>
      </c>
      <c r="I43" s="456"/>
    </row>
    <row r="44" spans="1:9" x14ac:dyDescent="0.25">
      <c r="A44" s="180"/>
      <c r="B44" s="181" t="s">
        <v>19</v>
      </c>
      <c r="C44" s="439"/>
      <c r="D44" s="182"/>
      <c r="E44" s="182"/>
      <c r="F44" s="182"/>
      <c r="G44" s="182">
        <f t="shared" si="0"/>
        <v>0</v>
      </c>
      <c r="H44" s="182">
        <f t="shared" si="1"/>
        <v>0</v>
      </c>
      <c r="I44" s="456"/>
    </row>
    <row r="45" spans="1:9" x14ac:dyDescent="0.25">
      <c r="A45" s="180"/>
      <c r="B45" s="181" t="s">
        <v>281</v>
      </c>
      <c r="C45" s="439"/>
      <c r="D45" s="182"/>
      <c r="E45" s="182"/>
      <c r="F45" s="182"/>
      <c r="G45" s="182">
        <f t="shared" si="0"/>
        <v>0</v>
      </c>
      <c r="H45" s="182">
        <f t="shared" si="1"/>
        <v>0</v>
      </c>
      <c r="I45" s="456"/>
    </row>
    <row r="46" spans="1:9" x14ac:dyDescent="0.25">
      <c r="A46" s="180"/>
      <c r="B46" s="181"/>
      <c r="C46" s="439"/>
      <c r="D46" s="182"/>
      <c r="E46" s="182"/>
      <c r="F46" s="182"/>
      <c r="G46" s="182">
        <f t="shared" si="0"/>
        <v>0</v>
      </c>
      <c r="H46" s="182">
        <f t="shared" si="1"/>
        <v>0</v>
      </c>
      <c r="I46" s="456"/>
    </row>
    <row r="47" spans="1:9" x14ac:dyDescent="0.25">
      <c r="A47" s="180"/>
      <c r="B47" s="181"/>
      <c r="C47" s="439"/>
      <c r="D47" s="182"/>
      <c r="E47" s="182"/>
      <c r="F47" s="182"/>
      <c r="G47" s="182">
        <f t="shared" si="0"/>
        <v>0</v>
      </c>
      <c r="H47" s="182">
        <f t="shared" si="1"/>
        <v>0</v>
      </c>
      <c r="I47" s="456"/>
    </row>
    <row r="48" spans="1:9" s="179" customFormat="1" ht="18.75" x14ac:dyDescent="0.25">
      <c r="A48" s="173"/>
      <c r="B48" s="174" t="s">
        <v>131</v>
      </c>
      <c r="C48" s="440"/>
      <c r="D48" s="176">
        <f>D55+D59</f>
        <v>19023.84</v>
      </c>
      <c r="E48" s="176">
        <f>E55+E59</f>
        <v>0</v>
      </c>
      <c r="F48" s="176">
        <f>F55+F59</f>
        <v>0</v>
      </c>
      <c r="G48" s="176">
        <f>G55+G59</f>
        <v>19023.84</v>
      </c>
      <c r="H48" s="176">
        <f>H55+H59</f>
        <v>1729.44</v>
      </c>
      <c r="I48" s="458"/>
    </row>
    <row r="49" spans="1:11" x14ac:dyDescent="0.25">
      <c r="A49" s="180"/>
      <c r="B49" s="181" t="s">
        <v>85</v>
      </c>
      <c r="C49" s="439"/>
      <c r="D49" s="182"/>
      <c r="E49" s="182"/>
      <c r="F49" s="182"/>
      <c r="G49" s="182">
        <f t="shared" ref="G49:G54" si="2">SUM(D49:F49)</f>
        <v>0</v>
      </c>
      <c r="H49" s="182">
        <f t="shared" si="1"/>
        <v>0</v>
      </c>
      <c r="I49" s="456"/>
    </row>
    <row r="50" spans="1:11" x14ac:dyDescent="0.25">
      <c r="A50" s="180"/>
      <c r="B50" s="181" t="s">
        <v>143</v>
      </c>
      <c r="C50" s="439"/>
      <c r="D50" s="182">
        <v>4671.0200000000004</v>
      </c>
      <c r="E50" s="182"/>
      <c r="F50" s="182"/>
      <c r="G50" s="182">
        <f t="shared" si="2"/>
        <v>4671.0200000000004</v>
      </c>
      <c r="H50" s="182">
        <f t="shared" si="1"/>
        <v>424.63818181818186</v>
      </c>
      <c r="I50" s="456"/>
    </row>
    <row r="51" spans="1:11" x14ac:dyDescent="0.25">
      <c r="A51" s="180"/>
      <c r="B51" s="181" t="s">
        <v>148</v>
      </c>
      <c r="C51" s="439"/>
      <c r="D51" s="182">
        <v>960.33</v>
      </c>
      <c r="E51" s="182"/>
      <c r="F51" s="182"/>
      <c r="G51" s="182">
        <f t="shared" si="2"/>
        <v>960.33</v>
      </c>
      <c r="H51" s="182">
        <f t="shared" si="1"/>
        <v>87.302727272727282</v>
      </c>
      <c r="I51" s="456"/>
    </row>
    <row r="52" spans="1:11" x14ac:dyDescent="0.25">
      <c r="A52" s="180"/>
      <c r="B52" s="181" t="s">
        <v>334</v>
      </c>
      <c r="C52" s="439"/>
      <c r="D52" s="182"/>
      <c r="E52" s="182"/>
      <c r="F52" s="182"/>
      <c r="G52" s="182">
        <f t="shared" si="2"/>
        <v>0</v>
      </c>
      <c r="H52" s="182">
        <f t="shared" si="1"/>
        <v>0</v>
      </c>
      <c r="I52" s="456"/>
    </row>
    <row r="53" spans="1:11" x14ac:dyDescent="0.25">
      <c r="A53" s="180"/>
      <c r="B53" s="181" t="s">
        <v>229</v>
      </c>
      <c r="C53" s="439"/>
      <c r="D53" s="182"/>
      <c r="E53" s="433"/>
      <c r="F53" s="182"/>
      <c r="G53" s="182">
        <f t="shared" si="2"/>
        <v>0</v>
      </c>
      <c r="H53" s="182">
        <f t="shared" si="1"/>
        <v>0</v>
      </c>
      <c r="I53" s="456"/>
    </row>
    <row r="54" spans="1:11" x14ac:dyDescent="0.25">
      <c r="A54" s="180"/>
      <c r="B54" s="220" t="s">
        <v>330</v>
      </c>
      <c r="C54" s="439"/>
      <c r="D54" s="454"/>
      <c r="E54" s="455"/>
      <c r="F54" s="454"/>
      <c r="G54" s="182">
        <f t="shared" si="2"/>
        <v>0</v>
      </c>
      <c r="H54" s="182">
        <f t="shared" si="1"/>
        <v>0</v>
      </c>
      <c r="I54" s="456"/>
    </row>
    <row r="55" spans="1:11" ht="15.75" thickBot="1" x14ac:dyDescent="0.3">
      <c r="A55" s="180"/>
      <c r="B55" s="181"/>
      <c r="C55" s="439"/>
      <c r="D55" s="353">
        <f>SUM(D49:D52)</f>
        <v>5631.35</v>
      </c>
      <c r="E55" s="432">
        <f>SUM(E49:E52)</f>
        <v>0</v>
      </c>
      <c r="F55" s="353">
        <f>SUM(F49:F52)</f>
        <v>0</v>
      </c>
      <c r="G55" s="353">
        <f>SUM(G49:G52)</f>
        <v>5631.35</v>
      </c>
      <c r="H55" s="353">
        <f>SUM(H49:H52)</f>
        <v>511.94090909090914</v>
      </c>
      <c r="I55" s="456"/>
    </row>
    <row r="56" spans="1:11" ht="15.75" thickTop="1" x14ac:dyDescent="0.25">
      <c r="A56" s="180"/>
      <c r="B56" s="441" t="s">
        <v>332</v>
      </c>
      <c r="C56" s="439"/>
      <c r="D56" s="194"/>
      <c r="E56" s="447"/>
      <c r="F56" s="447"/>
      <c r="G56" s="447"/>
      <c r="H56" s="447"/>
      <c r="I56" s="456"/>
    </row>
    <row r="57" spans="1:11" x14ac:dyDescent="0.25">
      <c r="A57" s="180"/>
      <c r="B57" s="181" t="s">
        <v>136</v>
      </c>
      <c r="C57" s="439"/>
      <c r="D57" s="182">
        <v>13392.49</v>
      </c>
      <c r="E57" s="433"/>
      <c r="F57" s="182"/>
      <c r="G57" s="182">
        <f>SUM(D57:F57)</f>
        <v>13392.49</v>
      </c>
      <c r="H57" s="182">
        <f>G57/$H$1</f>
        <v>1217.4990909090909</v>
      </c>
      <c r="I57" s="456"/>
    </row>
    <row r="58" spans="1:11" x14ac:dyDescent="0.25">
      <c r="A58" s="180"/>
      <c r="B58" s="181" t="s">
        <v>333</v>
      </c>
      <c r="C58" s="439"/>
      <c r="D58" s="182"/>
      <c r="E58" s="433"/>
      <c r="F58" s="182"/>
      <c r="G58" s="182">
        <f>SUM(D58:F58)</f>
        <v>0</v>
      </c>
      <c r="H58" s="182">
        <f>G58/$H$1</f>
        <v>0</v>
      </c>
      <c r="I58" s="456"/>
    </row>
    <row r="59" spans="1:11" ht="15.75" thickBot="1" x14ac:dyDescent="0.3">
      <c r="A59" s="180"/>
      <c r="B59" s="209"/>
      <c r="C59" s="439"/>
      <c r="D59" s="353">
        <f>SUM(D57:D58)</f>
        <v>13392.49</v>
      </c>
      <c r="E59" s="432">
        <f>SUM(E57:E58)</f>
        <v>0</v>
      </c>
      <c r="F59" s="353">
        <f>SUM(F57:F58)</f>
        <v>0</v>
      </c>
      <c r="G59" s="353">
        <f>SUM(G57:G58)</f>
        <v>13392.49</v>
      </c>
      <c r="H59" s="353">
        <f>SUM(H57:H58)</f>
        <v>1217.4990909090909</v>
      </c>
      <c r="I59" s="456"/>
    </row>
    <row r="60" spans="1:11" ht="15.75" thickTop="1" x14ac:dyDescent="0.25">
      <c r="A60" s="180"/>
      <c r="B60" s="181"/>
      <c r="C60" s="439"/>
      <c r="D60" s="182"/>
      <c r="E60" s="433"/>
      <c r="F60" s="182"/>
      <c r="G60" s="182"/>
      <c r="H60" s="182"/>
      <c r="I60" s="456"/>
    </row>
    <row r="61" spans="1:11" x14ac:dyDescent="0.25">
      <c r="A61" s="180"/>
      <c r="B61" s="192" t="s">
        <v>4</v>
      </c>
      <c r="C61" s="439"/>
      <c r="D61" s="182" t="s">
        <v>4</v>
      </c>
      <c r="E61" s="433" t="s">
        <v>4</v>
      </c>
      <c r="F61" s="182" t="s">
        <v>4</v>
      </c>
      <c r="G61" s="182" t="s">
        <v>4</v>
      </c>
      <c r="H61" s="182" t="s">
        <v>4</v>
      </c>
      <c r="I61" s="456"/>
    </row>
    <row r="62" spans="1:11" s="179" customFormat="1" ht="18.75" x14ac:dyDescent="0.25">
      <c r="A62" s="173"/>
      <c r="B62" s="174" t="s">
        <v>129</v>
      </c>
      <c r="C62" s="440"/>
      <c r="D62" s="176">
        <f>SUM(D63:D68)</f>
        <v>28348.179999999997</v>
      </c>
      <c r="E62" s="434">
        <f>SUM(E63:E68)</f>
        <v>0</v>
      </c>
      <c r="F62" s="176">
        <f>SUM(F63:F68)</f>
        <v>0</v>
      </c>
      <c r="G62" s="176">
        <f>SUM(G63:G68)</f>
        <v>28348.179999999997</v>
      </c>
      <c r="H62" s="176">
        <f>SUM(H63:H68)</f>
        <v>2577.1072727272726</v>
      </c>
      <c r="I62" s="458"/>
      <c r="K62" s="490"/>
    </row>
    <row r="63" spans="1:11" x14ac:dyDescent="0.25">
      <c r="A63" s="180"/>
      <c r="B63" s="181" t="s">
        <v>87</v>
      </c>
      <c r="C63" s="439"/>
      <c r="D63" s="182">
        <v>25199.96</v>
      </c>
      <c r="E63" s="433"/>
      <c r="F63" s="182"/>
      <c r="G63" s="182">
        <f>SUM(D63:F63)</f>
        <v>25199.96</v>
      </c>
      <c r="H63" s="182">
        <f t="shared" ref="H63:H129" si="3">G63/$H$1</f>
        <v>2290.9054545454546</v>
      </c>
      <c r="I63" s="456"/>
    </row>
    <row r="64" spans="1:11" x14ac:dyDescent="0.25">
      <c r="A64" s="180"/>
      <c r="B64" s="181" t="s">
        <v>316</v>
      </c>
      <c r="C64" s="439"/>
      <c r="D64" s="182">
        <v>2064.7399999999998</v>
      </c>
      <c r="E64" s="433"/>
      <c r="F64" s="182"/>
      <c r="G64" s="182">
        <f>SUM(D64:F64)</f>
        <v>2064.7399999999998</v>
      </c>
      <c r="H64" s="182">
        <f t="shared" si="3"/>
        <v>187.70363636363635</v>
      </c>
      <c r="I64" s="456"/>
    </row>
    <row r="65" spans="1:11" x14ac:dyDescent="0.25">
      <c r="A65" s="180"/>
      <c r="B65" s="181" t="s">
        <v>86</v>
      </c>
      <c r="C65" s="439"/>
      <c r="D65" s="182"/>
      <c r="E65" s="433"/>
      <c r="F65" s="182"/>
      <c r="G65" s="182">
        <f>SUM(D65:F65)</f>
        <v>0</v>
      </c>
      <c r="H65" s="182">
        <f t="shared" si="3"/>
        <v>0</v>
      </c>
      <c r="I65" s="456"/>
    </row>
    <row r="66" spans="1:11" x14ac:dyDescent="0.25">
      <c r="A66" s="180"/>
      <c r="B66" s="181" t="s">
        <v>141</v>
      </c>
      <c r="C66" s="439"/>
      <c r="D66" s="182">
        <v>1083.48</v>
      </c>
      <c r="E66" s="433"/>
      <c r="F66" s="182"/>
      <c r="G66" s="182">
        <f>SUM(D66:F66)</f>
        <v>1083.48</v>
      </c>
      <c r="H66" s="182">
        <f t="shared" si="3"/>
        <v>98.49818181818182</v>
      </c>
      <c r="I66" s="456"/>
    </row>
    <row r="67" spans="1:11" x14ac:dyDescent="0.25">
      <c r="A67" s="180"/>
      <c r="B67" s="181"/>
      <c r="C67" s="439"/>
      <c r="D67" s="182"/>
      <c r="E67" s="433"/>
      <c r="F67" s="182"/>
      <c r="G67" s="182">
        <f>SUM(D67:F67)</f>
        <v>0</v>
      </c>
      <c r="H67" s="182">
        <f t="shared" si="3"/>
        <v>0</v>
      </c>
      <c r="I67" s="456"/>
    </row>
    <row r="68" spans="1:11" x14ac:dyDescent="0.25">
      <c r="A68" s="180"/>
      <c r="B68" s="181"/>
      <c r="C68" s="439"/>
      <c r="D68" s="182"/>
      <c r="E68" s="433"/>
      <c r="F68" s="182"/>
      <c r="G68" s="182"/>
      <c r="H68" s="182">
        <f t="shared" si="3"/>
        <v>0</v>
      </c>
      <c r="I68" s="456"/>
    </row>
    <row r="69" spans="1:11" s="179" customFormat="1" ht="18.75" x14ac:dyDescent="0.25">
      <c r="A69" s="173"/>
      <c r="B69" s="484" t="s">
        <v>128</v>
      </c>
      <c r="C69" s="489"/>
      <c r="D69" s="486">
        <f>SUM(D70:D75)</f>
        <v>2393.67</v>
      </c>
      <c r="E69" s="488">
        <f>SUM(E70:E75)</f>
        <v>0</v>
      </c>
      <c r="F69" s="486">
        <f>SUM(F70:F75)</f>
        <v>0</v>
      </c>
      <c r="G69" s="486">
        <f>SUM(G70:G75)</f>
        <v>2393.67</v>
      </c>
      <c r="H69" s="486">
        <f>SUM(H70:H75)</f>
        <v>217.60636363636365</v>
      </c>
      <c r="I69" s="458"/>
      <c r="K69" s="490"/>
    </row>
    <row r="70" spans="1:11" x14ac:dyDescent="0.25">
      <c r="A70" s="180"/>
      <c r="B70" s="181" t="s">
        <v>89</v>
      </c>
      <c r="C70" s="439"/>
      <c r="D70" s="182">
        <v>743.99</v>
      </c>
      <c r="E70" s="433"/>
      <c r="F70" s="182"/>
      <c r="G70" s="182">
        <f>SUM(D70:F70)</f>
        <v>743.99</v>
      </c>
      <c r="H70" s="182">
        <f t="shared" si="3"/>
        <v>67.63545454545455</v>
      </c>
      <c r="I70" s="456"/>
    </row>
    <row r="71" spans="1:11" x14ac:dyDescent="0.25">
      <c r="A71" s="180"/>
      <c r="B71" s="181" t="s">
        <v>88</v>
      </c>
      <c r="C71" s="439"/>
      <c r="D71" s="182">
        <v>1649.68</v>
      </c>
      <c r="E71" s="433"/>
      <c r="F71" s="182"/>
      <c r="G71" s="182">
        <f>SUM(D71:F71)</f>
        <v>1649.68</v>
      </c>
      <c r="H71" s="182">
        <f t="shared" si="3"/>
        <v>149.97090909090909</v>
      </c>
      <c r="I71" s="456"/>
    </row>
    <row r="72" spans="1:11" x14ac:dyDescent="0.25">
      <c r="A72" s="180"/>
      <c r="B72" s="181"/>
      <c r="C72" s="439"/>
      <c r="D72" s="182"/>
      <c r="E72" s="433"/>
      <c r="F72" s="182"/>
      <c r="G72" s="182">
        <f>SUM(D72:F72)</f>
        <v>0</v>
      </c>
      <c r="H72" s="182">
        <f t="shared" si="3"/>
        <v>0</v>
      </c>
      <c r="I72" s="456"/>
    </row>
    <row r="73" spans="1:11" x14ac:dyDescent="0.25">
      <c r="A73" s="180"/>
      <c r="B73" s="220" t="s">
        <v>207</v>
      </c>
      <c r="C73" s="442"/>
      <c r="D73" s="454"/>
      <c r="E73" s="455"/>
      <c r="F73" s="454"/>
      <c r="G73" s="182">
        <f>SUM(D73:F73)</f>
        <v>0</v>
      </c>
      <c r="H73" s="182">
        <f t="shared" si="3"/>
        <v>0</v>
      </c>
      <c r="I73" s="456"/>
    </row>
    <row r="74" spans="1:11" x14ac:dyDescent="0.25">
      <c r="A74" s="180"/>
      <c r="B74" s="184"/>
      <c r="C74" s="442"/>
      <c r="D74" s="182"/>
      <c r="E74" s="433"/>
      <c r="F74" s="182"/>
      <c r="G74" s="182">
        <f>SUM(D74:F74)</f>
        <v>0</v>
      </c>
      <c r="H74" s="182">
        <f t="shared" si="3"/>
        <v>0</v>
      </c>
      <c r="I74" s="456"/>
    </row>
    <row r="75" spans="1:11" x14ac:dyDescent="0.25">
      <c r="A75" s="180"/>
      <c r="B75" s="181"/>
      <c r="C75" s="439"/>
      <c r="D75" s="182"/>
      <c r="E75" s="433"/>
      <c r="F75" s="182"/>
      <c r="G75" s="182"/>
      <c r="H75" s="182">
        <f t="shared" si="3"/>
        <v>0</v>
      </c>
      <c r="I75" s="456"/>
    </row>
    <row r="76" spans="1:11" s="179" customFormat="1" ht="18.75" x14ac:dyDescent="0.25">
      <c r="A76" s="173"/>
      <c r="B76" s="174" t="s">
        <v>130</v>
      </c>
      <c r="C76" s="440"/>
      <c r="D76" s="176">
        <f>D77+D88</f>
        <v>463520.23</v>
      </c>
      <c r="E76" s="176">
        <f>E77+E88</f>
        <v>108483.22</v>
      </c>
      <c r="F76" s="176">
        <f>F77+F88</f>
        <v>292315.52000000008</v>
      </c>
      <c r="G76" s="176">
        <f>G77+G88</f>
        <v>864318.97</v>
      </c>
      <c r="H76" s="176">
        <f>H77+H88</f>
        <v>78574.451818181798</v>
      </c>
      <c r="I76" s="458"/>
      <c r="K76" s="490"/>
    </row>
    <row r="77" spans="1:11" ht="18.75" x14ac:dyDescent="0.25">
      <c r="A77" s="180"/>
      <c r="B77" s="484" t="s">
        <v>355</v>
      </c>
      <c r="C77" s="491"/>
      <c r="D77" s="492">
        <f>SUM(D78:D87)</f>
        <v>114903.16</v>
      </c>
      <c r="E77" s="492">
        <f>SUM(E78:E87)</f>
        <v>11490.01</v>
      </c>
      <c r="F77" s="492">
        <f>SUM(F78:F87)</f>
        <v>12833.539999999999</v>
      </c>
      <c r="G77" s="492">
        <f>SUM(G78:G87)</f>
        <v>139226.71</v>
      </c>
      <c r="H77" s="492">
        <f>SUM(H78:H87)</f>
        <v>12656.973636363637</v>
      </c>
      <c r="I77" s="456"/>
    </row>
    <row r="78" spans="1:11" x14ac:dyDescent="0.25">
      <c r="A78" s="180"/>
      <c r="B78" s="192" t="s">
        <v>203</v>
      </c>
      <c r="C78" s="439"/>
      <c r="D78" s="182">
        <v>6946.76</v>
      </c>
      <c r="E78" s="433"/>
      <c r="F78" s="182">
        <v>989.72</v>
      </c>
      <c r="G78" s="182">
        <f t="shared" ref="G78:G87" si="4">SUM(D78:F78)</f>
        <v>7936.4800000000005</v>
      </c>
      <c r="H78" s="182">
        <f t="shared" ref="H78:H87" si="5">G78/$H$1</f>
        <v>721.49818181818182</v>
      </c>
      <c r="I78" s="456"/>
    </row>
    <row r="79" spans="1:11" x14ac:dyDescent="0.25">
      <c r="A79" s="180"/>
      <c r="B79" s="192" t="s">
        <v>219</v>
      </c>
      <c r="C79" s="439"/>
      <c r="D79" s="182">
        <v>14076.66</v>
      </c>
      <c r="E79" s="433"/>
      <c r="F79" s="182"/>
      <c r="G79" s="182">
        <f t="shared" si="4"/>
        <v>14076.66</v>
      </c>
      <c r="H79" s="182">
        <f t="shared" si="5"/>
        <v>1279.6963636363637</v>
      </c>
      <c r="I79" s="456"/>
    </row>
    <row r="80" spans="1:11" x14ac:dyDescent="0.25">
      <c r="A80" s="180"/>
      <c r="B80" s="192" t="s">
        <v>140</v>
      </c>
      <c r="C80" s="303"/>
      <c r="D80" s="182">
        <v>4887.0200000000004</v>
      </c>
      <c r="E80" s="433"/>
      <c r="F80" s="182"/>
      <c r="G80" s="182">
        <f t="shared" si="4"/>
        <v>4887.0200000000004</v>
      </c>
      <c r="H80" s="182">
        <f t="shared" si="5"/>
        <v>444.27454545454549</v>
      </c>
      <c r="I80" s="456"/>
      <c r="K80" s="156" t="s">
        <v>4</v>
      </c>
    </row>
    <row r="81" spans="1:9" x14ac:dyDescent="0.25">
      <c r="A81" s="180"/>
      <c r="B81" s="192" t="s">
        <v>278</v>
      </c>
      <c r="C81" s="303"/>
      <c r="D81" s="182">
        <v>20303.89</v>
      </c>
      <c r="E81" s="433">
        <v>666.33</v>
      </c>
      <c r="F81" s="182">
        <v>807.68</v>
      </c>
      <c r="G81" s="182">
        <f t="shared" si="4"/>
        <v>21777.9</v>
      </c>
      <c r="H81" s="182">
        <f t="shared" si="5"/>
        <v>1979.8090909090911</v>
      </c>
      <c r="I81" s="456"/>
    </row>
    <row r="82" spans="1:9" x14ac:dyDescent="0.25">
      <c r="A82" s="180"/>
      <c r="B82" s="192" t="s">
        <v>205</v>
      </c>
      <c r="C82" s="439"/>
      <c r="D82" s="182">
        <v>7973.16</v>
      </c>
      <c r="E82" s="433">
        <v>1451.66</v>
      </c>
      <c r="F82" s="182"/>
      <c r="G82" s="182">
        <f t="shared" si="4"/>
        <v>9424.82</v>
      </c>
      <c r="H82" s="182">
        <f t="shared" si="5"/>
        <v>856.80181818181813</v>
      </c>
      <c r="I82" s="456"/>
    </row>
    <row r="83" spans="1:9" x14ac:dyDescent="0.25">
      <c r="A83" s="180"/>
      <c r="B83" s="203" t="s">
        <v>187</v>
      </c>
      <c r="C83" s="303"/>
      <c r="D83" s="182">
        <v>5560.61</v>
      </c>
      <c r="E83" s="433">
        <v>8768.43</v>
      </c>
      <c r="F83" s="182">
        <v>10048.48</v>
      </c>
      <c r="G83" s="182">
        <f t="shared" si="4"/>
        <v>24377.52</v>
      </c>
      <c r="H83" s="182">
        <f t="shared" si="5"/>
        <v>2216.1381818181817</v>
      </c>
      <c r="I83" s="456"/>
    </row>
    <row r="84" spans="1:9" x14ac:dyDescent="0.25">
      <c r="A84" s="180"/>
      <c r="B84" s="192" t="s">
        <v>37</v>
      </c>
      <c r="C84" s="303"/>
      <c r="D84" s="182">
        <v>15127.62</v>
      </c>
      <c r="E84" s="433">
        <v>603.59</v>
      </c>
      <c r="F84" s="182">
        <v>987.66</v>
      </c>
      <c r="G84" s="182">
        <f t="shared" si="4"/>
        <v>16718.870000000003</v>
      </c>
      <c r="H84" s="182">
        <f t="shared" si="5"/>
        <v>1519.897272727273</v>
      </c>
      <c r="I84" s="456"/>
    </row>
    <row r="85" spans="1:9" x14ac:dyDescent="0.25">
      <c r="A85" s="180"/>
      <c r="B85" s="192" t="s">
        <v>149</v>
      </c>
      <c r="C85" s="439"/>
      <c r="D85" s="182">
        <v>34117.589999999997</v>
      </c>
      <c r="E85" s="433"/>
      <c r="F85" s="182"/>
      <c r="G85" s="182">
        <f t="shared" si="4"/>
        <v>34117.589999999997</v>
      </c>
      <c r="H85" s="182">
        <f t="shared" si="5"/>
        <v>3101.5990909090906</v>
      </c>
      <c r="I85" s="456"/>
    </row>
    <row r="86" spans="1:9" x14ac:dyDescent="0.25">
      <c r="A86" s="180"/>
      <c r="B86" s="184" t="s">
        <v>272</v>
      </c>
      <c r="C86" s="303"/>
      <c r="D86" s="182">
        <v>2485.41</v>
      </c>
      <c r="E86" s="433"/>
      <c r="F86" s="182"/>
      <c r="G86" s="182">
        <f t="shared" si="4"/>
        <v>2485.41</v>
      </c>
      <c r="H86" s="182">
        <f t="shared" si="5"/>
        <v>225.94636363636363</v>
      </c>
      <c r="I86" s="456"/>
    </row>
    <row r="87" spans="1:9" x14ac:dyDescent="0.25">
      <c r="A87" s="180"/>
      <c r="B87" s="203" t="s">
        <v>273</v>
      </c>
      <c r="C87" s="303"/>
      <c r="D87" s="205">
        <v>3424.44</v>
      </c>
      <c r="E87" s="435"/>
      <c r="F87" s="205"/>
      <c r="G87" s="182">
        <f t="shared" si="4"/>
        <v>3424.44</v>
      </c>
      <c r="H87" s="182">
        <f t="shared" si="5"/>
        <v>311.31272727272727</v>
      </c>
      <c r="I87" s="456"/>
    </row>
    <row r="88" spans="1:9" x14ac:dyDescent="0.25">
      <c r="A88" s="180"/>
      <c r="B88" s="487" t="s">
        <v>356</v>
      </c>
      <c r="C88" s="493"/>
      <c r="D88" s="453">
        <f>SUM(D89:D140)</f>
        <v>348617.07</v>
      </c>
      <c r="E88" s="453">
        <f>SUM(E89:E140)</f>
        <v>96993.21</v>
      </c>
      <c r="F88" s="453">
        <f>SUM(F89:F140)</f>
        <v>279481.9800000001</v>
      </c>
      <c r="G88" s="453">
        <f>SUM(G89:G140)</f>
        <v>725092.26</v>
      </c>
      <c r="H88" s="453">
        <f>SUM(H89:H140)</f>
        <v>65917.478181818165</v>
      </c>
      <c r="I88" s="456"/>
    </row>
    <row r="89" spans="1:9" x14ac:dyDescent="0.25">
      <c r="A89" s="180"/>
      <c r="B89" s="184" t="s">
        <v>245</v>
      </c>
      <c r="C89" s="439"/>
      <c r="D89" s="182"/>
      <c r="E89" s="433"/>
      <c r="F89" s="182"/>
      <c r="G89" s="182"/>
      <c r="H89" s="182"/>
      <c r="I89" s="456"/>
    </row>
    <row r="90" spans="1:9" x14ac:dyDescent="0.25">
      <c r="A90" s="180"/>
      <c r="B90" s="184" t="s">
        <v>114</v>
      </c>
      <c r="C90" s="303"/>
      <c r="D90" s="182">
        <v>10970.7</v>
      </c>
      <c r="E90" s="433">
        <v>557.76</v>
      </c>
      <c r="F90" s="182">
        <v>10496.32</v>
      </c>
      <c r="G90" s="182">
        <f t="shared" ref="G90:G139" si="6">SUM(D90:F90)</f>
        <v>22024.78</v>
      </c>
      <c r="H90" s="182">
        <f t="shared" si="3"/>
        <v>2002.2527272727273</v>
      </c>
      <c r="I90" s="456"/>
    </row>
    <row r="91" spans="1:9" x14ac:dyDescent="0.25">
      <c r="A91" s="180"/>
      <c r="B91" s="203" t="s">
        <v>102</v>
      </c>
      <c r="C91" s="303"/>
      <c r="D91" s="182">
        <v>1809.96</v>
      </c>
      <c r="E91" s="433">
        <v>1233.81</v>
      </c>
      <c r="F91" s="182">
        <v>1527.68</v>
      </c>
      <c r="G91" s="182">
        <f t="shared" si="6"/>
        <v>4571.45</v>
      </c>
      <c r="H91" s="182">
        <f t="shared" si="3"/>
        <v>415.58636363636361</v>
      </c>
      <c r="I91" s="456"/>
    </row>
    <row r="92" spans="1:9" x14ac:dyDescent="0.25">
      <c r="A92" s="180"/>
      <c r="B92" s="203" t="s">
        <v>197</v>
      </c>
      <c r="C92" s="303"/>
      <c r="D92" s="182">
        <v>33.89</v>
      </c>
      <c r="E92" s="433"/>
      <c r="F92" s="182"/>
      <c r="G92" s="182">
        <f t="shared" si="6"/>
        <v>33.89</v>
      </c>
      <c r="H92" s="182">
        <f t="shared" si="3"/>
        <v>3.080909090909091</v>
      </c>
      <c r="I92" s="456"/>
    </row>
    <row r="93" spans="1:9" x14ac:dyDescent="0.25">
      <c r="A93" s="180"/>
      <c r="B93" s="203" t="s">
        <v>105</v>
      </c>
      <c r="C93" s="303"/>
      <c r="D93" s="182">
        <v>1951.82</v>
      </c>
      <c r="E93" s="433"/>
      <c r="F93" s="182"/>
      <c r="G93" s="182">
        <f t="shared" si="6"/>
        <v>1951.82</v>
      </c>
      <c r="H93" s="182">
        <f t="shared" si="3"/>
        <v>177.43818181818182</v>
      </c>
      <c r="I93" s="456"/>
    </row>
    <row r="94" spans="1:9" x14ac:dyDescent="0.25">
      <c r="A94" s="180"/>
      <c r="B94" s="192" t="s">
        <v>198</v>
      </c>
      <c r="C94" s="303"/>
      <c r="D94" s="182">
        <v>3519.29</v>
      </c>
      <c r="E94" s="433">
        <v>6177.1</v>
      </c>
      <c r="F94" s="182">
        <v>11839.92</v>
      </c>
      <c r="G94" s="182">
        <f t="shared" si="6"/>
        <v>21536.309999999998</v>
      </c>
      <c r="H94" s="182">
        <f t="shared" si="3"/>
        <v>1957.8463636363633</v>
      </c>
      <c r="I94" s="456"/>
    </row>
    <row r="95" spans="1:9" x14ac:dyDescent="0.25">
      <c r="A95" s="180"/>
      <c r="B95" s="184" t="s">
        <v>326</v>
      </c>
      <c r="C95" s="303"/>
      <c r="D95" s="182">
        <v>3566.15</v>
      </c>
      <c r="E95" s="433">
        <v>4332.91</v>
      </c>
      <c r="F95" s="182">
        <v>7995.9</v>
      </c>
      <c r="G95" s="182">
        <f t="shared" si="6"/>
        <v>15894.96</v>
      </c>
      <c r="H95" s="182">
        <f t="shared" si="3"/>
        <v>1444.9963636363636</v>
      </c>
      <c r="I95" s="456"/>
    </row>
    <row r="96" spans="1:9" x14ac:dyDescent="0.25">
      <c r="A96" s="180"/>
      <c r="B96" s="192" t="s">
        <v>217</v>
      </c>
      <c r="C96" s="439"/>
      <c r="D96" s="182">
        <v>8201.9699999999993</v>
      </c>
      <c r="E96" s="433">
        <v>8095.19</v>
      </c>
      <c r="F96" s="182">
        <v>11827.79</v>
      </c>
      <c r="G96" s="182">
        <f t="shared" si="6"/>
        <v>28124.95</v>
      </c>
      <c r="H96" s="182">
        <f t="shared" si="3"/>
        <v>2556.8136363636363</v>
      </c>
      <c r="I96" s="456"/>
    </row>
    <row r="97" spans="1:9" x14ac:dyDescent="0.25">
      <c r="A97" s="180"/>
      <c r="B97" s="184" t="s">
        <v>38</v>
      </c>
      <c r="C97" s="303"/>
      <c r="D97" s="182">
        <v>4983.03</v>
      </c>
      <c r="E97" s="433"/>
      <c r="F97" s="182">
        <v>4288.58</v>
      </c>
      <c r="G97" s="182">
        <f t="shared" si="6"/>
        <v>9271.61</v>
      </c>
      <c r="H97" s="182">
        <f t="shared" si="3"/>
        <v>842.87363636363636</v>
      </c>
      <c r="I97" s="456"/>
    </row>
    <row r="98" spans="1:9" x14ac:dyDescent="0.25">
      <c r="A98" s="180"/>
      <c r="B98" s="203" t="s">
        <v>99</v>
      </c>
      <c r="C98" s="303"/>
      <c r="D98" s="182">
        <v>7278.29</v>
      </c>
      <c r="E98" s="433">
        <v>5992.51</v>
      </c>
      <c r="F98" s="182">
        <v>8378.85</v>
      </c>
      <c r="G98" s="182">
        <f t="shared" si="6"/>
        <v>21649.65</v>
      </c>
      <c r="H98" s="182">
        <f t="shared" si="3"/>
        <v>1968.15</v>
      </c>
      <c r="I98" s="456"/>
    </row>
    <row r="99" spans="1:9" x14ac:dyDescent="0.25">
      <c r="A99" s="180"/>
      <c r="B99" s="192" t="s">
        <v>271</v>
      </c>
      <c r="C99" s="439"/>
      <c r="D99" s="182">
        <v>12628.69</v>
      </c>
      <c r="E99" s="433"/>
      <c r="F99" s="182">
        <v>14197.32</v>
      </c>
      <c r="G99" s="182">
        <f t="shared" si="6"/>
        <v>26826.010000000002</v>
      </c>
      <c r="H99" s="182">
        <f t="shared" si="3"/>
        <v>2438.7281818181818</v>
      </c>
      <c r="I99" s="456"/>
    </row>
    <row r="100" spans="1:9" x14ac:dyDescent="0.25">
      <c r="A100" s="180"/>
      <c r="B100" s="192" t="s">
        <v>218</v>
      </c>
      <c r="C100" s="439"/>
      <c r="D100" s="182">
        <v>2212.33</v>
      </c>
      <c r="E100" s="433"/>
      <c r="F100" s="182">
        <v>2248.59</v>
      </c>
      <c r="G100" s="182">
        <f t="shared" si="6"/>
        <v>4460.92</v>
      </c>
      <c r="H100" s="182">
        <f t="shared" si="3"/>
        <v>405.53818181818184</v>
      </c>
      <c r="I100" s="456"/>
    </row>
    <row r="101" spans="1:9" x14ac:dyDescent="0.25">
      <c r="A101" s="180"/>
      <c r="B101" s="203" t="s">
        <v>115</v>
      </c>
      <c r="C101" s="303"/>
      <c r="D101" s="182"/>
      <c r="E101" s="433"/>
      <c r="F101" s="182"/>
      <c r="G101" s="182">
        <f t="shared" si="6"/>
        <v>0</v>
      </c>
      <c r="H101" s="182">
        <f t="shared" si="3"/>
        <v>0</v>
      </c>
      <c r="I101" s="456"/>
    </row>
    <row r="102" spans="1:9" x14ac:dyDescent="0.25">
      <c r="A102" s="180"/>
      <c r="B102" s="203" t="s">
        <v>189</v>
      </c>
      <c r="C102" s="303"/>
      <c r="D102" s="182">
        <v>7513.97</v>
      </c>
      <c r="E102" s="433">
        <v>0</v>
      </c>
      <c r="F102" s="182">
        <v>7823.96</v>
      </c>
      <c r="G102" s="182">
        <f t="shared" si="6"/>
        <v>15337.93</v>
      </c>
      <c r="H102" s="182">
        <f t="shared" si="3"/>
        <v>1394.3572727272729</v>
      </c>
      <c r="I102" s="456"/>
    </row>
    <row r="103" spans="1:9" x14ac:dyDescent="0.25">
      <c r="A103" s="180"/>
      <c r="B103" s="192" t="s">
        <v>252</v>
      </c>
      <c r="C103" s="439"/>
      <c r="D103" s="182">
        <v>42353.97</v>
      </c>
      <c r="E103" s="433">
        <v>0</v>
      </c>
      <c r="F103" s="182">
        <v>17607.900000000001</v>
      </c>
      <c r="G103" s="182">
        <f t="shared" si="6"/>
        <v>59961.87</v>
      </c>
      <c r="H103" s="182">
        <f t="shared" si="3"/>
        <v>5451.0790909090911</v>
      </c>
      <c r="I103" s="456"/>
    </row>
    <row r="104" spans="1:9" x14ac:dyDescent="0.25">
      <c r="A104" s="180"/>
      <c r="B104" s="448" t="s">
        <v>344</v>
      </c>
      <c r="C104" s="303"/>
      <c r="D104" s="182">
        <v>17853.23</v>
      </c>
      <c r="E104" s="433">
        <v>13579.62</v>
      </c>
      <c r="F104" s="182">
        <v>16578.86</v>
      </c>
      <c r="G104" s="182">
        <f t="shared" si="6"/>
        <v>48011.71</v>
      </c>
      <c r="H104" s="182">
        <f t="shared" si="3"/>
        <v>4364.7009090909087</v>
      </c>
      <c r="I104" s="456"/>
    </row>
    <row r="105" spans="1:9" x14ac:dyDescent="0.25">
      <c r="A105" s="180"/>
      <c r="B105" s="192" t="s">
        <v>204</v>
      </c>
      <c r="C105" s="439"/>
      <c r="D105" s="182">
        <v>99.33</v>
      </c>
      <c r="E105" s="433"/>
      <c r="F105" s="182"/>
      <c r="G105" s="182">
        <f t="shared" si="6"/>
        <v>99.33</v>
      </c>
      <c r="H105" s="182">
        <f t="shared" si="3"/>
        <v>9.0299999999999994</v>
      </c>
      <c r="I105" s="456"/>
    </row>
    <row r="106" spans="1:9" x14ac:dyDescent="0.25">
      <c r="A106" s="180"/>
      <c r="B106" s="203" t="s">
        <v>190</v>
      </c>
      <c r="C106" s="303"/>
      <c r="D106" s="182">
        <v>15604.96</v>
      </c>
      <c r="E106" s="433"/>
      <c r="F106" s="182">
        <v>10356.709999999999</v>
      </c>
      <c r="G106" s="182">
        <f t="shared" si="6"/>
        <v>25961.67</v>
      </c>
      <c r="H106" s="182">
        <f t="shared" si="3"/>
        <v>2360.1518181818178</v>
      </c>
      <c r="I106" s="456"/>
    </row>
    <row r="107" spans="1:9" x14ac:dyDescent="0.25">
      <c r="A107" s="180"/>
      <c r="B107" s="192" t="s">
        <v>196</v>
      </c>
      <c r="C107" s="303"/>
      <c r="D107" s="182">
        <v>1113.77</v>
      </c>
      <c r="E107" s="433">
        <v>160.68</v>
      </c>
      <c r="F107" s="182"/>
      <c r="G107" s="182">
        <f t="shared" si="6"/>
        <v>1274.45</v>
      </c>
      <c r="H107" s="182">
        <f t="shared" si="3"/>
        <v>115.85909090909091</v>
      </c>
      <c r="I107" s="456"/>
    </row>
    <row r="108" spans="1:9" x14ac:dyDescent="0.25">
      <c r="A108" s="180"/>
      <c r="B108" s="203" t="s">
        <v>321</v>
      </c>
      <c r="C108" s="439"/>
      <c r="D108" s="182">
        <v>13.99</v>
      </c>
      <c r="E108" s="433"/>
      <c r="F108" s="182"/>
      <c r="G108" s="182">
        <f t="shared" si="6"/>
        <v>13.99</v>
      </c>
      <c r="H108" s="182">
        <f t="shared" si="3"/>
        <v>1.2718181818181817</v>
      </c>
      <c r="I108" s="456"/>
    </row>
    <row r="109" spans="1:9" x14ac:dyDescent="0.25">
      <c r="A109" s="180"/>
      <c r="B109" s="203" t="s">
        <v>322</v>
      </c>
      <c r="C109" s="439"/>
      <c r="D109" s="182"/>
      <c r="E109" s="433"/>
      <c r="F109" s="182"/>
      <c r="G109" s="182">
        <f t="shared" si="6"/>
        <v>0</v>
      </c>
      <c r="H109" s="182">
        <f t="shared" si="3"/>
        <v>0</v>
      </c>
      <c r="I109" s="456"/>
    </row>
    <row r="110" spans="1:9" x14ac:dyDescent="0.25">
      <c r="A110" s="180"/>
      <c r="B110" s="203" t="s">
        <v>192</v>
      </c>
      <c r="C110" s="303"/>
      <c r="D110" s="182">
        <v>1926.86</v>
      </c>
      <c r="E110" s="433"/>
      <c r="F110" s="182"/>
      <c r="G110" s="182">
        <f t="shared" si="6"/>
        <v>1926.86</v>
      </c>
      <c r="H110" s="182">
        <f t="shared" si="3"/>
        <v>175.1690909090909</v>
      </c>
      <c r="I110" s="456"/>
    </row>
    <row r="111" spans="1:9" x14ac:dyDescent="0.25">
      <c r="A111" s="180"/>
      <c r="B111" s="203" t="s">
        <v>193</v>
      </c>
      <c r="C111" s="303"/>
      <c r="D111" s="182">
        <v>4625.09</v>
      </c>
      <c r="E111" s="433"/>
      <c r="F111" s="182"/>
      <c r="G111" s="182">
        <f t="shared" si="6"/>
        <v>4625.09</v>
      </c>
      <c r="H111" s="182">
        <f t="shared" si="3"/>
        <v>420.46272727272731</v>
      </c>
      <c r="I111" s="456"/>
    </row>
    <row r="112" spans="1:9" x14ac:dyDescent="0.25">
      <c r="A112" s="180"/>
      <c r="B112" s="449" t="s">
        <v>335</v>
      </c>
      <c r="C112" s="303"/>
      <c r="D112" s="182">
        <v>9444.69</v>
      </c>
      <c r="E112" s="433">
        <v>261.12</v>
      </c>
      <c r="F112" s="182">
        <v>2219.52</v>
      </c>
      <c r="G112" s="182">
        <f t="shared" si="6"/>
        <v>11925.330000000002</v>
      </c>
      <c r="H112" s="182">
        <f t="shared" si="3"/>
        <v>1084.1209090909092</v>
      </c>
      <c r="I112" s="456"/>
    </row>
    <row r="113" spans="1:9" x14ac:dyDescent="0.25">
      <c r="A113" s="180"/>
      <c r="B113" s="192" t="s">
        <v>142</v>
      </c>
      <c r="C113" s="303"/>
      <c r="D113" s="182">
        <v>21282.04</v>
      </c>
      <c r="E113" s="433"/>
      <c r="F113" s="182">
        <v>20588.93</v>
      </c>
      <c r="G113" s="182">
        <f t="shared" si="6"/>
        <v>41870.97</v>
      </c>
      <c r="H113" s="182">
        <f t="shared" si="3"/>
        <v>3806.4518181818185</v>
      </c>
      <c r="I113" s="456"/>
    </row>
    <row r="114" spans="1:9" x14ac:dyDescent="0.25">
      <c r="A114" s="180"/>
      <c r="B114" s="203" t="s">
        <v>98</v>
      </c>
      <c r="C114" s="303"/>
      <c r="D114" s="182">
        <v>20636.990000000002</v>
      </c>
      <c r="E114" s="433">
        <v>0</v>
      </c>
      <c r="F114" s="182">
        <v>11685.19</v>
      </c>
      <c r="G114" s="182">
        <f t="shared" si="6"/>
        <v>32322.18</v>
      </c>
      <c r="H114" s="182">
        <f t="shared" si="3"/>
        <v>2938.38</v>
      </c>
      <c r="I114" s="456"/>
    </row>
    <row r="115" spans="1:9" x14ac:dyDescent="0.25">
      <c r="A115" s="180"/>
      <c r="B115" s="192" t="s">
        <v>279</v>
      </c>
      <c r="C115" s="303"/>
      <c r="D115" s="182">
        <v>1753.25</v>
      </c>
      <c r="E115" s="433">
        <v>2322.94</v>
      </c>
      <c r="F115" s="182">
        <v>1010.1</v>
      </c>
      <c r="G115" s="182">
        <f t="shared" si="6"/>
        <v>5086.29</v>
      </c>
      <c r="H115" s="182">
        <f t="shared" si="3"/>
        <v>462.39</v>
      </c>
      <c r="I115" s="456"/>
    </row>
    <row r="116" spans="1:9" x14ac:dyDescent="0.25">
      <c r="A116" s="180"/>
      <c r="B116" s="203" t="s">
        <v>318</v>
      </c>
      <c r="C116" s="303"/>
      <c r="D116" s="205"/>
      <c r="E116" s="435"/>
      <c r="F116" s="205"/>
      <c r="G116" s="182">
        <f t="shared" si="6"/>
        <v>0</v>
      </c>
      <c r="H116" s="182">
        <f t="shared" si="3"/>
        <v>0</v>
      </c>
      <c r="I116" s="456"/>
    </row>
    <row r="117" spans="1:9" x14ac:dyDescent="0.25">
      <c r="A117" s="180"/>
      <c r="B117" s="192" t="s">
        <v>144</v>
      </c>
      <c r="C117" s="303"/>
      <c r="D117" s="182">
        <v>5116.62</v>
      </c>
      <c r="E117" s="433">
        <v>7748.27</v>
      </c>
      <c r="F117" s="182">
        <v>14163.47</v>
      </c>
      <c r="G117" s="182">
        <f t="shared" si="6"/>
        <v>27028.36</v>
      </c>
      <c r="H117" s="182">
        <f t="shared" si="3"/>
        <v>2457.1236363636363</v>
      </c>
      <c r="I117" s="456"/>
    </row>
    <row r="118" spans="1:9" x14ac:dyDescent="0.25">
      <c r="A118" s="180"/>
      <c r="B118" s="192" t="s">
        <v>145</v>
      </c>
      <c r="C118" s="303"/>
      <c r="D118" s="182">
        <v>515.29</v>
      </c>
      <c r="E118" s="433"/>
      <c r="F118" s="182">
        <v>180.45</v>
      </c>
      <c r="G118" s="182">
        <f t="shared" si="6"/>
        <v>695.74</v>
      </c>
      <c r="H118" s="182">
        <f t="shared" si="3"/>
        <v>63.24909090909091</v>
      </c>
      <c r="I118" s="456"/>
    </row>
    <row r="119" spans="1:9" x14ac:dyDescent="0.25">
      <c r="A119" s="180"/>
      <c r="B119" s="192" t="s">
        <v>262</v>
      </c>
      <c r="C119" s="303"/>
      <c r="D119" s="182">
        <v>11067.92</v>
      </c>
      <c r="E119" s="433">
        <v>12913.68</v>
      </c>
      <c r="F119" s="182">
        <v>12958.59</v>
      </c>
      <c r="G119" s="182">
        <f t="shared" si="6"/>
        <v>36940.19</v>
      </c>
      <c r="H119" s="182">
        <f t="shared" si="3"/>
        <v>3358.199090909091</v>
      </c>
      <c r="I119" s="456"/>
    </row>
    <row r="120" spans="1:9" x14ac:dyDescent="0.25">
      <c r="A120" s="180"/>
      <c r="B120" s="192" t="s">
        <v>280</v>
      </c>
      <c r="C120" s="303"/>
      <c r="D120" s="182">
        <v>2993.41</v>
      </c>
      <c r="E120" s="433">
        <v>2984.99</v>
      </c>
      <c r="F120" s="182">
        <v>3767.09</v>
      </c>
      <c r="G120" s="182">
        <f t="shared" si="6"/>
        <v>9745.49</v>
      </c>
      <c r="H120" s="182">
        <f t="shared" si="3"/>
        <v>885.95363636363629</v>
      </c>
      <c r="I120" s="456"/>
    </row>
    <row r="121" spans="1:9" x14ac:dyDescent="0.25">
      <c r="A121" s="180"/>
      <c r="B121" s="192" t="s">
        <v>338</v>
      </c>
      <c r="C121" s="303"/>
      <c r="D121" s="182">
        <v>199.04</v>
      </c>
      <c r="E121" s="433"/>
      <c r="F121" s="182"/>
      <c r="G121" s="182">
        <f t="shared" si="6"/>
        <v>199.04</v>
      </c>
      <c r="H121" s="182">
        <f t="shared" si="3"/>
        <v>18.094545454545454</v>
      </c>
      <c r="I121" s="456"/>
    </row>
    <row r="122" spans="1:9" x14ac:dyDescent="0.25">
      <c r="A122" s="180"/>
      <c r="B122" s="203" t="s">
        <v>95</v>
      </c>
      <c r="C122" s="303"/>
      <c r="D122" s="182">
        <v>4925.6000000000004</v>
      </c>
      <c r="E122" s="433">
        <v>10038.83</v>
      </c>
      <c r="F122" s="182">
        <v>10206.51</v>
      </c>
      <c r="G122" s="182">
        <f t="shared" si="6"/>
        <v>25170.940000000002</v>
      </c>
      <c r="H122" s="182">
        <f t="shared" si="3"/>
        <v>2288.2672727272729</v>
      </c>
      <c r="I122" s="456"/>
    </row>
    <row r="123" spans="1:9" x14ac:dyDescent="0.25">
      <c r="A123" s="180"/>
      <c r="B123" s="206" t="s">
        <v>112</v>
      </c>
      <c r="C123" s="303"/>
      <c r="D123" s="182">
        <v>11116.24</v>
      </c>
      <c r="E123" s="433"/>
      <c r="F123" s="182"/>
      <c r="G123" s="182">
        <f t="shared" si="6"/>
        <v>11116.24</v>
      </c>
      <c r="H123" s="182">
        <f t="shared" si="3"/>
        <v>1010.5672727272727</v>
      </c>
      <c r="I123" s="456"/>
    </row>
    <row r="124" spans="1:9" x14ac:dyDescent="0.25">
      <c r="A124" s="180"/>
      <c r="B124" s="184" t="s">
        <v>152</v>
      </c>
      <c r="C124" s="303"/>
      <c r="D124" s="182">
        <v>8337.43</v>
      </c>
      <c r="E124" s="433"/>
      <c r="F124" s="182"/>
      <c r="G124" s="182">
        <f t="shared" si="6"/>
        <v>8337.43</v>
      </c>
      <c r="H124" s="182">
        <f t="shared" si="3"/>
        <v>757.94818181818187</v>
      </c>
      <c r="I124" s="456"/>
    </row>
    <row r="125" spans="1:9" x14ac:dyDescent="0.25">
      <c r="A125" s="180"/>
      <c r="B125" s="203" t="s">
        <v>195</v>
      </c>
      <c r="C125" s="303"/>
      <c r="D125" s="182">
        <v>1435.01</v>
      </c>
      <c r="E125" s="433">
        <v>409.28</v>
      </c>
      <c r="F125" s="182"/>
      <c r="G125" s="182">
        <f t="shared" si="6"/>
        <v>1844.29</v>
      </c>
      <c r="H125" s="182">
        <f t="shared" si="3"/>
        <v>167.66272727272727</v>
      </c>
      <c r="I125" s="456"/>
    </row>
    <row r="126" spans="1:9" x14ac:dyDescent="0.25">
      <c r="A126" s="180"/>
      <c r="B126" s="203" t="s">
        <v>151</v>
      </c>
      <c r="C126" s="303"/>
      <c r="D126" s="182">
        <v>1885.75</v>
      </c>
      <c r="E126" s="433">
        <v>606.36</v>
      </c>
      <c r="F126" s="182">
        <v>1129.8399999999999</v>
      </c>
      <c r="G126" s="182">
        <f t="shared" si="6"/>
        <v>3621.95</v>
      </c>
      <c r="H126" s="182">
        <f t="shared" si="3"/>
        <v>329.2681818181818</v>
      </c>
      <c r="I126" s="456"/>
    </row>
    <row r="127" spans="1:9" x14ac:dyDescent="0.25">
      <c r="A127" s="180"/>
      <c r="B127" s="192" t="s">
        <v>107</v>
      </c>
      <c r="C127" s="303"/>
      <c r="D127" s="182">
        <v>70014.899999999994</v>
      </c>
      <c r="E127" s="433"/>
      <c r="F127" s="182">
        <v>43676.36</v>
      </c>
      <c r="G127" s="182">
        <f t="shared" si="6"/>
        <v>113691.26</v>
      </c>
      <c r="H127" s="182">
        <f t="shared" si="3"/>
        <v>10335.56909090909</v>
      </c>
      <c r="I127" s="456"/>
    </row>
    <row r="128" spans="1:9" x14ac:dyDescent="0.25">
      <c r="A128" s="180"/>
      <c r="B128" s="203" t="s">
        <v>200</v>
      </c>
      <c r="C128" s="303"/>
      <c r="D128" s="182">
        <v>1132.33</v>
      </c>
      <c r="E128" s="433">
        <v>324.14</v>
      </c>
      <c r="F128" s="182">
        <v>54.57</v>
      </c>
      <c r="G128" s="182">
        <f t="shared" si="6"/>
        <v>1511.0399999999997</v>
      </c>
      <c r="H128" s="182">
        <f t="shared" si="3"/>
        <v>137.36727272727271</v>
      </c>
      <c r="I128" s="456"/>
    </row>
    <row r="129" spans="1:9" x14ac:dyDescent="0.25">
      <c r="A129" s="180"/>
      <c r="B129" s="192" t="s">
        <v>206</v>
      </c>
      <c r="C129" s="439"/>
      <c r="D129" s="182">
        <v>3339.53</v>
      </c>
      <c r="E129" s="433"/>
      <c r="F129" s="182">
        <v>1190.6400000000001</v>
      </c>
      <c r="G129" s="182">
        <f t="shared" si="6"/>
        <v>4530.17</v>
      </c>
      <c r="H129" s="182">
        <f t="shared" si="3"/>
        <v>411.83363636363634</v>
      </c>
      <c r="I129" s="456"/>
    </row>
    <row r="130" spans="1:9" x14ac:dyDescent="0.25">
      <c r="A130" s="180"/>
      <c r="B130" s="192" t="s">
        <v>268</v>
      </c>
      <c r="C130" s="439"/>
      <c r="D130" s="182"/>
      <c r="E130" s="433"/>
      <c r="F130" s="182"/>
      <c r="G130" s="182">
        <f t="shared" si="6"/>
        <v>0</v>
      </c>
      <c r="H130" s="182">
        <f t="shared" ref="H130:H139" si="7">G130/$H$1</f>
        <v>0</v>
      </c>
      <c r="I130" s="456"/>
    </row>
    <row r="131" spans="1:9" x14ac:dyDescent="0.25">
      <c r="A131" s="180"/>
      <c r="B131" s="192" t="s">
        <v>108</v>
      </c>
      <c r="C131" s="303"/>
      <c r="D131" s="182">
        <v>23357.05</v>
      </c>
      <c r="E131" s="433">
        <v>19254.02</v>
      </c>
      <c r="F131" s="182">
        <v>31482.34</v>
      </c>
      <c r="G131" s="182">
        <f t="shared" si="6"/>
        <v>74093.41</v>
      </c>
      <c r="H131" s="182">
        <f t="shared" si="7"/>
        <v>6735.7645454545454</v>
      </c>
      <c r="I131" s="456"/>
    </row>
    <row r="132" spans="1:9" x14ac:dyDescent="0.25">
      <c r="A132" s="180"/>
      <c r="B132" s="203" t="s">
        <v>329</v>
      </c>
      <c r="C132" s="303"/>
      <c r="D132" s="205">
        <v>1802.69</v>
      </c>
      <c r="E132" s="435"/>
      <c r="F132" s="205"/>
      <c r="G132" s="182">
        <f t="shared" si="6"/>
        <v>1802.69</v>
      </c>
      <c r="H132" s="182">
        <f t="shared" si="7"/>
        <v>163.88090909090909</v>
      </c>
      <c r="I132" s="456"/>
    </row>
    <row r="133" spans="1:9" x14ac:dyDescent="0.25">
      <c r="A133" s="180"/>
      <c r="B133" s="186"/>
      <c r="C133" s="443"/>
      <c r="D133" s="188"/>
      <c r="E133" s="436"/>
      <c r="F133" s="188"/>
      <c r="G133" s="182">
        <f t="shared" si="6"/>
        <v>0</v>
      </c>
      <c r="H133" s="182">
        <f t="shared" si="7"/>
        <v>0</v>
      </c>
      <c r="I133" s="456"/>
    </row>
    <row r="134" spans="1:9" x14ac:dyDescent="0.25">
      <c r="A134" s="180"/>
      <c r="B134" s="220" t="s">
        <v>330</v>
      </c>
      <c r="C134" s="443"/>
      <c r="D134" s="188"/>
      <c r="E134" s="436"/>
      <c r="F134" s="188"/>
      <c r="G134" s="182">
        <f t="shared" si="6"/>
        <v>0</v>
      </c>
      <c r="H134" s="182">
        <f t="shared" si="7"/>
        <v>0</v>
      </c>
      <c r="I134" s="456"/>
    </row>
    <row r="135" spans="1:9" x14ac:dyDescent="0.25">
      <c r="A135" s="180"/>
      <c r="B135" s="220" t="s">
        <v>331</v>
      </c>
      <c r="C135" s="443"/>
      <c r="D135" s="454"/>
      <c r="E135" s="455"/>
      <c r="F135" s="454"/>
      <c r="G135" s="182">
        <f t="shared" si="6"/>
        <v>0</v>
      </c>
      <c r="H135" s="182">
        <f t="shared" si="7"/>
        <v>0</v>
      </c>
      <c r="I135" s="456"/>
    </row>
    <row r="136" spans="1:9" x14ac:dyDescent="0.25">
      <c r="A136" s="180"/>
      <c r="B136" s="220" t="s">
        <v>331</v>
      </c>
      <c r="C136" s="443"/>
      <c r="D136" s="454"/>
      <c r="E136" s="455"/>
      <c r="F136" s="454"/>
      <c r="G136" s="182">
        <f t="shared" si="6"/>
        <v>0</v>
      </c>
      <c r="H136" s="182">
        <f t="shared" si="7"/>
        <v>0</v>
      </c>
      <c r="I136" s="456"/>
    </row>
    <row r="137" spans="1:9" x14ac:dyDescent="0.25">
      <c r="A137" s="180"/>
      <c r="B137" s="220" t="s">
        <v>331</v>
      </c>
      <c r="C137" s="443"/>
      <c r="D137" s="454"/>
      <c r="E137" s="455"/>
      <c r="F137" s="454"/>
      <c r="G137" s="182">
        <f t="shared" si="6"/>
        <v>0</v>
      </c>
      <c r="H137" s="182">
        <f t="shared" si="7"/>
        <v>0</v>
      </c>
      <c r="I137" s="456"/>
    </row>
    <row r="138" spans="1:9" x14ac:dyDescent="0.25">
      <c r="A138" s="180"/>
      <c r="B138" s="220" t="s">
        <v>331</v>
      </c>
      <c r="C138" s="443"/>
      <c r="D138" s="454"/>
      <c r="E138" s="455"/>
      <c r="F138" s="454"/>
      <c r="G138" s="182">
        <f t="shared" si="6"/>
        <v>0</v>
      </c>
      <c r="H138" s="182">
        <f t="shared" si="7"/>
        <v>0</v>
      </c>
      <c r="I138" s="456"/>
    </row>
    <row r="139" spans="1:9" x14ac:dyDescent="0.25">
      <c r="A139" s="180"/>
      <c r="B139" s="220"/>
      <c r="C139" s="443"/>
      <c r="D139" s="188"/>
      <c r="E139" s="436"/>
      <c r="F139" s="188"/>
      <c r="G139" s="182">
        <f t="shared" si="6"/>
        <v>0</v>
      </c>
      <c r="H139" s="182">
        <f t="shared" si="7"/>
        <v>0</v>
      </c>
      <c r="I139" s="456"/>
    </row>
    <row r="140" spans="1:9" x14ac:dyDescent="0.25">
      <c r="A140" s="180"/>
      <c r="B140" s="209"/>
      <c r="C140" s="439"/>
      <c r="D140" s="215"/>
      <c r="E140" s="437"/>
      <c r="F140" s="196"/>
      <c r="G140" s="196"/>
      <c r="H140" s="196"/>
      <c r="I140" s="456"/>
    </row>
    <row r="141" spans="1:9" ht="18.75" x14ac:dyDescent="0.25">
      <c r="A141" s="180"/>
      <c r="B141" s="484" t="s">
        <v>133</v>
      </c>
      <c r="C141" s="489"/>
      <c r="D141" s="486">
        <f>SUM(D142:D143)</f>
        <v>1892.99</v>
      </c>
      <c r="E141" s="488">
        <f>SUM(E142:E143)</f>
        <v>324.51</v>
      </c>
      <c r="F141" s="486">
        <f>SUM(F142:F143)</f>
        <v>0</v>
      </c>
      <c r="G141" s="486">
        <f>SUM(G142:G143)</f>
        <v>2217.5</v>
      </c>
      <c r="H141" s="486">
        <f>SUM(H142:H143)</f>
        <v>201.59090909090909</v>
      </c>
      <c r="I141" s="456"/>
    </row>
    <row r="142" spans="1:9" x14ac:dyDescent="0.25">
      <c r="A142" s="180"/>
      <c r="B142" s="203" t="s">
        <v>323</v>
      </c>
      <c r="C142" s="444"/>
      <c r="D142" s="182">
        <v>1892.99</v>
      </c>
      <c r="E142" s="433">
        <v>324.51</v>
      </c>
      <c r="F142" s="182"/>
      <c r="G142" s="182">
        <f t="shared" ref="G142:G152" si="8">SUM(D142:F142)</f>
        <v>2217.5</v>
      </c>
      <c r="H142" s="182">
        <f>G142/$H$1</f>
        <v>201.59090909090909</v>
      </c>
      <c r="I142" s="456"/>
    </row>
    <row r="143" spans="1:9" x14ac:dyDescent="0.25">
      <c r="A143" s="180"/>
      <c r="B143" s="220" t="s">
        <v>4</v>
      </c>
      <c r="C143" s="444"/>
      <c r="D143" s="182"/>
      <c r="E143" s="433"/>
      <c r="F143" s="182"/>
      <c r="G143" s="182">
        <f t="shared" si="8"/>
        <v>0</v>
      </c>
      <c r="H143" s="182"/>
      <c r="I143" s="456"/>
    </row>
    <row r="144" spans="1:9" x14ac:dyDescent="0.25">
      <c r="A144" s="180"/>
      <c r="B144" s="220"/>
      <c r="C144" s="444"/>
      <c r="D144" s="182"/>
      <c r="E144" s="433"/>
      <c r="F144" s="182"/>
      <c r="G144" s="182">
        <f t="shared" si="8"/>
        <v>0</v>
      </c>
      <c r="H144" s="182"/>
      <c r="I144" s="456"/>
    </row>
    <row r="145" spans="1:9" ht="18.75" x14ac:dyDescent="0.25">
      <c r="A145" s="180"/>
      <c r="B145" s="484" t="s">
        <v>282</v>
      </c>
      <c r="C145" s="489"/>
      <c r="D145" s="486">
        <f>SUM(D146:D150)</f>
        <v>23691.78</v>
      </c>
      <c r="E145" s="488">
        <f>SUM(E146:E150)</f>
        <v>0</v>
      </c>
      <c r="F145" s="486">
        <f>SUM(F146:F150)</f>
        <v>6372.35</v>
      </c>
      <c r="G145" s="486">
        <f>SUM(G146:G150)</f>
        <v>30064.13</v>
      </c>
      <c r="H145" s="486">
        <f>SUM(H146:H150)</f>
        <v>2733.102727272727</v>
      </c>
      <c r="I145" s="456"/>
    </row>
    <row r="146" spans="1:9" x14ac:dyDescent="0.25">
      <c r="A146" s="180"/>
      <c r="B146" s="203" t="s">
        <v>210</v>
      </c>
      <c r="C146" s="445"/>
      <c r="D146" s="182">
        <v>15293.78</v>
      </c>
      <c r="E146" s="433"/>
      <c r="F146" s="182">
        <v>957.45</v>
      </c>
      <c r="G146" s="182">
        <f t="shared" si="8"/>
        <v>16251.230000000001</v>
      </c>
      <c r="H146" s="182">
        <f t="shared" ref="H146:H152" si="9">G146/$H$1</f>
        <v>1477.3845454545456</v>
      </c>
      <c r="I146" s="456"/>
    </row>
    <row r="147" spans="1:9" x14ac:dyDescent="0.25">
      <c r="A147" s="180"/>
      <c r="B147" s="203" t="s">
        <v>339</v>
      </c>
      <c r="C147" s="439"/>
      <c r="D147" s="182">
        <v>748.32</v>
      </c>
      <c r="E147" s="433"/>
      <c r="F147" s="182"/>
      <c r="G147" s="182">
        <f t="shared" si="8"/>
        <v>748.32</v>
      </c>
      <c r="H147" s="182">
        <f t="shared" si="9"/>
        <v>68.029090909090911</v>
      </c>
      <c r="I147" s="456"/>
    </row>
    <row r="148" spans="1:9" x14ac:dyDescent="0.25">
      <c r="A148" s="180"/>
      <c r="B148" s="192" t="s">
        <v>340</v>
      </c>
      <c r="C148" s="303"/>
      <c r="D148" s="182">
        <v>77.89</v>
      </c>
      <c r="E148" s="433"/>
      <c r="F148" s="182"/>
      <c r="G148" s="182">
        <f t="shared" si="8"/>
        <v>77.89</v>
      </c>
      <c r="H148" s="182">
        <f t="shared" si="9"/>
        <v>7.080909090909091</v>
      </c>
      <c r="I148" s="456"/>
    </row>
    <row r="149" spans="1:9" x14ac:dyDescent="0.25">
      <c r="A149" s="180"/>
      <c r="B149" s="192" t="s">
        <v>138</v>
      </c>
      <c r="C149" s="303"/>
      <c r="D149" s="182">
        <v>4408.24</v>
      </c>
      <c r="E149" s="433"/>
      <c r="F149" s="182">
        <v>4976.42</v>
      </c>
      <c r="G149" s="182">
        <f t="shared" si="8"/>
        <v>9384.66</v>
      </c>
      <c r="H149" s="182">
        <f t="shared" si="9"/>
        <v>853.15090909090907</v>
      </c>
      <c r="I149" s="456"/>
    </row>
    <row r="150" spans="1:9" x14ac:dyDescent="0.25">
      <c r="A150" s="180"/>
      <c r="B150" s="203" t="s">
        <v>324</v>
      </c>
      <c r="C150" s="445"/>
      <c r="D150" s="182">
        <v>3163.55</v>
      </c>
      <c r="E150" s="433"/>
      <c r="F150" s="182">
        <v>438.48</v>
      </c>
      <c r="G150" s="182">
        <f t="shared" si="8"/>
        <v>3602.03</v>
      </c>
      <c r="H150" s="182">
        <f t="shared" si="9"/>
        <v>327.45727272727277</v>
      </c>
      <c r="I150" s="456"/>
    </row>
    <row r="151" spans="1:9" x14ac:dyDescent="0.25">
      <c r="A151" s="180"/>
      <c r="B151" s="186"/>
      <c r="C151" s="443"/>
      <c r="D151" s="188"/>
      <c r="E151" s="436"/>
      <c r="F151" s="188"/>
      <c r="G151" s="182">
        <f t="shared" si="8"/>
        <v>0</v>
      </c>
      <c r="H151" s="182">
        <f t="shared" si="9"/>
        <v>0</v>
      </c>
      <c r="I151" s="456"/>
    </row>
    <row r="152" spans="1:9" x14ac:dyDescent="0.25">
      <c r="A152" s="180"/>
      <c r="B152" s="186"/>
      <c r="C152" s="443"/>
      <c r="D152" s="188"/>
      <c r="E152" s="436"/>
      <c r="F152" s="188"/>
      <c r="G152" s="182">
        <f t="shared" si="8"/>
        <v>0</v>
      </c>
      <c r="H152" s="182">
        <f t="shared" si="9"/>
        <v>0</v>
      </c>
      <c r="I152" s="456"/>
    </row>
    <row r="153" spans="1:9" ht="18.75" x14ac:dyDescent="0.25">
      <c r="A153" s="180"/>
      <c r="B153" s="174" t="s">
        <v>211</v>
      </c>
      <c r="C153" s="440"/>
      <c r="D153" s="219">
        <f>SUM(D154)</f>
        <v>0</v>
      </c>
      <c r="E153" s="438">
        <f>SUM(E154)</f>
        <v>0</v>
      </c>
      <c r="F153" s="219">
        <f>SUM(F154)</f>
        <v>0</v>
      </c>
      <c r="G153" s="219">
        <f>SUM(G154)</f>
        <v>0</v>
      </c>
      <c r="H153" s="219">
        <f>SUM(H154)</f>
        <v>0</v>
      </c>
      <c r="I153" s="456"/>
    </row>
    <row r="154" spans="1:9" x14ac:dyDescent="0.25">
      <c r="A154" s="180"/>
      <c r="B154" s="186"/>
      <c r="C154" s="446"/>
      <c r="D154" s="182"/>
      <c r="E154" s="436"/>
      <c r="F154" s="188"/>
      <c r="G154" s="188"/>
      <c r="H154" s="188"/>
      <c r="I154" s="456"/>
    </row>
    <row r="155" spans="1:9" x14ac:dyDescent="0.25">
      <c r="A155" s="180"/>
      <c r="B155" s="186"/>
      <c r="C155" s="443"/>
      <c r="D155" s="188"/>
      <c r="E155" s="436"/>
      <c r="F155" s="188"/>
      <c r="G155" s="188"/>
      <c r="H155" s="188"/>
      <c r="I155" s="456"/>
    </row>
    <row r="156" spans="1:9" ht="15.75" thickBot="1" x14ac:dyDescent="0.3">
      <c r="A156" s="180"/>
      <c r="B156" s="186"/>
      <c r="C156" s="187"/>
      <c r="D156" s="188"/>
      <c r="E156" s="188"/>
      <c r="F156" s="188"/>
      <c r="G156" s="188"/>
      <c r="H156" s="188"/>
      <c r="I156" s="456"/>
    </row>
    <row r="157" spans="1:9" s="233" customFormat="1" ht="17.25" thickTop="1" thickBot="1" x14ac:dyDescent="0.3">
      <c r="A157" s="227"/>
      <c r="B157" s="228" t="s">
        <v>134</v>
      </c>
      <c r="C157" s="229"/>
      <c r="D157" s="230">
        <f>D5+D11+D33+D48+D62+D69+D76+D141+D145+D153</f>
        <v>760438.28</v>
      </c>
      <c r="E157" s="230">
        <f>E5+E11+E33+E48+E62+E69+E76+E141+E145+E153</f>
        <v>120518.12</v>
      </c>
      <c r="F157" s="230">
        <f>F5+F11+F33+F48+F62+F69+F76+F141+F145+F153</f>
        <v>359330.23000000004</v>
      </c>
      <c r="G157" s="230">
        <f>G5+G11+G33+G48+G62+G69+G76+G141+G145+G153</f>
        <v>1240286.6299999999</v>
      </c>
      <c r="H157" s="230">
        <f>H5+H11+H33+H48+H62+H69+H76+H141+H145+H153</f>
        <v>112753.32999999997</v>
      </c>
      <c r="I157" s="459"/>
    </row>
    <row r="158" spans="1:9" ht="15.75" thickTop="1" x14ac:dyDescent="0.25">
      <c r="A158" s="180"/>
      <c r="B158" s="234"/>
      <c r="C158" s="235"/>
      <c r="D158" s="236"/>
      <c r="E158" s="236"/>
      <c r="F158" s="236"/>
      <c r="G158" s="236"/>
      <c r="H158" s="236"/>
      <c r="I158" s="456"/>
    </row>
    <row r="159" spans="1:9" ht="15.75" thickBot="1" x14ac:dyDescent="0.3">
      <c r="A159" s="239"/>
      <c r="B159" s="240"/>
      <c r="C159" s="241"/>
      <c r="D159" s="242"/>
      <c r="E159" s="242"/>
      <c r="F159" s="242"/>
      <c r="G159" s="242"/>
      <c r="H159" s="242"/>
      <c r="I159" s="456"/>
    </row>
    <row r="160" spans="1:9" ht="15.75" thickTop="1" x14ac:dyDescent="0.25">
      <c r="I160" s="456"/>
    </row>
    <row r="161" spans="2:9" x14ac:dyDescent="0.25">
      <c r="D161" s="259">
        <f>D157-D5-D48</f>
        <v>741414.44000000006</v>
      </c>
      <c r="E161" s="259">
        <f>E157-E5-E48</f>
        <v>120518.12</v>
      </c>
      <c r="F161" s="259">
        <f>F157-F5-F48</f>
        <v>359330.23000000004</v>
      </c>
      <c r="G161" s="259">
        <f>G157-G5-G48</f>
        <v>1221262.7899999998</v>
      </c>
      <c r="H161" s="259">
        <f>H157-H5-H48</f>
        <v>111023.88999999997</v>
      </c>
      <c r="I161" s="456"/>
    </row>
    <row r="162" spans="2:9" x14ac:dyDescent="0.25">
      <c r="B162" s="156"/>
    </row>
    <row r="163" spans="2:9" x14ac:dyDescent="0.25">
      <c r="B163" s="156"/>
    </row>
    <row r="164" spans="2:9" x14ac:dyDescent="0.25">
      <c r="B164" s="156"/>
    </row>
    <row r="165" spans="2:9" x14ac:dyDescent="0.25">
      <c r="B165" s="156"/>
    </row>
    <row r="166" spans="2:9" x14ac:dyDescent="0.25">
      <c r="B166" s="156"/>
      <c r="D166" s="156"/>
      <c r="E166" s="156"/>
      <c r="F166" s="156"/>
      <c r="G166" s="156"/>
      <c r="H166" s="156"/>
    </row>
    <row r="167" spans="2:9" x14ac:dyDescent="0.25">
      <c r="B167" s="156"/>
      <c r="D167" s="156"/>
      <c r="E167" s="156"/>
      <c r="F167" s="156"/>
      <c r="G167" s="156"/>
      <c r="H167" s="156"/>
    </row>
    <row r="168" spans="2:9" x14ac:dyDescent="0.25">
      <c r="B168" s="156"/>
      <c r="D168" s="156"/>
      <c r="E168" s="156"/>
      <c r="F168" s="156"/>
      <c r="G168" s="156"/>
      <c r="H168" s="156"/>
    </row>
    <row r="169" spans="2:9" x14ac:dyDescent="0.25">
      <c r="B169" s="156"/>
      <c r="D169" s="156"/>
      <c r="E169" s="156"/>
      <c r="F169" s="156"/>
      <c r="G169" s="156"/>
      <c r="H169" s="156"/>
    </row>
    <row r="170" spans="2:9" x14ac:dyDescent="0.25">
      <c r="B170" s="156"/>
      <c r="D170" s="156"/>
      <c r="E170" s="156"/>
      <c r="F170" s="156"/>
      <c r="G170" s="156"/>
      <c r="H170" s="156"/>
    </row>
    <row r="171" spans="2:9" x14ac:dyDescent="0.25">
      <c r="B171" s="156"/>
      <c r="D171" s="156"/>
      <c r="E171" s="156"/>
      <c r="F171" s="156"/>
      <c r="G171" s="156"/>
      <c r="H171" s="156"/>
    </row>
    <row r="172" spans="2:9" x14ac:dyDescent="0.25">
      <c r="B172" s="156"/>
      <c r="D172" s="156"/>
      <c r="E172" s="156"/>
      <c r="F172" s="156"/>
      <c r="G172" s="156"/>
      <c r="H172" s="156"/>
    </row>
    <row r="173" spans="2:9" x14ac:dyDescent="0.25">
      <c r="B173" s="156"/>
      <c r="D173" s="156"/>
      <c r="E173" s="156"/>
      <c r="F173" s="156"/>
      <c r="G173" s="156"/>
      <c r="H173" s="156"/>
    </row>
    <row r="174" spans="2:9" x14ac:dyDescent="0.25">
      <c r="B174" s="156"/>
      <c r="D174" s="156"/>
      <c r="E174" s="156"/>
      <c r="F174" s="156"/>
      <c r="G174" s="156"/>
      <c r="H174" s="156"/>
    </row>
    <row r="175" spans="2:9" x14ac:dyDescent="0.25">
      <c r="B175" s="156"/>
      <c r="D175" s="156"/>
      <c r="E175" s="156"/>
      <c r="F175" s="156"/>
      <c r="G175" s="156"/>
      <c r="H175" s="156"/>
    </row>
    <row r="176" spans="2:9" x14ac:dyDescent="0.25">
      <c r="B176" s="156"/>
      <c r="D176" s="156"/>
      <c r="E176" s="156"/>
      <c r="F176" s="156"/>
      <c r="G176" s="156"/>
      <c r="H176" s="156"/>
    </row>
    <row r="177" spans="2:8" x14ac:dyDescent="0.25">
      <c r="B177" s="156"/>
      <c r="D177" s="156"/>
      <c r="E177" s="156"/>
      <c r="F177" s="156"/>
      <c r="G177" s="156"/>
      <c r="H177" s="156"/>
    </row>
    <row r="178" spans="2:8" x14ac:dyDescent="0.25">
      <c r="B178" s="156"/>
      <c r="D178" s="156"/>
      <c r="E178" s="156"/>
      <c r="F178" s="156"/>
      <c r="G178" s="156"/>
      <c r="H178" s="156"/>
    </row>
    <row r="179" spans="2:8" x14ac:dyDescent="0.25">
      <c r="B179" s="156"/>
      <c r="D179" s="156"/>
      <c r="E179" s="156"/>
      <c r="F179" s="156"/>
      <c r="G179" s="156"/>
      <c r="H179" s="156"/>
    </row>
    <row r="180" spans="2:8" x14ac:dyDescent="0.25">
      <c r="B180" s="156"/>
      <c r="D180" s="156"/>
      <c r="E180" s="156"/>
      <c r="F180" s="156"/>
      <c r="G180" s="156"/>
      <c r="H180" s="156"/>
    </row>
    <row r="181" spans="2:8" x14ac:dyDescent="0.25">
      <c r="B181" s="156"/>
      <c r="D181" s="156"/>
      <c r="E181" s="156"/>
      <c r="F181" s="156"/>
      <c r="G181" s="156"/>
      <c r="H181" s="156"/>
    </row>
    <row r="182" spans="2:8" x14ac:dyDescent="0.25">
      <c r="B182" s="156"/>
      <c r="D182" s="156"/>
      <c r="E182" s="156"/>
      <c r="F182" s="156"/>
      <c r="G182" s="156"/>
      <c r="H182" s="156"/>
    </row>
    <row r="183" spans="2:8" x14ac:dyDescent="0.25">
      <c r="B183" s="156"/>
      <c r="D183" s="156"/>
      <c r="E183" s="156"/>
      <c r="F183" s="156"/>
      <c r="G183" s="156"/>
      <c r="H183" s="156"/>
    </row>
    <row r="184" spans="2:8" x14ac:dyDescent="0.25">
      <c r="B184" s="156"/>
      <c r="D184" s="156"/>
      <c r="E184" s="156"/>
      <c r="F184" s="156"/>
      <c r="G184" s="156"/>
      <c r="H184" s="156"/>
    </row>
    <row r="185" spans="2:8" x14ac:dyDescent="0.25">
      <c r="B185" s="156"/>
      <c r="D185" s="156"/>
      <c r="E185" s="156"/>
      <c r="F185" s="156"/>
      <c r="G185" s="156"/>
      <c r="H185" s="156"/>
    </row>
    <row r="186" spans="2:8" x14ac:dyDescent="0.25">
      <c r="B186" s="156"/>
      <c r="D186" s="156"/>
      <c r="E186" s="156"/>
      <c r="F186" s="156"/>
      <c r="G186" s="156"/>
      <c r="H186" s="156"/>
    </row>
    <row r="187" spans="2:8" x14ac:dyDescent="0.25">
      <c r="B187" s="156"/>
      <c r="D187" s="156"/>
      <c r="E187" s="156"/>
      <c r="F187" s="156"/>
      <c r="G187" s="156"/>
      <c r="H187" s="156"/>
    </row>
    <row r="188" spans="2:8" x14ac:dyDescent="0.25">
      <c r="B188" s="156"/>
      <c r="D188" s="156"/>
      <c r="E188" s="156"/>
      <c r="F188" s="156"/>
      <c r="G188" s="156"/>
      <c r="H188" s="156"/>
    </row>
    <row r="189" spans="2:8" x14ac:dyDescent="0.25">
      <c r="B189" s="156"/>
      <c r="D189" s="156"/>
      <c r="E189" s="156"/>
      <c r="F189" s="156"/>
      <c r="G189" s="156"/>
      <c r="H189" s="156"/>
    </row>
    <row r="190" spans="2:8" x14ac:dyDescent="0.25">
      <c r="B190" s="156"/>
      <c r="D190" s="156"/>
      <c r="E190" s="156"/>
      <c r="F190" s="156"/>
      <c r="G190" s="156"/>
      <c r="H190" s="156"/>
    </row>
    <row r="191" spans="2:8" x14ac:dyDescent="0.25">
      <c r="B191" s="156"/>
      <c r="D191" s="156"/>
      <c r="E191" s="156"/>
      <c r="F191" s="156"/>
      <c r="G191" s="156"/>
      <c r="H191" s="156"/>
    </row>
    <row r="192" spans="2:8" x14ac:dyDescent="0.25">
      <c r="B192" s="156"/>
      <c r="D192" s="156"/>
      <c r="E192" s="156"/>
      <c r="F192" s="156"/>
      <c r="G192" s="156"/>
      <c r="H192" s="156"/>
    </row>
    <row r="193" spans="2:8" x14ac:dyDescent="0.25">
      <c r="B193" s="156"/>
      <c r="D193" s="156"/>
      <c r="E193" s="156"/>
      <c r="F193" s="156"/>
      <c r="G193" s="156"/>
      <c r="H193" s="156"/>
    </row>
    <row r="194" spans="2:8" x14ac:dyDescent="0.25">
      <c r="B194" s="156"/>
      <c r="D194" s="156"/>
      <c r="E194" s="156"/>
      <c r="F194" s="156"/>
      <c r="G194" s="156"/>
      <c r="H194" s="156"/>
    </row>
    <row r="195" spans="2:8" x14ac:dyDescent="0.25">
      <c r="B195" s="156"/>
      <c r="D195" s="156"/>
      <c r="E195" s="156"/>
      <c r="F195" s="156"/>
      <c r="G195" s="156"/>
      <c r="H195" s="156"/>
    </row>
    <row r="196" spans="2:8" x14ac:dyDescent="0.25">
      <c r="B196" s="156"/>
      <c r="D196" s="156"/>
      <c r="E196" s="156"/>
      <c r="F196" s="156"/>
      <c r="G196" s="156"/>
      <c r="H196" s="156"/>
    </row>
    <row r="197" spans="2:8" x14ac:dyDescent="0.25">
      <c r="B197" s="156"/>
      <c r="D197" s="156"/>
      <c r="E197" s="156"/>
      <c r="F197" s="156"/>
      <c r="G197" s="156"/>
      <c r="H197" s="156"/>
    </row>
    <row r="198" spans="2:8" x14ac:dyDescent="0.25">
      <c r="B198" s="156"/>
      <c r="D198" s="156"/>
      <c r="E198" s="156"/>
      <c r="F198" s="156"/>
      <c r="G198" s="156"/>
      <c r="H198" s="156"/>
    </row>
    <row r="199" spans="2:8" x14ac:dyDescent="0.25">
      <c r="B199" s="156"/>
      <c r="D199" s="156"/>
      <c r="E199" s="156"/>
      <c r="F199" s="156"/>
      <c r="G199" s="156"/>
      <c r="H199" s="156"/>
    </row>
    <row r="200" spans="2:8" x14ac:dyDescent="0.25">
      <c r="B200" s="156"/>
      <c r="D200" s="156"/>
      <c r="E200" s="156"/>
      <c r="F200" s="156"/>
      <c r="G200" s="156"/>
      <c r="H200" s="156"/>
    </row>
    <row r="201" spans="2:8" x14ac:dyDescent="0.25">
      <c r="B201" s="156"/>
      <c r="D201" s="156"/>
      <c r="E201" s="156"/>
      <c r="F201" s="156"/>
      <c r="G201" s="156"/>
      <c r="H201" s="156"/>
    </row>
    <row r="202" spans="2:8" x14ac:dyDescent="0.25">
      <c r="B202" s="156"/>
      <c r="D202" s="156"/>
      <c r="E202" s="156"/>
      <c r="F202" s="156"/>
      <c r="G202" s="156"/>
      <c r="H202" s="156"/>
    </row>
    <row r="203" spans="2:8" x14ac:dyDescent="0.25">
      <c r="B203" s="156"/>
      <c r="D203" s="156"/>
      <c r="E203" s="156"/>
      <c r="F203" s="156"/>
      <c r="G203" s="156"/>
      <c r="H203" s="156"/>
    </row>
    <row r="204" spans="2:8" x14ac:dyDescent="0.25">
      <c r="B204" s="156"/>
      <c r="D204" s="156"/>
      <c r="E204" s="156"/>
      <c r="F204" s="156"/>
      <c r="G204" s="156"/>
      <c r="H204" s="156"/>
    </row>
    <row r="205" spans="2:8" x14ac:dyDescent="0.25">
      <c r="B205" s="156"/>
      <c r="D205" s="156"/>
      <c r="E205" s="156"/>
      <c r="F205" s="156"/>
      <c r="G205" s="156"/>
      <c r="H205" s="156"/>
    </row>
    <row r="206" spans="2:8" x14ac:dyDescent="0.25">
      <c r="B206" s="156"/>
      <c r="D206" s="156"/>
      <c r="E206" s="156"/>
      <c r="F206" s="156"/>
      <c r="G206" s="156"/>
      <c r="H206" s="156"/>
    </row>
    <row r="207" spans="2:8" x14ac:dyDescent="0.25">
      <c r="B207" s="156"/>
      <c r="D207" s="156"/>
      <c r="E207" s="156"/>
      <c r="F207" s="156"/>
      <c r="G207" s="156"/>
      <c r="H207" s="156"/>
    </row>
    <row r="208" spans="2:8" x14ac:dyDescent="0.25">
      <c r="B208" s="156"/>
      <c r="D208" s="156"/>
      <c r="E208" s="156"/>
      <c r="F208" s="156"/>
      <c r="G208" s="156"/>
      <c r="H208" s="156"/>
    </row>
    <row r="209" spans="2:8" x14ac:dyDescent="0.25">
      <c r="B209" s="156"/>
      <c r="D209" s="156"/>
      <c r="E209" s="156"/>
      <c r="F209" s="156"/>
      <c r="G209" s="156"/>
      <c r="H209" s="156"/>
    </row>
    <row r="210" spans="2:8" x14ac:dyDescent="0.25">
      <c r="B210" s="156"/>
      <c r="D210" s="156"/>
      <c r="E210" s="156"/>
      <c r="F210" s="156"/>
      <c r="G210" s="156"/>
      <c r="H210" s="156"/>
    </row>
    <row r="211" spans="2:8" x14ac:dyDescent="0.25">
      <c r="B211" s="156"/>
      <c r="D211" s="156"/>
      <c r="E211" s="156"/>
      <c r="F211" s="156"/>
      <c r="G211" s="156"/>
      <c r="H211" s="156"/>
    </row>
    <row r="212" spans="2:8" x14ac:dyDescent="0.25">
      <c r="B212" s="156"/>
      <c r="D212" s="156"/>
      <c r="E212" s="156"/>
      <c r="F212" s="156"/>
      <c r="G212" s="156"/>
      <c r="H212" s="156"/>
    </row>
    <row r="213" spans="2:8" x14ac:dyDescent="0.25">
      <c r="B213" s="156"/>
      <c r="D213" s="156"/>
      <c r="E213" s="156"/>
      <c r="F213" s="156"/>
      <c r="G213" s="156"/>
      <c r="H213" s="156"/>
    </row>
    <row r="214" spans="2:8" x14ac:dyDescent="0.25">
      <c r="B214" s="156"/>
      <c r="D214" s="156"/>
      <c r="E214" s="156"/>
      <c r="F214" s="156"/>
      <c r="G214" s="156"/>
      <c r="H214" s="156"/>
    </row>
    <row r="215" spans="2:8" x14ac:dyDescent="0.25">
      <c r="B215" s="156"/>
      <c r="D215" s="156"/>
      <c r="E215" s="156"/>
      <c r="F215" s="156"/>
      <c r="G215" s="156"/>
      <c r="H215" s="156"/>
    </row>
    <row r="216" spans="2:8" x14ac:dyDescent="0.25">
      <c r="B216" s="156"/>
      <c r="D216" s="156"/>
      <c r="E216" s="156"/>
      <c r="F216" s="156"/>
      <c r="G216" s="156"/>
      <c r="H216" s="156"/>
    </row>
    <row r="217" spans="2:8" x14ac:dyDescent="0.25">
      <c r="B217" s="156"/>
      <c r="D217" s="156"/>
      <c r="E217" s="156"/>
      <c r="F217" s="156"/>
      <c r="G217" s="156"/>
      <c r="H217" s="156"/>
    </row>
    <row r="218" spans="2:8" x14ac:dyDescent="0.25">
      <c r="B218" s="156"/>
      <c r="D218" s="156"/>
      <c r="E218" s="156"/>
      <c r="F218" s="156"/>
      <c r="G218" s="156"/>
      <c r="H218" s="156"/>
    </row>
    <row r="219" spans="2:8" x14ac:dyDescent="0.25">
      <c r="B219" s="156"/>
      <c r="D219" s="156"/>
      <c r="E219" s="156"/>
      <c r="F219" s="156"/>
      <c r="G219" s="156"/>
      <c r="H219" s="156"/>
    </row>
    <row r="220" spans="2:8" x14ac:dyDescent="0.25">
      <c r="B220" s="156"/>
      <c r="D220" s="156"/>
      <c r="E220" s="156"/>
      <c r="F220" s="156"/>
      <c r="G220" s="156"/>
      <c r="H220" s="156"/>
    </row>
    <row r="221" spans="2:8" x14ac:dyDescent="0.25">
      <c r="B221" s="156"/>
      <c r="D221" s="156"/>
      <c r="E221" s="156"/>
      <c r="F221" s="156"/>
      <c r="G221" s="156"/>
      <c r="H221" s="156"/>
    </row>
    <row r="222" spans="2:8" x14ac:dyDescent="0.25">
      <c r="B222" s="156"/>
      <c r="D222" s="156"/>
      <c r="E222" s="156"/>
      <c r="F222" s="156"/>
      <c r="G222" s="156"/>
      <c r="H222" s="156"/>
    </row>
    <row r="223" spans="2:8" x14ac:dyDescent="0.25">
      <c r="B223" s="156"/>
      <c r="D223" s="156"/>
      <c r="E223" s="156"/>
      <c r="F223" s="156"/>
      <c r="G223" s="156"/>
      <c r="H223" s="156"/>
    </row>
    <row r="224" spans="2:8" x14ac:dyDescent="0.25">
      <c r="B224" s="156"/>
      <c r="D224" s="156"/>
      <c r="E224" s="156"/>
      <c r="F224" s="156"/>
      <c r="G224" s="156"/>
      <c r="H224" s="156"/>
    </row>
    <row r="225" spans="2:8" x14ac:dyDescent="0.25">
      <c r="B225" s="156"/>
      <c r="D225" s="156"/>
      <c r="E225" s="156"/>
      <c r="F225" s="156"/>
      <c r="G225" s="156"/>
      <c r="H225" s="156"/>
    </row>
    <row r="226" spans="2:8" x14ac:dyDescent="0.25">
      <c r="B226" s="156"/>
      <c r="D226" s="156"/>
      <c r="E226" s="156"/>
      <c r="F226" s="156"/>
      <c r="G226" s="156"/>
      <c r="H226" s="156"/>
    </row>
    <row r="227" spans="2:8" x14ac:dyDescent="0.25">
      <c r="B227" s="156"/>
      <c r="D227" s="156"/>
      <c r="E227" s="156"/>
      <c r="F227" s="156"/>
      <c r="G227" s="156"/>
      <c r="H227" s="156"/>
    </row>
    <row r="228" spans="2:8" x14ac:dyDescent="0.25">
      <c r="B228" s="156"/>
      <c r="D228" s="156"/>
      <c r="E228" s="156"/>
      <c r="F228" s="156"/>
      <c r="G228" s="156"/>
      <c r="H228" s="156"/>
    </row>
    <row r="229" spans="2:8" x14ac:dyDescent="0.25">
      <c r="B229" s="156"/>
      <c r="D229" s="156"/>
      <c r="E229" s="156"/>
      <c r="F229" s="156"/>
      <c r="G229" s="156"/>
      <c r="H229" s="156"/>
    </row>
    <row r="231" spans="2:8" x14ac:dyDescent="0.25">
      <c r="B231" s="156"/>
      <c r="D231" s="156"/>
      <c r="E231" s="156"/>
      <c r="F231" s="156"/>
      <c r="G231" s="156"/>
      <c r="H231" s="156"/>
    </row>
    <row r="232" spans="2:8" x14ac:dyDescent="0.25">
      <c r="B232" s="156"/>
      <c r="D232" s="156"/>
      <c r="E232" s="156"/>
      <c r="F232" s="156"/>
      <c r="G232" s="156"/>
      <c r="H232" s="156"/>
    </row>
    <row r="233" spans="2:8" x14ac:dyDescent="0.25">
      <c r="B233" s="156"/>
      <c r="D233" s="156"/>
      <c r="E233" s="156"/>
      <c r="F233" s="156"/>
      <c r="G233" s="156"/>
      <c r="H233" s="156"/>
    </row>
    <row r="234" spans="2:8" x14ac:dyDescent="0.25">
      <c r="B234" s="156"/>
      <c r="D234" s="156"/>
      <c r="E234" s="156"/>
      <c r="F234" s="156"/>
      <c r="G234" s="156"/>
      <c r="H234" s="156"/>
    </row>
    <row r="235" spans="2:8" x14ac:dyDescent="0.25">
      <c r="B235" s="156"/>
      <c r="D235" s="156"/>
      <c r="E235" s="156"/>
      <c r="F235" s="156"/>
      <c r="G235" s="156"/>
      <c r="H235" s="156"/>
    </row>
    <row r="236" spans="2:8" x14ac:dyDescent="0.25">
      <c r="B236" s="156"/>
      <c r="D236" s="156"/>
      <c r="E236" s="156"/>
      <c r="F236" s="156"/>
      <c r="G236" s="156"/>
      <c r="H236" s="156"/>
    </row>
    <row r="237" spans="2:8" x14ac:dyDescent="0.25">
      <c r="B237" s="156"/>
      <c r="D237" s="156"/>
      <c r="E237" s="156"/>
      <c r="F237" s="156"/>
      <c r="G237" s="156"/>
      <c r="H237" s="156"/>
    </row>
    <row r="238" spans="2:8" x14ac:dyDescent="0.25">
      <c r="B238" s="156"/>
      <c r="D238" s="156"/>
      <c r="E238" s="156"/>
      <c r="F238" s="156"/>
      <c r="G238" s="156"/>
      <c r="H238" s="156"/>
    </row>
    <row r="239" spans="2:8" x14ac:dyDescent="0.25">
      <c r="B239" s="156"/>
      <c r="D239" s="156"/>
      <c r="E239" s="156"/>
      <c r="F239" s="156"/>
      <c r="G239" s="156"/>
      <c r="H239" s="156"/>
    </row>
    <row r="240" spans="2:8" x14ac:dyDescent="0.25">
      <c r="B240" s="156"/>
      <c r="D240" s="156"/>
      <c r="E240" s="156"/>
      <c r="F240" s="156"/>
      <c r="G240" s="156"/>
      <c r="H240" s="156"/>
    </row>
    <row r="241" spans="2:8" x14ac:dyDescent="0.25">
      <c r="B241" s="156"/>
      <c r="D241" s="156"/>
      <c r="E241" s="156"/>
      <c r="F241" s="156"/>
      <c r="G241" s="156"/>
      <c r="H241" s="156"/>
    </row>
    <row r="242" spans="2:8" x14ac:dyDescent="0.25">
      <c r="B242" s="156"/>
      <c r="D242" s="156"/>
      <c r="E242" s="156"/>
      <c r="F242" s="156"/>
      <c r="G242" s="156"/>
      <c r="H242" s="156"/>
    </row>
    <row r="243" spans="2:8" x14ac:dyDescent="0.25">
      <c r="B243" s="156"/>
      <c r="D243" s="156"/>
      <c r="E243" s="156"/>
      <c r="F243" s="156"/>
      <c r="G243" s="156"/>
      <c r="H243" s="156"/>
    </row>
    <row r="247" spans="2:8" x14ac:dyDescent="0.25">
      <c r="B247" s="156"/>
      <c r="D247" s="156"/>
      <c r="E247" s="156"/>
      <c r="F247" s="156"/>
      <c r="G247" s="156"/>
      <c r="H247" s="156"/>
    </row>
    <row r="249" spans="2:8" x14ac:dyDescent="0.25">
      <c r="B249" s="156"/>
      <c r="D249" s="156"/>
      <c r="E249" s="156"/>
      <c r="F249" s="156"/>
      <c r="G249" s="156"/>
      <c r="H249" s="156"/>
    </row>
    <row r="250" spans="2:8" x14ac:dyDescent="0.25">
      <c r="B250" s="156"/>
      <c r="D250" s="156"/>
      <c r="E250" s="156"/>
      <c r="F250" s="156"/>
      <c r="G250" s="156"/>
      <c r="H250" s="156"/>
    </row>
    <row r="252" spans="2:8" x14ac:dyDescent="0.25">
      <c r="B252" s="156"/>
      <c r="D252" s="156"/>
      <c r="E252" s="156"/>
      <c r="F252" s="156"/>
      <c r="G252" s="156"/>
      <c r="H252" s="156"/>
    </row>
    <row r="253" spans="2:8" x14ac:dyDescent="0.25">
      <c r="B253" s="156"/>
      <c r="D253" s="156"/>
      <c r="E253" s="156"/>
      <c r="F253" s="156"/>
      <c r="G253" s="156"/>
      <c r="H253" s="156"/>
    </row>
  </sheetData>
  <mergeCells count="1"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"/>
  <sheetViews>
    <sheetView zoomScale="115" zoomScaleNormal="115" workbookViewId="0">
      <selection activeCell="E5" sqref="E5"/>
    </sheetView>
  </sheetViews>
  <sheetFormatPr defaultColWidth="9.140625" defaultRowHeight="15" x14ac:dyDescent="0.25"/>
  <cols>
    <col min="1" max="1" width="1.7109375" style="156" customWidth="1"/>
    <col min="2" max="2" width="32.140625" style="226" customWidth="1"/>
    <col min="3" max="4" width="15.7109375" style="278" customWidth="1"/>
    <col min="5" max="5" width="15.5703125" style="278" customWidth="1"/>
    <col min="6" max="15" width="15.7109375" style="278" customWidth="1"/>
    <col min="16" max="16" width="18.28515625" style="278" customWidth="1"/>
    <col min="17" max="17" width="16.140625" style="250" customWidth="1"/>
    <col min="18" max="27" width="17.42578125" style="250" customWidth="1"/>
    <col min="28" max="28" width="17.42578125" style="302" customWidth="1"/>
    <col min="29" max="29" width="18.5703125" style="253" customWidth="1"/>
    <col min="30" max="30" width="1.28515625" style="156" customWidth="1"/>
    <col min="31" max="31" width="9.140625" style="156"/>
    <col min="32" max="32" width="12.5703125" style="156" bestFit="1" customWidth="1"/>
    <col min="33" max="34" width="11.5703125" style="156" bestFit="1" customWidth="1"/>
    <col min="35" max="16384" width="9.140625" style="156"/>
  </cols>
  <sheetData>
    <row r="1" spans="1:38" ht="15.75" thickTop="1" x14ac:dyDescent="0.25">
      <c r="A1" s="149"/>
      <c r="B1" s="265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85"/>
      <c r="R1" s="285" t="s">
        <v>221</v>
      </c>
      <c r="S1" s="285" t="s">
        <v>34</v>
      </c>
      <c r="T1" s="285" t="s">
        <v>222</v>
      </c>
      <c r="U1" s="285" t="s">
        <v>223</v>
      </c>
      <c r="V1" s="285" t="s">
        <v>224</v>
      </c>
      <c r="W1" s="285" t="s">
        <v>225</v>
      </c>
      <c r="X1" s="285" t="s">
        <v>226</v>
      </c>
      <c r="Y1" s="285" t="s">
        <v>227</v>
      </c>
      <c r="Z1" s="285" t="s">
        <v>228</v>
      </c>
      <c r="AA1" s="285"/>
      <c r="AB1" s="286"/>
      <c r="AC1" s="287"/>
      <c r="AD1" s="155"/>
    </row>
    <row r="2" spans="1:38" s="165" customFormat="1" x14ac:dyDescent="0.25">
      <c r="A2" s="157"/>
      <c r="B2" s="266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88" t="s">
        <v>57</v>
      </c>
      <c r="R2" s="289" t="s">
        <v>46</v>
      </c>
      <c r="S2" s="289" t="s">
        <v>47</v>
      </c>
      <c r="T2" s="289" t="s">
        <v>48</v>
      </c>
      <c r="U2" s="289" t="s">
        <v>49</v>
      </c>
      <c r="V2" s="289" t="s">
        <v>50</v>
      </c>
      <c r="W2" s="289" t="s">
        <v>51</v>
      </c>
      <c r="X2" s="289" t="s">
        <v>52</v>
      </c>
      <c r="Y2" s="289" t="s">
        <v>53</v>
      </c>
      <c r="Z2" s="289" t="s">
        <v>54</v>
      </c>
      <c r="AA2" s="290" t="s">
        <v>56</v>
      </c>
      <c r="AB2" s="289" t="s">
        <v>55</v>
      </c>
      <c r="AC2" s="291" t="s">
        <v>59</v>
      </c>
      <c r="AD2" s="164"/>
    </row>
    <row r="3" spans="1:38" s="165" customFormat="1" ht="15.75" thickBot="1" x14ac:dyDescent="0.3">
      <c r="A3" s="166"/>
      <c r="B3" s="267"/>
      <c r="C3" s="275" t="s">
        <v>234</v>
      </c>
      <c r="D3" s="275" t="s">
        <v>60</v>
      </c>
      <c r="E3" s="275" t="s">
        <v>235</v>
      </c>
      <c r="F3" s="275" t="s">
        <v>236</v>
      </c>
      <c r="G3" s="275" t="s">
        <v>241</v>
      </c>
      <c r="H3" s="275" t="s">
        <v>244</v>
      </c>
      <c r="I3" s="275"/>
      <c r="J3" s="275"/>
      <c r="K3" s="275" t="s">
        <v>240</v>
      </c>
      <c r="L3" s="275" t="s">
        <v>237</v>
      </c>
      <c r="M3" s="275" t="s">
        <v>238</v>
      </c>
      <c r="N3" s="275" t="s">
        <v>239</v>
      </c>
      <c r="O3" s="275" t="s">
        <v>243</v>
      </c>
      <c r="P3" s="275" t="s">
        <v>242</v>
      </c>
      <c r="Q3" s="292" t="s">
        <v>14</v>
      </c>
      <c r="R3" s="292" t="s">
        <v>14</v>
      </c>
      <c r="S3" s="292" t="s">
        <v>14</v>
      </c>
      <c r="T3" s="292" t="s">
        <v>14</v>
      </c>
      <c r="U3" s="292" t="s">
        <v>14</v>
      </c>
      <c r="V3" s="292" t="s">
        <v>14</v>
      </c>
      <c r="W3" s="292" t="s">
        <v>14</v>
      </c>
      <c r="X3" s="292" t="s">
        <v>14</v>
      </c>
      <c r="Y3" s="292" t="s">
        <v>14</v>
      </c>
      <c r="Z3" s="292" t="s">
        <v>14</v>
      </c>
      <c r="AA3" s="292" t="s">
        <v>14</v>
      </c>
      <c r="AB3" s="292" t="s">
        <v>14</v>
      </c>
      <c r="AC3" s="292" t="s">
        <v>14</v>
      </c>
      <c r="AD3" s="170"/>
    </row>
    <row r="4" spans="1:38" s="165" customFormat="1" x14ac:dyDescent="0.25">
      <c r="A4" s="157"/>
      <c r="B4" s="268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164"/>
    </row>
    <row r="5" spans="1:38" s="179" customFormat="1" x14ac:dyDescent="0.25">
      <c r="A5" s="173"/>
      <c r="B5" s="282" t="s">
        <v>74</v>
      </c>
      <c r="C5" s="283">
        <f>12310+250</f>
        <v>12560</v>
      </c>
      <c r="D5" s="283">
        <v>1171.8300000000017</v>
      </c>
      <c r="E5" s="304">
        <v>3000</v>
      </c>
      <c r="F5" s="283">
        <f>SUM(C5:E5)</f>
        <v>16731.830000000002</v>
      </c>
      <c r="G5" s="283">
        <f>K5+L5</f>
        <v>2263.2200000000003</v>
      </c>
      <c r="H5" s="283">
        <f>F5-G5</f>
        <v>14468.61</v>
      </c>
      <c r="I5" s="283">
        <v>14613.61</v>
      </c>
      <c r="J5" s="283">
        <f>I5-H5</f>
        <v>145</v>
      </c>
      <c r="K5" s="283">
        <v>2138.44</v>
      </c>
      <c r="L5" s="283">
        <f>249.56/2</f>
        <v>124.78</v>
      </c>
      <c r="M5" s="283">
        <v>124.78</v>
      </c>
      <c r="N5" s="283">
        <f>F5*1%</f>
        <v>167.31830000000002</v>
      </c>
      <c r="O5" s="283">
        <f>M5+N5</f>
        <v>292.09829999999999</v>
      </c>
      <c r="P5" s="283">
        <f>F5+O5</f>
        <v>17023.928300000003</v>
      </c>
      <c r="Q5" s="293">
        <f t="shared" ref="Q5:AC5" si="0">SUM(Q6:Q12)</f>
        <v>0</v>
      </c>
      <c r="R5" s="293">
        <f t="shared" si="0"/>
        <v>0</v>
      </c>
      <c r="S5" s="293">
        <f t="shared" si="0"/>
        <v>0</v>
      </c>
      <c r="T5" s="293">
        <f t="shared" si="0"/>
        <v>0</v>
      </c>
      <c r="U5" s="293">
        <f t="shared" si="0"/>
        <v>0</v>
      </c>
      <c r="V5" s="293">
        <f t="shared" si="0"/>
        <v>0</v>
      </c>
      <c r="W5" s="293">
        <f t="shared" si="0"/>
        <v>0</v>
      </c>
      <c r="X5" s="293">
        <f t="shared" si="0"/>
        <v>0</v>
      </c>
      <c r="Y5" s="293">
        <f t="shared" si="0"/>
        <v>0</v>
      </c>
      <c r="Z5" s="293">
        <f t="shared" si="0"/>
        <v>0</v>
      </c>
      <c r="AA5" s="293">
        <f t="shared" si="0"/>
        <v>0</v>
      </c>
      <c r="AB5" s="293">
        <f t="shared" si="0"/>
        <v>0</v>
      </c>
      <c r="AC5" s="293">
        <f t="shared" si="0"/>
        <v>0</v>
      </c>
      <c r="AD5" s="177"/>
      <c r="AE5" s="178"/>
      <c r="AF5" s="178">
        <v>1409.24</v>
      </c>
      <c r="AG5" s="178">
        <v>131.25</v>
      </c>
      <c r="AH5" s="178">
        <v>249.56</v>
      </c>
      <c r="AI5" s="178"/>
      <c r="AJ5" s="178"/>
      <c r="AK5" s="178"/>
      <c r="AL5" s="178"/>
    </row>
    <row r="6" spans="1:38" x14ac:dyDescent="0.25">
      <c r="A6" s="180"/>
      <c r="B6" s="282" t="s">
        <v>87</v>
      </c>
      <c r="C6" s="283">
        <f>41367+500</f>
        <v>41867</v>
      </c>
      <c r="D6" s="283">
        <v>10.519999999996799</v>
      </c>
      <c r="E6" s="307">
        <v>10000</v>
      </c>
      <c r="F6" s="283">
        <f t="shared" ref="F6:F69" si="1">SUM(C6:E6)</f>
        <v>51877.52</v>
      </c>
      <c r="G6" s="283">
        <f t="shared" ref="G6:G69" si="2">K6+L6</f>
        <v>14258.25</v>
      </c>
      <c r="H6" s="283">
        <f t="shared" ref="H6:H69" si="3">F6-G6</f>
        <v>37619.269999999997</v>
      </c>
      <c r="I6" s="283">
        <v>37619.269999999997</v>
      </c>
      <c r="J6" s="283">
        <f t="shared" ref="J6:J69" si="4">I6-H6</f>
        <v>0</v>
      </c>
      <c r="K6" s="283">
        <v>14133.47</v>
      </c>
      <c r="L6" s="283">
        <f>249.56/2</f>
        <v>124.78</v>
      </c>
      <c r="M6" s="283">
        <v>124.78</v>
      </c>
      <c r="N6" s="283">
        <f t="shared" ref="N6:N69" si="5">F6*1%</f>
        <v>518.77519999999993</v>
      </c>
      <c r="O6" s="283">
        <f t="shared" ref="O6:O69" si="6">M6+N6</f>
        <v>643.5551999999999</v>
      </c>
      <c r="P6" s="283">
        <f t="shared" ref="P6:P69" si="7">F6+O6</f>
        <v>52521.075199999999</v>
      </c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>
        <f>SUM(Q6:AB6)</f>
        <v>0</v>
      </c>
      <c r="AD6" s="183"/>
    </row>
    <row r="7" spans="1:38" x14ac:dyDescent="0.25">
      <c r="A7" s="180"/>
      <c r="B7" s="282" t="s">
        <v>245</v>
      </c>
      <c r="C7" s="283">
        <f>7327+250+2100</f>
        <v>9677</v>
      </c>
      <c r="D7" s="283">
        <v>1000.4599999999991</v>
      </c>
      <c r="E7" s="307">
        <v>1169</v>
      </c>
      <c r="F7" s="283">
        <f t="shared" si="1"/>
        <v>11846.46</v>
      </c>
      <c r="G7" s="283">
        <f t="shared" si="2"/>
        <v>1297.4946</v>
      </c>
      <c r="H7" s="283">
        <f t="shared" si="3"/>
        <v>10548.965399999999</v>
      </c>
      <c r="I7" s="283">
        <v>10548.97</v>
      </c>
      <c r="J7" s="283">
        <f t="shared" si="4"/>
        <v>4.6000000002095476E-3</v>
      </c>
      <c r="K7" s="283">
        <v>1179.03</v>
      </c>
      <c r="L7" s="283">
        <f>F7*1%</f>
        <v>118.46459999999999</v>
      </c>
      <c r="M7" s="283">
        <f>F7*1%</f>
        <v>118.46459999999999</v>
      </c>
      <c r="N7" s="283">
        <f t="shared" si="5"/>
        <v>118.46459999999999</v>
      </c>
      <c r="O7" s="283">
        <f t="shared" si="6"/>
        <v>236.92919999999998</v>
      </c>
      <c r="P7" s="283">
        <f t="shared" si="7"/>
        <v>12083.3892</v>
      </c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>
        <f>SUM(Q7:AB7)</f>
        <v>0</v>
      </c>
      <c r="AD7" s="183"/>
    </row>
    <row r="8" spans="1:38" x14ac:dyDescent="0.25">
      <c r="A8" s="180"/>
      <c r="B8" s="282" t="s">
        <v>114</v>
      </c>
      <c r="C8" s="283">
        <f>19050+250+2100</f>
        <v>21400</v>
      </c>
      <c r="D8" s="283">
        <v>2577.9399999999987</v>
      </c>
      <c r="E8" s="307">
        <v>5450</v>
      </c>
      <c r="F8" s="283">
        <f t="shared" si="1"/>
        <v>29427.94</v>
      </c>
      <c r="G8" s="283">
        <f t="shared" si="2"/>
        <v>6024.83</v>
      </c>
      <c r="H8" s="283">
        <f t="shared" si="3"/>
        <v>23403.11</v>
      </c>
      <c r="I8" s="283">
        <v>23913.11</v>
      </c>
      <c r="J8" s="283">
        <f t="shared" si="4"/>
        <v>510</v>
      </c>
      <c r="K8" s="283">
        <v>5900.05</v>
      </c>
      <c r="L8" s="283">
        <f>249.56/2</f>
        <v>124.78</v>
      </c>
      <c r="M8" s="283">
        <v>124.78</v>
      </c>
      <c r="N8" s="283">
        <f t="shared" si="5"/>
        <v>294.27940000000001</v>
      </c>
      <c r="O8" s="283">
        <f t="shared" si="6"/>
        <v>419.05939999999998</v>
      </c>
      <c r="P8" s="283">
        <f t="shared" si="7"/>
        <v>29846.999399999997</v>
      </c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3"/>
    </row>
    <row r="9" spans="1:38" x14ac:dyDescent="0.25">
      <c r="A9" s="180"/>
      <c r="B9" s="282" t="s">
        <v>246</v>
      </c>
      <c r="C9" s="283">
        <f>14896+500+2100</f>
        <v>17496</v>
      </c>
      <c r="D9" s="283">
        <v>257.81999999999971</v>
      </c>
      <c r="E9" s="306">
        <v>1771</v>
      </c>
      <c r="F9" s="283">
        <f t="shared" si="1"/>
        <v>19524.82</v>
      </c>
      <c r="G9" s="283">
        <f t="shared" si="2"/>
        <v>3119.32</v>
      </c>
      <c r="H9" s="283">
        <f t="shared" si="3"/>
        <v>16405.5</v>
      </c>
      <c r="I9" s="283">
        <v>16405.5</v>
      </c>
      <c r="J9" s="283">
        <f t="shared" si="4"/>
        <v>0</v>
      </c>
      <c r="K9" s="283">
        <v>2994.54</v>
      </c>
      <c r="L9" s="283">
        <f>249.56/2</f>
        <v>124.78</v>
      </c>
      <c r="M9" s="283">
        <v>124.78</v>
      </c>
      <c r="N9" s="283">
        <f t="shared" si="5"/>
        <v>195.2482</v>
      </c>
      <c r="O9" s="283">
        <f t="shared" si="6"/>
        <v>320.02819999999997</v>
      </c>
      <c r="P9" s="283">
        <f t="shared" si="7"/>
        <v>19844.8482</v>
      </c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>
        <f>SUM(Q9:AB9)</f>
        <v>0</v>
      </c>
      <c r="AD9" s="183"/>
      <c r="AF9" s="156">
        <v>1906.4</v>
      </c>
      <c r="AG9" s="156">
        <v>151.72</v>
      </c>
      <c r="AH9" s="156">
        <v>249.56</v>
      </c>
    </row>
    <row r="10" spans="1:38" x14ac:dyDescent="0.25">
      <c r="A10" s="180"/>
      <c r="B10" s="282" t="s">
        <v>102</v>
      </c>
      <c r="C10" s="283">
        <f>9687+250+2100</f>
        <v>12037</v>
      </c>
      <c r="D10" s="283">
        <v>1200.5400000000009</v>
      </c>
      <c r="E10" s="307">
        <v>2492</v>
      </c>
      <c r="F10" s="283">
        <f t="shared" si="1"/>
        <v>15729.54</v>
      </c>
      <c r="G10" s="283">
        <f t="shared" si="2"/>
        <v>2002.76</v>
      </c>
      <c r="H10" s="283">
        <f t="shared" si="3"/>
        <v>13726.78</v>
      </c>
      <c r="I10" s="283">
        <v>13726.78</v>
      </c>
      <c r="J10" s="283">
        <f t="shared" si="4"/>
        <v>0</v>
      </c>
      <c r="K10" s="283">
        <v>1877.98</v>
      </c>
      <c r="L10" s="283">
        <v>124.78</v>
      </c>
      <c r="M10" s="283">
        <v>124.78</v>
      </c>
      <c r="N10" s="283">
        <f t="shared" si="5"/>
        <v>157.2954</v>
      </c>
      <c r="O10" s="283">
        <f t="shared" si="6"/>
        <v>282.0754</v>
      </c>
      <c r="P10" s="283">
        <f t="shared" si="7"/>
        <v>16011.615400000001</v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9"/>
      <c r="AE10" s="190"/>
      <c r="AF10" s="190"/>
      <c r="AG10" s="190"/>
      <c r="AH10" s="190"/>
      <c r="AI10" s="190"/>
      <c r="AJ10" s="190"/>
      <c r="AK10" s="190"/>
      <c r="AL10" s="190"/>
    </row>
    <row r="11" spans="1:38" x14ac:dyDescent="0.25">
      <c r="A11" s="180"/>
      <c r="B11" s="282" t="s">
        <v>197</v>
      </c>
      <c r="C11" s="283">
        <f>9880+250+2100</f>
        <v>12230</v>
      </c>
      <c r="D11" s="283">
        <v>0</v>
      </c>
      <c r="E11" s="307">
        <v>2091</v>
      </c>
      <c r="F11" s="283">
        <f t="shared" si="1"/>
        <v>14321</v>
      </c>
      <c r="G11" s="283">
        <f t="shared" si="2"/>
        <v>1749.23</v>
      </c>
      <c r="H11" s="283">
        <f t="shared" si="3"/>
        <v>12571.77</v>
      </c>
      <c r="I11" s="283">
        <v>12571.77</v>
      </c>
      <c r="J11" s="283">
        <f t="shared" si="4"/>
        <v>0</v>
      </c>
      <c r="K11" s="283">
        <v>1624.45</v>
      </c>
      <c r="L11" s="283">
        <v>124.78</v>
      </c>
      <c r="M11" s="283">
        <v>124.78</v>
      </c>
      <c r="N11" s="283">
        <f t="shared" si="5"/>
        <v>143.21</v>
      </c>
      <c r="O11" s="283">
        <f t="shared" si="6"/>
        <v>267.99</v>
      </c>
      <c r="P11" s="283">
        <f t="shared" si="7"/>
        <v>14588.99</v>
      </c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3"/>
    </row>
    <row r="12" spans="1:38" x14ac:dyDescent="0.25">
      <c r="A12" s="180"/>
      <c r="B12" s="282" t="s">
        <v>105</v>
      </c>
      <c r="C12" s="283">
        <f>3431.95+115.37+969.22</f>
        <v>4516.54</v>
      </c>
      <c r="D12" s="283">
        <v>-32.180000000000291</v>
      </c>
      <c r="E12" s="307">
        <v>1714</v>
      </c>
      <c r="F12" s="283">
        <f t="shared" si="1"/>
        <v>6198.36</v>
      </c>
      <c r="G12" s="283">
        <f t="shared" si="2"/>
        <v>224.36359999999999</v>
      </c>
      <c r="H12" s="283">
        <f t="shared" si="3"/>
        <v>5973.9964</v>
      </c>
      <c r="I12" s="283">
        <v>5974</v>
      </c>
      <c r="J12" s="283">
        <f t="shared" si="4"/>
        <v>3.6000000000058208E-3</v>
      </c>
      <c r="K12" s="283">
        <v>162.38</v>
      </c>
      <c r="L12" s="283">
        <f>F12*1%</f>
        <v>61.983599999999996</v>
      </c>
      <c r="M12" s="283">
        <f>F12*1%</f>
        <v>61.983599999999996</v>
      </c>
      <c r="N12" s="283">
        <f t="shared" si="5"/>
        <v>61.983599999999996</v>
      </c>
      <c r="O12" s="283">
        <f t="shared" si="6"/>
        <v>123.96719999999999</v>
      </c>
      <c r="P12" s="283">
        <f t="shared" si="7"/>
        <v>6322.3271999999997</v>
      </c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3"/>
    </row>
    <row r="13" spans="1:38" s="179" customFormat="1" x14ac:dyDescent="0.25">
      <c r="A13" s="173"/>
      <c r="B13" s="282" t="s">
        <v>71</v>
      </c>
      <c r="C13" s="283">
        <v>34909</v>
      </c>
      <c r="D13" s="283">
        <v>1000</v>
      </c>
      <c r="E13" s="304">
        <v>16313</v>
      </c>
      <c r="F13" s="283">
        <f t="shared" si="1"/>
        <v>52222</v>
      </c>
      <c r="G13" s="283">
        <f t="shared" si="2"/>
        <v>14032.480000000001</v>
      </c>
      <c r="H13" s="283">
        <f t="shared" si="3"/>
        <v>38189.519999999997</v>
      </c>
      <c r="I13" s="283">
        <v>38189.519999999997</v>
      </c>
      <c r="J13" s="283">
        <f t="shared" si="4"/>
        <v>0</v>
      </c>
      <c r="K13" s="283">
        <v>13907.7</v>
      </c>
      <c r="L13" s="283">
        <f>249.56/2</f>
        <v>124.78</v>
      </c>
      <c r="M13" s="283">
        <v>124.78</v>
      </c>
      <c r="N13" s="283">
        <f t="shared" si="5"/>
        <v>522.22</v>
      </c>
      <c r="O13" s="283">
        <f t="shared" si="6"/>
        <v>647</v>
      </c>
      <c r="P13" s="283">
        <f t="shared" si="7"/>
        <v>52869</v>
      </c>
      <c r="Q13" s="293">
        <f>SUM(Q14:Q30)</f>
        <v>0</v>
      </c>
      <c r="R13" s="293">
        <f t="shared" ref="R13:AB13" si="8">SUM(R14:R30)</f>
        <v>0</v>
      </c>
      <c r="S13" s="293">
        <f t="shared" si="8"/>
        <v>0</v>
      </c>
      <c r="T13" s="293">
        <f t="shared" si="8"/>
        <v>0</v>
      </c>
      <c r="U13" s="293">
        <f t="shared" si="8"/>
        <v>0</v>
      </c>
      <c r="V13" s="293">
        <f t="shared" si="8"/>
        <v>0</v>
      </c>
      <c r="W13" s="293">
        <f t="shared" si="8"/>
        <v>0</v>
      </c>
      <c r="X13" s="293">
        <f t="shared" si="8"/>
        <v>0</v>
      </c>
      <c r="Y13" s="293">
        <f t="shared" si="8"/>
        <v>0</v>
      </c>
      <c r="Z13" s="293">
        <f t="shared" si="8"/>
        <v>0</v>
      </c>
      <c r="AA13" s="293">
        <f t="shared" si="8"/>
        <v>0</v>
      </c>
      <c r="AB13" s="293">
        <f t="shared" si="8"/>
        <v>0</v>
      </c>
      <c r="AC13" s="293">
        <f>SUM(AC14:AC30)</f>
        <v>0</v>
      </c>
      <c r="AD13" s="177"/>
      <c r="AE13" s="178"/>
      <c r="AF13" s="178">
        <v>11318.88</v>
      </c>
      <c r="AG13" s="178">
        <v>448.25</v>
      </c>
      <c r="AH13" s="178">
        <v>249.56</v>
      </c>
      <c r="AI13" s="178"/>
      <c r="AJ13" s="178"/>
      <c r="AK13" s="178"/>
      <c r="AL13" s="178"/>
    </row>
    <row r="14" spans="1:38" x14ac:dyDescent="0.25">
      <c r="A14" s="180"/>
      <c r="B14" s="282" t="s">
        <v>198</v>
      </c>
      <c r="C14" s="283">
        <f>18645+500+2100</f>
        <v>21245</v>
      </c>
      <c r="D14" s="283">
        <v>3733.75</v>
      </c>
      <c r="E14" s="307">
        <v>875</v>
      </c>
      <c r="F14" s="283">
        <f t="shared" si="1"/>
        <v>25853.75</v>
      </c>
      <c r="G14" s="283">
        <f t="shared" si="2"/>
        <v>4952.58</v>
      </c>
      <c r="H14" s="283">
        <f t="shared" si="3"/>
        <v>20901.169999999998</v>
      </c>
      <c r="I14" s="283">
        <v>20901.169999999998</v>
      </c>
      <c r="J14" s="283">
        <f t="shared" si="4"/>
        <v>0</v>
      </c>
      <c r="K14" s="283">
        <v>4827.8</v>
      </c>
      <c r="L14" s="283">
        <f>249.56/2</f>
        <v>124.78</v>
      </c>
      <c r="M14" s="283">
        <v>124.78</v>
      </c>
      <c r="N14" s="283">
        <f t="shared" si="5"/>
        <v>258.53750000000002</v>
      </c>
      <c r="O14" s="283">
        <f t="shared" si="6"/>
        <v>383.3175</v>
      </c>
      <c r="P14" s="283">
        <f t="shared" si="7"/>
        <v>26237.067500000001</v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>
        <f t="shared" ref="AC14:AC26" si="9">SUM(Q14:AB14)</f>
        <v>0</v>
      </c>
      <c r="AD14" s="183"/>
    </row>
    <row r="15" spans="1:38" x14ac:dyDescent="0.25">
      <c r="A15" s="180"/>
      <c r="B15" s="282" t="s">
        <v>68</v>
      </c>
      <c r="C15" s="283">
        <f>54021+7325+500</f>
        <v>61846</v>
      </c>
      <c r="D15" s="283">
        <v>11904.789999999994</v>
      </c>
      <c r="E15" s="304">
        <v>25288</v>
      </c>
      <c r="F15" s="283">
        <f t="shared" si="1"/>
        <v>99038.79</v>
      </c>
      <c r="G15" s="283">
        <f t="shared" si="2"/>
        <v>33131.979999999996</v>
      </c>
      <c r="H15" s="283">
        <f t="shared" si="3"/>
        <v>65906.81</v>
      </c>
      <c r="I15" s="283">
        <v>67371.81</v>
      </c>
      <c r="J15" s="283">
        <f t="shared" si="4"/>
        <v>1465</v>
      </c>
      <c r="K15" s="283">
        <v>33007.199999999997</v>
      </c>
      <c r="L15" s="283">
        <f>249.56/2</f>
        <v>124.78</v>
      </c>
      <c r="M15" s="283">
        <v>124.78</v>
      </c>
      <c r="N15" s="283">
        <f t="shared" si="5"/>
        <v>990.38789999999995</v>
      </c>
      <c r="O15" s="283">
        <f t="shared" si="6"/>
        <v>1115.1678999999999</v>
      </c>
      <c r="P15" s="283">
        <f t="shared" si="7"/>
        <v>100153.95789999999</v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>
        <f t="shared" si="9"/>
        <v>0</v>
      </c>
      <c r="AD15" s="183"/>
      <c r="AF15" s="156">
        <v>25283.48</v>
      </c>
      <c r="AG15" s="156">
        <v>797.3</v>
      </c>
      <c r="AH15" s="156">
        <v>249.56</v>
      </c>
    </row>
    <row r="16" spans="1:38" s="179" customFormat="1" x14ac:dyDescent="0.25">
      <c r="A16" s="173"/>
      <c r="B16" s="282" t="s">
        <v>247</v>
      </c>
      <c r="C16" s="283">
        <f>10966+250+2100</f>
        <v>13316</v>
      </c>
      <c r="D16" s="283">
        <v>3471.3899999999994</v>
      </c>
      <c r="E16" s="307">
        <v>3407</v>
      </c>
      <c r="F16" s="283">
        <f t="shared" si="1"/>
        <v>20194.39</v>
      </c>
      <c r="G16" s="283">
        <f t="shared" si="2"/>
        <v>3286.7200000000003</v>
      </c>
      <c r="H16" s="283">
        <f t="shared" si="3"/>
        <v>16907.669999999998</v>
      </c>
      <c r="I16" s="283">
        <v>16907.669999999998</v>
      </c>
      <c r="J16" s="283">
        <f t="shared" si="4"/>
        <v>0</v>
      </c>
      <c r="K16" s="283">
        <v>3161.94</v>
      </c>
      <c r="L16" s="283">
        <f>249.56/2</f>
        <v>124.78</v>
      </c>
      <c r="M16" s="283">
        <v>124.78</v>
      </c>
      <c r="N16" s="283">
        <f t="shared" si="5"/>
        <v>201.94389999999999</v>
      </c>
      <c r="O16" s="283">
        <f t="shared" si="6"/>
        <v>326.72389999999996</v>
      </c>
      <c r="P16" s="283">
        <f t="shared" si="7"/>
        <v>20521.1139</v>
      </c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>
        <f t="shared" si="9"/>
        <v>0</v>
      </c>
      <c r="AD16" s="191"/>
    </row>
    <row r="17" spans="1:38" s="179" customFormat="1" x14ac:dyDescent="0.25">
      <c r="A17" s="173"/>
      <c r="B17" s="282" t="s">
        <v>248</v>
      </c>
      <c r="C17" s="283">
        <f>15755+250+2100</f>
        <v>18105</v>
      </c>
      <c r="D17" s="283">
        <v>295.38999999999942</v>
      </c>
      <c r="E17" s="307">
        <v>375</v>
      </c>
      <c r="F17" s="283">
        <f t="shared" si="1"/>
        <v>18775.39</v>
      </c>
      <c r="G17" s="283">
        <f t="shared" si="2"/>
        <v>2931.96</v>
      </c>
      <c r="H17" s="283">
        <f t="shared" si="3"/>
        <v>15843.43</v>
      </c>
      <c r="I17" s="283">
        <v>15843.43</v>
      </c>
      <c r="J17" s="283">
        <f t="shared" si="4"/>
        <v>0</v>
      </c>
      <c r="K17" s="283">
        <v>2807.18</v>
      </c>
      <c r="L17" s="283">
        <f>249.56/2</f>
        <v>124.78</v>
      </c>
      <c r="M17" s="283">
        <v>124.78</v>
      </c>
      <c r="N17" s="283">
        <f t="shared" si="5"/>
        <v>187.75389999999999</v>
      </c>
      <c r="O17" s="283">
        <f t="shared" si="6"/>
        <v>312.53390000000002</v>
      </c>
      <c r="P17" s="283">
        <f t="shared" si="7"/>
        <v>19087.923899999998</v>
      </c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>
        <f t="shared" si="9"/>
        <v>0</v>
      </c>
      <c r="AD17" s="191"/>
    </row>
    <row r="18" spans="1:38" x14ac:dyDescent="0.25">
      <c r="A18" s="180"/>
      <c r="B18" s="282" t="s">
        <v>96</v>
      </c>
      <c r="C18" s="283">
        <f>8058+250+2100</f>
        <v>10408</v>
      </c>
      <c r="D18" s="283">
        <v>7.7999999999992724</v>
      </c>
      <c r="E18" s="307">
        <v>1954</v>
      </c>
      <c r="F18" s="283">
        <f t="shared" si="1"/>
        <v>12369.8</v>
      </c>
      <c r="G18" s="283">
        <f t="shared" si="2"/>
        <v>1396.9280000000001</v>
      </c>
      <c r="H18" s="283">
        <f t="shared" si="3"/>
        <v>10972.871999999999</v>
      </c>
      <c r="I18" s="283">
        <v>10972.87</v>
      </c>
      <c r="J18" s="283">
        <f t="shared" si="4"/>
        <v>-1.9999999985884642E-3</v>
      </c>
      <c r="K18" s="283">
        <v>1273.23</v>
      </c>
      <c r="L18" s="283">
        <f>F18*1%</f>
        <v>123.69799999999999</v>
      </c>
      <c r="M18" s="283">
        <f>F18*1%</f>
        <v>123.69799999999999</v>
      </c>
      <c r="N18" s="283">
        <f t="shared" si="5"/>
        <v>123.69799999999999</v>
      </c>
      <c r="O18" s="283">
        <f t="shared" si="6"/>
        <v>247.39599999999999</v>
      </c>
      <c r="P18" s="283">
        <f t="shared" si="7"/>
        <v>12617.196</v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>
        <f t="shared" si="9"/>
        <v>0</v>
      </c>
      <c r="AD18" s="183"/>
    </row>
    <row r="19" spans="1:38" x14ac:dyDescent="0.25">
      <c r="A19" s="180"/>
      <c r="B19" s="282" t="s">
        <v>40</v>
      </c>
      <c r="C19" s="283">
        <f>14195+250</f>
        <v>14445</v>
      </c>
      <c r="D19" s="283">
        <v>0</v>
      </c>
      <c r="E19" s="305">
        <v>5906</v>
      </c>
      <c r="F19" s="283">
        <f t="shared" si="1"/>
        <v>20351</v>
      </c>
      <c r="G19" s="283">
        <f t="shared" si="2"/>
        <v>3325.86</v>
      </c>
      <c r="H19" s="283">
        <f t="shared" si="3"/>
        <v>17025.14</v>
      </c>
      <c r="I19" s="283">
        <v>17025.14</v>
      </c>
      <c r="J19" s="283">
        <f t="shared" si="4"/>
        <v>0</v>
      </c>
      <c r="K19" s="283">
        <v>3201.08</v>
      </c>
      <c r="L19" s="283">
        <f t="shared" ref="L19:L25" si="10">249.56/2</f>
        <v>124.78</v>
      </c>
      <c r="M19" s="283">
        <v>124.78</v>
      </c>
      <c r="N19" s="283">
        <f t="shared" si="5"/>
        <v>203.51</v>
      </c>
      <c r="O19" s="283">
        <f t="shared" si="6"/>
        <v>328.28999999999996</v>
      </c>
      <c r="P19" s="283">
        <f t="shared" si="7"/>
        <v>20679.29</v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>
        <f t="shared" si="9"/>
        <v>0</v>
      </c>
      <c r="AD19" s="183"/>
      <c r="AF19" s="156">
        <v>2185.0300000000002</v>
      </c>
      <c r="AG19" s="156">
        <v>162.87</v>
      </c>
      <c r="AH19" s="156">
        <v>249.56</v>
      </c>
    </row>
    <row r="20" spans="1:38" x14ac:dyDescent="0.25">
      <c r="A20" s="180"/>
      <c r="B20" s="282" t="s">
        <v>217</v>
      </c>
      <c r="C20" s="283">
        <f>17517+500+2100</f>
        <v>20117</v>
      </c>
      <c r="D20" s="283">
        <v>2775.1100000000006</v>
      </c>
      <c r="E20" s="307">
        <v>417</v>
      </c>
      <c r="F20" s="283">
        <f t="shared" si="1"/>
        <v>23309.11</v>
      </c>
      <c r="G20" s="283">
        <f t="shared" si="2"/>
        <v>4171.8500000000004</v>
      </c>
      <c r="H20" s="283">
        <f t="shared" si="3"/>
        <v>19137.260000000002</v>
      </c>
      <c r="I20" s="283">
        <v>19137.259999999998</v>
      </c>
      <c r="J20" s="283">
        <f t="shared" si="4"/>
        <v>0</v>
      </c>
      <c r="K20" s="283">
        <v>4047.07</v>
      </c>
      <c r="L20" s="283">
        <f t="shared" si="10"/>
        <v>124.78</v>
      </c>
      <c r="M20" s="283">
        <v>124.78</v>
      </c>
      <c r="N20" s="283">
        <f t="shared" si="5"/>
        <v>233.09110000000001</v>
      </c>
      <c r="O20" s="283">
        <f t="shared" si="6"/>
        <v>357.87110000000001</v>
      </c>
      <c r="P20" s="283">
        <f t="shared" si="7"/>
        <v>23666.981100000001</v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>
        <f t="shared" si="9"/>
        <v>0</v>
      </c>
      <c r="AD20" s="183"/>
    </row>
    <row r="21" spans="1:38" x14ac:dyDescent="0.25">
      <c r="A21" s="180"/>
      <c r="B21" s="282" t="s">
        <v>38</v>
      </c>
      <c r="C21" s="283">
        <f>17706+1000+2100</f>
        <v>20806</v>
      </c>
      <c r="D21" s="283">
        <v>1000</v>
      </c>
      <c r="E21" s="307">
        <v>7802</v>
      </c>
      <c r="F21" s="283">
        <f t="shared" si="1"/>
        <v>29608</v>
      </c>
      <c r="G21" s="283">
        <f t="shared" si="2"/>
        <v>6050.49</v>
      </c>
      <c r="H21" s="283">
        <f t="shared" si="3"/>
        <v>23557.510000000002</v>
      </c>
      <c r="I21" s="283">
        <v>23557.51</v>
      </c>
      <c r="J21" s="283">
        <f t="shared" si="4"/>
        <v>0</v>
      </c>
      <c r="K21" s="283">
        <v>5925.71</v>
      </c>
      <c r="L21" s="283">
        <f t="shared" si="10"/>
        <v>124.78</v>
      </c>
      <c r="M21" s="283">
        <v>124.78</v>
      </c>
      <c r="N21" s="283">
        <f t="shared" si="5"/>
        <v>296.08</v>
      </c>
      <c r="O21" s="283">
        <f t="shared" si="6"/>
        <v>420.86</v>
      </c>
      <c r="P21" s="283">
        <f t="shared" si="7"/>
        <v>30028.86</v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>
        <f t="shared" si="9"/>
        <v>0</v>
      </c>
      <c r="AD21" s="183"/>
    </row>
    <row r="22" spans="1:38" x14ac:dyDescent="0.25">
      <c r="A22" s="180"/>
      <c r="B22" s="282" t="s">
        <v>99</v>
      </c>
      <c r="C22" s="283">
        <f>13100+500+2100</f>
        <v>15700</v>
      </c>
      <c r="D22" s="283">
        <v>23.669999999998254</v>
      </c>
      <c r="E22" s="307">
        <v>2975</v>
      </c>
      <c r="F22" s="283">
        <f t="shared" si="1"/>
        <v>18698.669999999998</v>
      </c>
      <c r="G22" s="283">
        <f t="shared" si="2"/>
        <v>2862.86</v>
      </c>
      <c r="H22" s="283">
        <f t="shared" si="3"/>
        <v>15835.809999999998</v>
      </c>
      <c r="I22" s="283">
        <v>15835.81</v>
      </c>
      <c r="J22" s="283">
        <f t="shared" si="4"/>
        <v>0</v>
      </c>
      <c r="K22" s="283">
        <v>2738.08</v>
      </c>
      <c r="L22" s="283">
        <f t="shared" si="10"/>
        <v>124.78</v>
      </c>
      <c r="M22" s="283">
        <v>124.78</v>
      </c>
      <c r="N22" s="283">
        <f t="shared" si="5"/>
        <v>186.98669999999998</v>
      </c>
      <c r="O22" s="283">
        <f t="shared" si="6"/>
        <v>311.76670000000001</v>
      </c>
      <c r="P22" s="283">
        <f t="shared" si="7"/>
        <v>19010.436699999998</v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>
        <f t="shared" si="9"/>
        <v>0</v>
      </c>
      <c r="AD22" s="183"/>
    </row>
    <row r="23" spans="1:38" x14ac:dyDescent="0.25">
      <c r="A23" s="180"/>
      <c r="B23" s="282" t="s">
        <v>249</v>
      </c>
      <c r="C23" s="283">
        <f>23052+1000+2100</f>
        <v>26152</v>
      </c>
      <c r="D23" s="283">
        <v>0</v>
      </c>
      <c r="E23" s="307">
        <v>542</v>
      </c>
      <c r="F23" s="283">
        <f t="shared" si="1"/>
        <v>26694</v>
      </c>
      <c r="G23" s="283">
        <f t="shared" si="2"/>
        <v>5300.9299999999994</v>
      </c>
      <c r="H23" s="283">
        <f t="shared" si="3"/>
        <v>21393.07</v>
      </c>
      <c r="I23" s="283">
        <v>21393.07</v>
      </c>
      <c r="J23" s="283">
        <f t="shared" si="4"/>
        <v>0</v>
      </c>
      <c r="K23" s="283">
        <v>5176.1499999999996</v>
      </c>
      <c r="L23" s="283">
        <f t="shared" si="10"/>
        <v>124.78</v>
      </c>
      <c r="M23" s="283">
        <v>124.78</v>
      </c>
      <c r="N23" s="283">
        <f t="shared" si="5"/>
        <v>266.94</v>
      </c>
      <c r="O23" s="283">
        <f t="shared" si="6"/>
        <v>391.72</v>
      </c>
      <c r="P23" s="283">
        <f t="shared" si="7"/>
        <v>27085.72</v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>
        <f t="shared" si="9"/>
        <v>0</v>
      </c>
      <c r="AD23" s="183"/>
    </row>
    <row r="24" spans="1:38" x14ac:dyDescent="0.25">
      <c r="A24" s="180"/>
      <c r="B24" s="282" t="s">
        <v>250</v>
      </c>
      <c r="C24" s="283">
        <f>54321+1000</f>
        <v>55321</v>
      </c>
      <c r="D24" s="283">
        <v>1343.4199999999983</v>
      </c>
      <c r="E24" s="306">
        <v>1146</v>
      </c>
      <c r="F24" s="283">
        <f t="shared" si="1"/>
        <v>57810.42</v>
      </c>
      <c r="G24" s="283">
        <f t="shared" si="2"/>
        <v>16640.62</v>
      </c>
      <c r="H24" s="283">
        <f t="shared" si="3"/>
        <v>41169.800000000003</v>
      </c>
      <c r="I24" s="283">
        <v>41169.800000000003</v>
      </c>
      <c r="J24" s="283">
        <f t="shared" si="4"/>
        <v>0</v>
      </c>
      <c r="K24" s="283">
        <v>16515.84</v>
      </c>
      <c r="L24" s="283">
        <f t="shared" si="10"/>
        <v>124.78</v>
      </c>
      <c r="M24" s="283">
        <v>124.78</v>
      </c>
      <c r="N24" s="283">
        <f t="shared" si="5"/>
        <v>578.10419999999999</v>
      </c>
      <c r="O24" s="283">
        <f t="shared" si="6"/>
        <v>702.88419999999996</v>
      </c>
      <c r="P24" s="283">
        <f t="shared" si="7"/>
        <v>58513.304199999999</v>
      </c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>
        <f t="shared" si="9"/>
        <v>0</v>
      </c>
      <c r="AD24" s="183"/>
      <c r="AF24" s="156">
        <v>16170.51</v>
      </c>
      <c r="AG24" s="156">
        <v>569.47</v>
      </c>
      <c r="AH24" s="156">
        <v>249.56</v>
      </c>
    </row>
    <row r="25" spans="1:38" x14ac:dyDescent="0.25">
      <c r="A25" s="180"/>
      <c r="B25" s="282" t="s">
        <v>218</v>
      </c>
      <c r="C25" s="283">
        <f>22046+1000+2100</f>
        <v>25146</v>
      </c>
      <c r="D25" s="283">
        <v>0</v>
      </c>
      <c r="E25" s="307">
        <v>521</v>
      </c>
      <c r="F25" s="283">
        <f t="shared" si="1"/>
        <v>25667</v>
      </c>
      <c r="G25" s="283">
        <f t="shared" si="2"/>
        <v>4896.55</v>
      </c>
      <c r="H25" s="283">
        <f t="shared" si="3"/>
        <v>20770.45</v>
      </c>
      <c r="I25" s="283">
        <v>20770.45</v>
      </c>
      <c r="J25" s="283">
        <f t="shared" si="4"/>
        <v>0</v>
      </c>
      <c r="K25" s="283">
        <v>4771.7700000000004</v>
      </c>
      <c r="L25" s="283">
        <f t="shared" si="10"/>
        <v>124.78</v>
      </c>
      <c r="M25" s="283">
        <v>124.78</v>
      </c>
      <c r="N25" s="283">
        <f t="shared" si="5"/>
        <v>256.67</v>
      </c>
      <c r="O25" s="283">
        <f t="shared" si="6"/>
        <v>381.45000000000005</v>
      </c>
      <c r="P25" s="283">
        <f t="shared" si="7"/>
        <v>26048.45</v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>
        <f t="shared" si="9"/>
        <v>0</v>
      </c>
      <c r="AD25" s="183"/>
    </row>
    <row r="26" spans="1:38" x14ac:dyDescent="0.25">
      <c r="A26" s="180"/>
      <c r="B26" s="282" t="s">
        <v>77</v>
      </c>
      <c r="C26" s="283">
        <f>10158+250</f>
        <v>10408</v>
      </c>
      <c r="D26" s="283">
        <v>-894.23999999999978</v>
      </c>
      <c r="E26" s="304">
        <v>1458</v>
      </c>
      <c r="F26" s="283">
        <f t="shared" si="1"/>
        <v>10971.76</v>
      </c>
      <c r="G26" s="283">
        <f t="shared" si="2"/>
        <v>1131.3076000000001</v>
      </c>
      <c r="H26" s="283">
        <f t="shared" si="3"/>
        <v>9840.4524000000001</v>
      </c>
      <c r="I26" s="283">
        <v>9840.4500000000007</v>
      </c>
      <c r="J26" s="283">
        <f t="shared" si="4"/>
        <v>-2.3999999993975507E-3</v>
      </c>
      <c r="K26" s="283">
        <v>1021.59</v>
      </c>
      <c r="L26" s="283">
        <f>F26*1%</f>
        <v>109.7176</v>
      </c>
      <c r="M26" s="283">
        <f>F26*1%</f>
        <v>109.7176</v>
      </c>
      <c r="N26" s="283">
        <f t="shared" si="5"/>
        <v>109.7176</v>
      </c>
      <c r="O26" s="283">
        <f t="shared" si="6"/>
        <v>219.43520000000001</v>
      </c>
      <c r="P26" s="283">
        <f t="shared" si="7"/>
        <v>11191.1952</v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>
        <f t="shared" si="9"/>
        <v>0</v>
      </c>
      <c r="AD26" s="183"/>
      <c r="AF26" s="156">
        <v>957.39</v>
      </c>
      <c r="AG26" s="156">
        <v>106.15</v>
      </c>
      <c r="AH26" s="156">
        <v>212.3</v>
      </c>
    </row>
    <row r="27" spans="1:38" x14ac:dyDescent="0.25">
      <c r="A27" s="180"/>
      <c r="B27" s="282" t="s">
        <v>80</v>
      </c>
      <c r="C27" s="283">
        <v>3371</v>
      </c>
      <c r="D27" s="283">
        <v>0</v>
      </c>
      <c r="E27" s="305">
        <v>1181</v>
      </c>
      <c r="F27" s="283">
        <f t="shared" si="1"/>
        <v>4552</v>
      </c>
      <c r="G27" s="283">
        <f t="shared" si="2"/>
        <v>45.52</v>
      </c>
      <c r="H27" s="283">
        <f t="shared" si="3"/>
        <v>4506.4799999999996</v>
      </c>
      <c r="I27" s="283">
        <v>4506.4799999999996</v>
      </c>
      <c r="J27" s="283">
        <f t="shared" si="4"/>
        <v>0</v>
      </c>
      <c r="K27" s="283">
        <v>0</v>
      </c>
      <c r="L27" s="283">
        <f>F27*1%</f>
        <v>45.52</v>
      </c>
      <c r="M27" s="283">
        <f>F27*1%</f>
        <v>45.52</v>
      </c>
      <c r="N27" s="283">
        <f t="shared" si="5"/>
        <v>45.52</v>
      </c>
      <c r="O27" s="283">
        <f t="shared" si="6"/>
        <v>91.04</v>
      </c>
      <c r="P27" s="283">
        <f t="shared" si="7"/>
        <v>4643.04</v>
      </c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3"/>
      <c r="AF27" s="156">
        <v>0</v>
      </c>
      <c r="AG27" s="156">
        <v>37.799999999999997</v>
      </c>
      <c r="AH27" s="156">
        <v>75.599999999999994</v>
      </c>
    </row>
    <row r="28" spans="1:38" x14ac:dyDescent="0.25">
      <c r="A28" s="180"/>
      <c r="B28" s="282" t="s">
        <v>251</v>
      </c>
      <c r="C28" s="283">
        <v>4150</v>
      </c>
      <c r="D28" s="283">
        <v>0</v>
      </c>
      <c r="E28" s="307"/>
      <c r="F28" s="283">
        <f t="shared" si="1"/>
        <v>4150</v>
      </c>
      <c r="G28" s="283">
        <f t="shared" si="2"/>
        <v>41.5</v>
      </c>
      <c r="H28" s="283">
        <f t="shared" si="3"/>
        <v>4108.5</v>
      </c>
      <c r="I28" s="283">
        <v>1500.5</v>
      </c>
      <c r="J28" s="283">
        <f t="shared" si="4"/>
        <v>-2608</v>
      </c>
      <c r="K28" s="283">
        <v>0</v>
      </c>
      <c r="L28" s="283">
        <f>F28*1%</f>
        <v>41.5</v>
      </c>
      <c r="M28" s="283">
        <f>F28*1%</f>
        <v>41.5</v>
      </c>
      <c r="N28" s="283">
        <f t="shared" si="5"/>
        <v>41.5</v>
      </c>
      <c r="O28" s="283">
        <f t="shared" si="6"/>
        <v>83</v>
      </c>
      <c r="P28" s="283">
        <f t="shared" si="7"/>
        <v>4233</v>
      </c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3"/>
    </row>
    <row r="29" spans="1:38" x14ac:dyDescent="0.25">
      <c r="A29" s="180"/>
      <c r="B29" s="282" t="s">
        <v>115</v>
      </c>
      <c r="C29" s="283">
        <f>22520+500+2100</f>
        <v>25120</v>
      </c>
      <c r="D29" s="283">
        <v>0</v>
      </c>
      <c r="E29" s="307">
        <v>4260</v>
      </c>
      <c r="F29" s="283">
        <f t="shared" si="1"/>
        <v>29380</v>
      </c>
      <c r="G29" s="283">
        <f t="shared" si="2"/>
        <v>6010.46</v>
      </c>
      <c r="H29" s="283">
        <f t="shared" si="3"/>
        <v>23369.54</v>
      </c>
      <c r="I29" s="283">
        <v>23369.54</v>
      </c>
      <c r="J29" s="283">
        <f t="shared" si="4"/>
        <v>0</v>
      </c>
      <c r="K29" s="283">
        <v>5885.68</v>
      </c>
      <c r="L29" s="283">
        <f t="shared" ref="L29:L35" si="11">249.56/2</f>
        <v>124.78</v>
      </c>
      <c r="M29" s="283">
        <v>124.78</v>
      </c>
      <c r="N29" s="283">
        <f t="shared" si="5"/>
        <v>293.8</v>
      </c>
      <c r="O29" s="283">
        <f t="shared" si="6"/>
        <v>418.58000000000004</v>
      </c>
      <c r="P29" s="283">
        <f t="shared" si="7"/>
        <v>29798.58</v>
      </c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3"/>
    </row>
    <row r="30" spans="1:38" x14ac:dyDescent="0.25">
      <c r="A30" s="180"/>
      <c r="B30" s="282" t="s">
        <v>116</v>
      </c>
      <c r="C30" s="283">
        <f>12363+250+2100</f>
        <v>14713</v>
      </c>
      <c r="D30" s="283">
        <v>0</v>
      </c>
      <c r="E30" s="307">
        <v>3833</v>
      </c>
      <c r="F30" s="283">
        <f t="shared" si="1"/>
        <v>18546</v>
      </c>
      <c r="G30" s="283">
        <f t="shared" si="2"/>
        <v>2874.61</v>
      </c>
      <c r="H30" s="283">
        <f t="shared" si="3"/>
        <v>15671.39</v>
      </c>
      <c r="I30" s="283">
        <v>15671.39</v>
      </c>
      <c r="J30" s="283">
        <f t="shared" si="4"/>
        <v>0</v>
      </c>
      <c r="K30" s="283">
        <v>2749.83</v>
      </c>
      <c r="L30" s="283">
        <f t="shared" si="11"/>
        <v>124.78</v>
      </c>
      <c r="M30" s="283">
        <v>124.78</v>
      </c>
      <c r="N30" s="283">
        <f t="shared" si="5"/>
        <v>185.46</v>
      </c>
      <c r="O30" s="283">
        <f t="shared" si="6"/>
        <v>310.24</v>
      </c>
      <c r="P30" s="283">
        <f t="shared" si="7"/>
        <v>18856.240000000002</v>
      </c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3"/>
    </row>
    <row r="31" spans="1:38" s="179" customFormat="1" x14ac:dyDescent="0.25">
      <c r="A31" s="173"/>
      <c r="B31" s="282" t="s">
        <v>75</v>
      </c>
      <c r="C31" s="283">
        <f>25430+250</f>
        <v>25680</v>
      </c>
      <c r="D31" s="283">
        <v>53.540000000000873</v>
      </c>
      <c r="E31" s="304">
        <v>7260</v>
      </c>
      <c r="F31" s="283">
        <f t="shared" si="1"/>
        <v>32993.54</v>
      </c>
      <c r="G31" s="283">
        <f t="shared" si="2"/>
        <v>7094.5099999999993</v>
      </c>
      <c r="H31" s="283">
        <f t="shared" si="3"/>
        <v>25899.030000000002</v>
      </c>
      <c r="I31" s="283">
        <v>25971.53</v>
      </c>
      <c r="J31" s="283">
        <f t="shared" si="4"/>
        <v>72.499999999996362</v>
      </c>
      <c r="K31" s="283">
        <v>6969.73</v>
      </c>
      <c r="L31" s="283">
        <f t="shared" si="11"/>
        <v>124.78</v>
      </c>
      <c r="M31" s="283">
        <v>124.78</v>
      </c>
      <c r="N31" s="283">
        <f t="shared" si="5"/>
        <v>329.93540000000002</v>
      </c>
      <c r="O31" s="283">
        <f t="shared" si="6"/>
        <v>454.71540000000005</v>
      </c>
      <c r="P31" s="283">
        <f t="shared" si="7"/>
        <v>33448.255400000002</v>
      </c>
      <c r="Q31" s="293">
        <f>SUM(Q32:Q43)</f>
        <v>0</v>
      </c>
      <c r="R31" s="293">
        <f t="shared" ref="R31:AC31" si="12">SUM(R32:R43)</f>
        <v>0</v>
      </c>
      <c r="S31" s="293">
        <f t="shared" si="12"/>
        <v>0</v>
      </c>
      <c r="T31" s="293">
        <f t="shared" si="12"/>
        <v>0</v>
      </c>
      <c r="U31" s="293">
        <f t="shared" si="12"/>
        <v>0</v>
      </c>
      <c r="V31" s="293">
        <f t="shared" si="12"/>
        <v>0</v>
      </c>
      <c r="W31" s="293">
        <f t="shared" si="12"/>
        <v>0</v>
      </c>
      <c r="X31" s="293">
        <f t="shared" si="12"/>
        <v>0</v>
      </c>
      <c r="Y31" s="293">
        <f t="shared" si="12"/>
        <v>0</v>
      </c>
      <c r="Z31" s="293">
        <f t="shared" si="12"/>
        <v>0</v>
      </c>
      <c r="AA31" s="293">
        <f t="shared" si="12"/>
        <v>0</v>
      </c>
      <c r="AB31" s="293">
        <f t="shared" si="12"/>
        <v>0</v>
      </c>
      <c r="AC31" s="293">
        <f t="shared" si="12"/>
        <v>0</v>
      </c>
      <c r="AD31" s="177"/>
      <c r="AE31" s="178"/>
      <c r="AF31" s="178">
        <v>6503.61</v>
      </c>
      <c r="AG31" s="178">
        <v>314.39999999999998</v>
      </c>
      <c r="AH31" s="178">
        <v>249.56</v>
      </c>
      <c r="AI31" s="178"/>
      <c r="AJ31" s="178"/>
      <c r="AK31" s="178"/>
      <c r="AL31" s="178"/>
    </row>
    <row r="32" spans="1:38" x14ac:dyDescent="0.25">
      <c r="A32" s="180"/>
      <c r="B32" s="282" t="s">
        <v>189</v>
      </c>
      <c r="C32" s="283">
        <f>21680+500+2100</f>
        <v>24280</v>
      </c>
      <c r="D32" s="283">
        <v>1469.5699999999997</v>
      </c>
      <c r="E32" s="307">
        <v>1000</v>
      </c>
      <c r="F32" s="283">
        <f t="shared" si="1"/>
        <v>26749.57</v>
      </c>
      <c r="G32" s="283">
        <f t="shared" si="2"/>
        <v>5221.32</v>
      </c>
      <c r="H32" s="283">
        <f t="shared" si="3"/>
        <v>21528.25</v>
      </c>
      <c r="I32" s="283">
        <v>21528.25</v>
      </c>
      <c r="J32" s="283">
        <f t="shared" si="4"/>
        <v>0</v>
      </c>
      <c r="K32" s="283">
        <v>5096.54</v>
      </c>
      <c r="L32" s="283">
        <f t="shared" si="11"/>
        <v>124.78</v>
      </c>
      <c r="M32" s="283">
        <v>124.78</v>
      </c>
      <c r="N32" s="283">
        <f t="shared" si="5"/>
        <v>267.4957</v>
      </c>
      <c r="O32" s="283">
        <f t="shared" si="6"/>
        <v>392.27570000000003</v>
      </c>
      <c r="P32" s="283">
        <f t="shared" si="7"/>
        <v>27141.845699999998</v>
      </c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>
        <f t="shared" ref="AC32:AC40" si="13">SUM(Q32:AB32)</f>
        <v>0</v>
      </c>
      <c r="AD32" s="183"/>
    </row>
    <row r="33" spans="1:38" x14ac:dyDescent="0.25">
      <c r="A33" s="180"/>
      <c r="B33" s="282" t="s">
        <v>86</v>
      </c>
      <c r="C33" s="283">
        <f>55710+1000</f>
        <v>56710</v>
      </c>
      <c r="D33" s="283">
        <v>0</v>
      </c>
      <c r="E33" s="307">
        <v>13250</v>
      </c>
      <c r="F33" s="283">
        <f t="shared" si="1"/>
        <v>69960</v>
      </c>
      <c r="G33" s="283">
        <f t="shared" si="2"/>
        <v>21500.46</v>
      </c>
      <c r="H33" s="283">
        <f t="shared" si="3"/>
        <v>48459.54</v>
      </c>
      <c r="I33" s="283">
        <v>48459.54</v>
      </c>
      <c r="J33" s="283">
        <f t="shared" si="4"/>
        <v>0</v>
      </c>
      <c r="K33" s="283">
        <v>21375.68</v>
      </c>
      <c r="L33" s="283">
        <f t="shared" si="11"/>
        <v>124.78</v>
      </c>
      <c r="M33" s="283">
        <v>124.78</v>
      </c>
      <c r="N33" s="283">
        <f t="shared" si="5"/>
        <v>699.6</v>
      </c>
      <c r="O33" s="283">
        <f t="shared" si="6"/>
        <v>824.38</v>
      </c>
      <c r="P33" s="283">
        <f t="shared" si="7"/>
        <v>70784.38</v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>
        <f t="shared" si="13"/>
        <v>0</v>
      </c>
      <c r="AD33" s="183"/>
    </row>
    <row r="34" spans="1:38" x14ac:dyDescent="0.25">
      <c r="A34" s="180"/>
      <c r="B34" s="282" t="s">
        <v>83</v>
      </c>
      <c r="C34" s="283">
        <f>16060+500</f>
        <v>16560</v>
      </c>
      <c r="D34" s="283">
        <v>4.5999999999985448</v>
      </c>
      <c r="E34" s="305">
        <v>2000</v>
      </c>
      <c r="F34" s="283">
        <f>SUM(C34:E34)</f>
        <v>18564.599999999999</v>
      </c>
      <c r="G34" s="283">
        <f t="shared" si="2"/>
        <v>2879.27</v>
      </c>
      <c r="H34" s="283">
        <f>F34-G34</f>
        <v>15685.329999999998</v>
      </c>
      <c r="I34" s="283">
        <v>15685.33</v>
      </c>
      <c r="J34" s="283">
        <f t="shared" si="4"/>
        <v>0</v>
      </c>
      <c r="K34" s="283">
        <v>2754.49</v>
      </c>
      <c r="L34" s="283">
        <f t="shared" si="11"/>
        <v>124.78</v>
      </c>
      <c r="M34" s="283">
        <v>124.78</v>
      </c>
      <c r="N34" s="283">
        <f t="shared" si="5"/>
        <v>185.64599999999999</v>
      </c>
      <c r="O34" s="283">
        <f t="shared" si="6"/>
        <v>310.42599999999999</v>
      </c>
      <c r="P34" s="283">
        <f>F34+O34</f>
        <v>18875.025999999998</v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>
        <f t="shared" si="13"/>
        <v>0</v>
      </c>
      <c r="AD34" s="183"/>
      <c r="AF34" s="156">
        <v>2169</v>
      </c>
      <c r="AG34" s="156">
        <v>162.22999999999999</v>
      </c>
      <c r="AH34" s="156">
        <v>249.56</v>
      </c>
    </row>
    <row r="35" spans="1:38" x14ac:dyDescent="0.25">
      <c r="A35" s="180"/>
      <c r="B35" s="282" t="s">
        <v>252</v>
      </c>
      <c r="C35" s="283">
        <f>23052+1000+2100</f>
        <v>26152</v>
      </c>
      <c r="D35" s="283">
        <v>-7114.9700000000012</v>
      </c>
      <c r="E35" s="307">
        <v>542</v>
      </c>
      <c r="F35" s="283">
        <f t="shared" si="1"/>
        <v>19579.03</v>
      </c>
      <c r="G35" s="283">
        <f t="shared" si="2"/>
        <v>3063.9500000000003</v>
      </c>
      <c r="H35" s="283">
        <f t="shared" si="3"/>
        <v>16515.079999999998</v>
      </c>
      <c r="I35" s="283">
        <v>16515.080000000002</v>
      </c>
      <c r="J35" s="283">
        <f t="shared" si="4"/>
        <v>0</v>
      </c>
      <c r="K35" s="283">
        <v>2939.17</v>
      </c>
      <c r="L35" s="283">
        <f t="shared" si="11"/>
        <v>124.78</v>
      </c>
      <c r="M35" s="283">
        <v>124.78</v>
      </c>
      <c r="N35" s="283">
        <f t="shared" si="5"/>
        <v>195.7903</v>
      </c>
      <c r="O35" s="283">
        <f t="shared" si="6"/>
        <v>320.57029999999997</v>
      </c>
      <c r="P35" s="283">
        <f t="shared" si="7"/>
        <v>19899.600299999998</v>
      </c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>
        <f t="shared" si="13"/>
        <v>0</v>
      </c>
      <c r="AD35" s="183"/>
    </row>
    <row r="36" spans="1:38" x14ac:dyDescent="0.25">
      <c r="A36" s="180"/>
      <c r="B36" s="282" t="s">
        <v>73</v>
      </c>
      <c r="C36" s="283">
        <f>9328+250</f>
        <v>9578</v>
      </c>
      <c r="D36" s="283">
        <v>0</v>
      </c>
      <c r="E36" s="304">
        <v>2784</v>
      </c>
      <c r="F36" s="283">
        <f t="shared" si="1"/>
        <v>12362</v>
      </c>
      <c r="G36" s="283">
        <f t="shared" si="2"/>
        <v>1395.4499999999998</v>
      </c>
      <c r="H36" s="283">
        <f t="shared" si="3"/>
        <v>10966.55</v>
      </c>
      <c r="I36" s="283">
        <v>10966.55</v>
      </c>
      <c r="J36" s="283">
        <f t="shared" si="4"/>
        <v>0</v>
      </c>
      <c r="K36" s="283">
        <v>1271.83</v>
      </c>
      <c r="L36" s="283">
        <f>F36*1%</f>
        <v>123.62</v>
      </c>
      <c r="M36" s="283">
        <f>F36*1%</f>
        <v>123.62</v>
      </c>
      <c r="N36" s="283">
        <f t="shared" si="5"/>
        <v>123.62</v>
      </c>
      <c r="O36" s="283">
        <f t="shared" si="6"/>
        <v>247.24</v>
      </c>
      <c r="P36" s="283">
        <f t="shared" si="7"/>
        <v>12609.24</v>
      </c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>
        <f t="shared" si="13"/>
        <v>0</v>
      </c>
      <c r="AD36" s="183"/>
      <c r="AF36" s="156">
        <v>826.57</v>
      </c>
      <c r="AG36" s="156">
        <v>98.88</v>
      </c>
      <c r="AH36" s="156">
        <v>197.76</v>
      </c>
    </row>
    <row r="37" spans="1:38" x14ac:dyDescent="0.25">
      <c r="A37" s="180"/>
      <c r="B37" s="282" t="s">
        <v>111</v>
      </c>
      <c r="C37" s="283">
        <f>15556+500+2100</f>
        <v>18156</v>
      </c>
      <c r="D37" s="283">
        <v>3932.8499999999985</v>
      </c>
      <c r="E37" s="307">
        <v>3461</v>
      </c>
      <c r="F37" s="283">
        <f t="shared" si="1"/>
        <v>25549.85</v>
      </c>
      <c r="G37" s="283">
        <f t="shared" si="2"/>
        <v>4861.41</v>
      </c>
      <c r="H37" s="283">
        <f t="shared" si="3"/>
        <v>20688.439999999999</v>
      </c>
      <c r="I37" s="283">
        <v>20688.439999999999</v>
      </c>
      <c r="J37" s="283">
        <f t="shared" si="4"/>
        <v>0</v>
      </c>
      <c r="K37" s="283">
        <v>4736.63</v>
      </c>
      <c r="L37" s="283">
        <f>249.56/2</f>
        <v>124.78</v>
      </c>
      <c r="M37" s="283">
        <v>124.78</v>
      </c>
      <c r="N37" s="283">
        <f t="shared" si="5"/>
        <v>255.49849999999998</v>
      </c>
      <c r="O37" s="283">
        <f t="shared" si="6"/>
        <v>380.27850000000001</v>
      </c>
      <c r="P37" s="283">
        <f t="shared" si="7"/>
        <v>25930.128499999999</v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>
        <f t="shared" si="13"/>
        <v>0</v>
      </c>
      <c r="AD37" s="183"/>
    </row>
    <row r="38" spans="1:38" x14ac:dyDescent="0.25">
      <c r="A38" s="180"/>
      <c r="B38" s="282" t="s">
        <v>253</v>
      </c>
      <c r="C38" s="283">
        <f>32867+1000</f>
        <v>33867</v>
      </c>
      <c r="D38" s="283">
        <v>3162.2200000000012</v>
      </c>
      <c r="E38" s="307">
        <v>8800</v>
      </c>
      <c r="F38" s="283">
        <f t="shared" si="1"/>
        <v>45829.22</v>
      </c>
      <c r="G38" s="283">
        <f t="shared" si="2"/>
        <v>11795.01</v>
      </c>
      <c r="H38" s="283">
        <f t="shared" si="3"/>
        <v>34034.21</v>
      </c>
      <c r="I38" s="283">
        <v>34034.21</v>
      </c>
      <c r="J38" s="283">
        <f t="shared" si="4"/>
        <v>0</v>
      </c>
      <c r="K38" s="283">
        <v>11670.23</v>
      </c>
      <c r="L38" s="283">
        <f>249.56/2</f>
        <v>124.78</v>
      </c>
      <c r="M38" s="283">
        <v>124.78</v>
      </c>
      <c r="N38" s="283">
        <f t="shared" si="5"/>
        <v>458.29220000000004</v>
      </c>
      <c r="O38" s="283">
        <f t="shared" si="6"/>
        <v>583.07220000000007</v>
      </c>
      <c r="P38" s="283">
        <f t="shared" si="7"/>
        <v>46412.292200000004</v>
      </c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>
        <f t="shared" si="13"/>
        <v>0</v>
      </c>
      <c r="AD38" s="183"/>
    </row>
    <row r="39" spans="1:38" x14ac:dyDescent="0.25">
      <c r="A39" s="180"/>
      <c r="B39" s="282" t="s">
        <v>254</v>
      </c>
      <c r="C39" s="283">
        <f>21150+250</f>
        <v>21400</v>
      </c>
      <c r="D39" s="283">
        <v>34.459999999999127</v>
      </c>
      <c r="E39" s="307">
        <v>2500</v>
      </c>
      <c r="F39" s="283">
        <f t="shared" si="1"/>
        <v>23934.46</v>
      </c>
      <c r="G39" s="283">
        <f t="shared" si="2"/>
        <v>4343.8999999999996</v>
      </c>
      <c r="H39" s="283">
        <f t="shared" si="3"/>
        <v>19590.559999999998</v>
      </c>
      <c r="I39" s="283">
        <v>19590.560000000001</v>
      </c>
      <c r="J39" s="283">
        <f t="shared" si="4"/>
        <v>0</v>
      </c>
      <c r="K39" s="283">
        <v>4219.12</v>
      </c>
      <c r="L39" s="283">
        <f>249.56/2</f>
        <v>124.78</v>
      </c>
      <c r="M39" s="283">
        <v>124.78</v>
      </c>
      <c r="N39" s="283">
        <f t="shared" si="5"/>
        <v>239.34459999999999</v>
      </c>
      <c r="O39" s="283">
        <f t="shared" si="6"/>
        <v>364.12459999999999</v>
      </c>
      <c r="P39" s="283">
        <f t="shared" si="7"/>
        <v>24298.584599999998</v>
      </c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 t="s">
        <v>4</v>
      </c>
      <c r="AD39" s="183"/>
    </row>
    <row r="40" spans="1:38" x14ac:dyDescent="0.25">
      <c r="A40" s="180"/>
      <c r="B40" s="282" t="s">
        <v>203</v>
      </c>
      <c r="C40" s="283">
        <f>9925+250</f>
        <v>10175</v>
      </c>
      <c r="D40" s="283">
        <v>1030.6800000000003</v>
      </c>
      <c r="E40" s="307">
        <v>625</v>
      </c>
      <c r="F40" s="283">
        <f t="shared" si="1"/>
        <v>11830.68</v>
      </c>
      <c r="G40" s="283">
        <f t="shared" si="2"/>
        <v>1294.5068000000001</v>
      </c>
      <c r="H40" s="283">
        <f t="shared" si="3"/>
        <v>10536.173200000001</v>
      </c>
      <c r="I40" s="283">
        <v>13567.42</v>
      </c>
      <c r="J40" s="283">
        <f t="shared" si="4"/>
        <v>3031.246799999999</v>
      </c>
      <c r="K40" s="283">
        <v>1176.2</v>
      </c>
      <c r="L40" s="283">
        <f>F40*1%</f>
        <v>118.30680000000001</v>
      </c>
      <c r="M40" s="283">
        <f>F40*1%</f>
        <v>118.30680000000001</v>
      </c>
      <c r="N40" s="283">
        <f t="shared" si="5"/>
        <v>118.30680000000001</v>
      </c>
      <c r="O40" s="283">
        <f t="shared" si="6"/>
        <v>236.61360000000002</v>
      </c>
      <c r="P40" s="283">
        <f t="shared" si="7"/>
        <v>12067.293600000001</v>
      </c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>
        <f t="shared" si="13"/>
        <v>0</v>
      </c>
      <c r="AD40" s="183"/>
    </row>
    <row r="41" spans="1:38" x14ac:dyDescent="0.25">
      <c r="A41" s="180"/>
      <c r="B41" s="282" t="s">
        <v>69</v>
      </c>
      <c r="C41" s="283">
        <f>25430+250</f>
        <v>25680</v>
      </c>
      <c r="D41" s="283">
        <v>1000</v>
      </c>
      <c r="E41" s="304">
        <v>9000</v>
      </c>
      <c r="F41" s="283">
        <f t="shared" si="1"/>
        <v>35680</v>
      </c>
      <c r="G41" s="283">
        <f t="shared" si="2"/>
        <v>8242.7900000000009</v>
      </c>
      <c r="H41" s="283">
        <f t="shared" si="3"/>
        <v>27437.21</v>
      </c>
      <c r="I41" s="283">
        <v>27437.21</v>
      </c>
      <c r="J41" s="283">
        <f t="shared" si="4"/>
        <v>0</v>
      </c>
      <c r="K41" s="283">
        <v>8118.01</v>
      </c>
      <c r="L41" s="283">
        <f>249.56/2</f>
        <v>124.78</v>
      </c>
      <c r="M41" s="283">
        <v>124.78</v>
      </c>
      <c r="N41" s="283">
        <f t="shared" si="5"/>
        <v>356.8</v>
      </c>
      <c r="O41" s="283">
        <f t="shared" si="6"/>
        <v>481.58000000000004</v>
      </c>
      <c r="P41" s="283">
        <f t="shared" si="7"/>
        <v>36161.58</v>
      </c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 t="s">
        <v>4</v>
      </c>
      <c r="AD41" s="183"/>
      <c r="AF41" s="156">
        <v>7438.83</v>
      </c>
      <c r="AG41" s="156">
        <v>337.4</v>
      </c>
      <c r="AH41" s="156">
        <v>249.56</v>
      </c>
    </row>
    <row r="42" spans="1:38" x14ac:dyDescent="0.25">
      <c r="A42" s="180"/>
      <c r="B42" s="282" t="s">
        <v>190</v>
      </c>
      <c r="C42" s="283">
        <f>36355+1000+2100</f>
        <v>39455</v>
      </c>
      <c r="D42" s="283">
        <v>315.80000000000291</v>
      </c>
      <c r="E42" s="307">
        <v>1625</v>
      </c>
      <c r="F42" s="283">
        <f t="shared" si="1"/>
        <v>41395.800000000003</v>
      </c>
      <c r="G42" s="283">
        <f t="shared" si="2"/>
        <v>10243.320000000002</v>
      </c>
      <c r="H42" s="283">
        <f t="shared" si="3"/>
        <v>31152.480000000003</v>
      </c>
      <c r="I42" s="283">
        <v>31152.48</v>
      </c>
      <c r="J42" s="283">
        <f t="shared" si="4"/>
        <v>0</v>
      </c>
      <c r="K42" s="283">
        <v>10118.540000000001</v>
      </c>
      <c r="L42" s="283">
        <f>249.56/2</f>
        <v>124.78</v>
      </c>
      <c r="M42" s="283">
        <v>124.78</v>
      </c>
      <c r="N42" s="283">
        <f t="shared" si="5"/>
        <v>413.95800000000003</v>
      </c>
      <c r="O42" s="283">
        <f t="shared" si="6"/>
        <v>538.73800000000006</v>
      </c>
      <c r="P42" s="283">
        <f t="shared" si="7"/>
        <v>41934.538</v>
      </c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3"/>
    </row>
    <row r="43" spans="1:38" x14ac:dyDescent="0.25">
      <c r="A43" s="180"/>
      <c r="B43" s="282" t="s">
        <v>89</v>
      </c>
      <c r="C43" s="283">
        <f>15113+500</f>
        <v>15613</v>
      </c>
      <c r="D43" s="283">
        <v>0</v>
      </c>
      <c r="E43" s="307">
        <v>2188</v>
      </c>
      <c r="F43" s="283">
        <f t="shared" si="1"/>
        <v>17801</v>
      </c>
      <c r="G43" s="283">
        <f t="shared" si="2"/>
        <v>2688.36</v>
      </c>
      <c r="H43" s="283">
        <f t="shared" si="3"/>
        <v>15112.64</v>
      </c>
      <c r="I43" s="283">
        <v>15185.14</v>
      </c>
      <c r="J43" s="283">
        <f t="shared" si="4"/>
        <v>72.5</v>
      </c>
      <c r="K43" s="283">
        <v>2563.58</v>
      </c>
      <c r="L43" s="283">
        <f>249.56/2</f>
        <v>124.78</v>
      </c>
      <c r="M43" s="283">
        <v>124.78</v>
      </c>
      <c r="N43" s="283">
        <f t="shared" si="5"/>
        <v>178.01</v>
      </c>
      <c r="O43" s="283">
        <f t="shared" si="6"/>
        <v>302.78999999999996</v>
      </c>
      <c r="P43" s="283">
        <f t="shared" si="7"/>
        <v>18103.79</v>
      </c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3"/>
    </row>
    <row r="44" spans="1:38" s="179" customFormat="1" x14ac:dyDescent="0.25">
      <c r="A44" s="173"/>
      <c r="B44" s="282" t="s">
        <v>39</v>
      </c>
      <c r="C44" s="283">
        <v>99150</v>
      </c>
      <c r="D44" s="283">
        <v>0</v>
      </c>
      <c r="E44" s="307"/>
      <c r="F44" s="283">
        <f t="shared" si="1"/>
        <v>99150</v>
      </c>
      <c r="G44" s="283">
        <f t="shared" si="2"/>
        <v>26611.199999999997</v>
      </c>
      <c r="H44" s="283">
        <f t="shared" si="3"/>
        <v>72538.8</v>
      </c>
      <c r="I44" s="283">
        <v>71476.7</v>
      </c>
      <c r="J44" s="283">
        <f t="shared" si="4"/>
        <v>-1062.1000000000058</v>
      </c>
      <c r="K44" s="283">
        <v>26486.42</v>
      </c>
      <c r="L44" s="283">
        <f>249.56/2</f>
        <v>124.78</v>
      </c>
      <c r="M44" s="283">
        <v>124.78</v>
      </c>
      <c r="N44" s="283">
        <f t="shared" si="5"/>
        <v>991.5</v>
      </c>
      <c r="O44" s="283">
        <f t="shared" si="6"/>
        <v>1116.28</v>
      </c>
      <c r="P44" s="283">
        <f t="shared" si="7"/>
        <v>100266.28</v>
      </c>
      <c r="Q44" s="293">
        <f>SUM(Q45:Q52)</f>
        <v>0</v>
      </c>
      <c r="R44" s="293">
        <f t="shared" ref="R44:AC44" si="14">SUM(R45:R52)</f>
        <v>0</v>
      </c>
      <c r="S44" s="293">
        <f t="shared" si="14"/>
        <v>0</v>
      </c>
      <c r="T44" s="293">
        <f t="shared" si="14"/>
        <v>0</v>
      </c>
      <c r="U44" s="293">
        <f t="shared" si="14"/>
        <v>0</v>
      </c>
      <c r="V44" s="293">
        <f t="shared" si="14"/>
        <v>0</v>
      </c>
      <c r="W44" s="293">
        <f t="shared" si="14"/>
        <v>0</v>
      </c>
      <c r="X44" s="293">
        <f t="shared" si="14"/>
        <v>0</v>
      </c>
      <c r="Y44" s="293">
        <f t="shared" si="14"/>
        <v>0</v>
      </c>
      <c r="Z44" s="293">
        <f t="shared" si="14"/>
        <v>0</v>
      </c>
      <c r="AA44" s="293">
        <f t="shared" si="14"/>
        <v>0</v>
      </c>
      <c r="AB44" s="293">
        <f t="shared" si="14"/>
        <v>0</v>
      </c>
      <c r="AC44" s="293">
        <f t="shared" si="14"/>
        <v>0</v>
      </c>
      <c r="AD44" s="177"/>
      <c r="AE44" s="178"/>
      <c r="AF44" s="178"/>
      <c r="AG44" s="178"/>
      <c r="AH44" s="178"/>
      <c r="AI44" s="178"/>
      <c r="AJ44" s="178"/>
      <c r="AK44" s="178"/>
      <c r="AL44" s="178"/>
    </row>
    <row r="45" spans="1:38" x14ac:dyDescent="0.25">
      <c r="A45" s="180"/>
      <c r="B45" s="282" t="s">
        <v>196</v>
      </c>
      <c r="C45" s="283">
        <f>9284+250+2100</f>
        <v>11634</v>
      </c>
      <c r="D45" s="283">
        <v>682.88999999999942</v>
      </c>
      <c r="E45" s="307">
        <v>479</v>
      </c>
      <c r="F45" s="283">
        <f t="shared" si="1"/>
        <v>12795.89</v>
      </c>
      <c r="G45" s="283">
        <f t="shared" si="2"/>
        <v>1474.71</v>
      </c>
      <c r="H45" s="283">
        <f t="shared" si="3"/>
        <v>11321.18</v>
      </c>
      <c r="I45" s="283">
        <v>11321.18</v>
      </c>
      <c r="J45" s="283">
        <f t="shared" si="4"/>
        <v>0</v>
      </c>
      <c r="K45" s="283">
        <v>1349.93</v>
      </c>
      <c r="L45" s="283">
        <v>124.78</v>
      </c>
      <c r="M45" s="283">
        <v>124.78</v>
      </c>
      <c r="N45" s="283">
        <f t="shared" si="5"/>
        <v>127.9589</v>
      </c>
      <c r="O45" s="283">
        <f t="shared" si="6"/>
        <v>252.7389</v>
      </c>
      <c r="P45" s="283">
        <f t="shared" si="7"/>
        <v>13048.6289</v>
      </c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>
        <f>SUM(Q45:AB45)</f>
        <v>0</v>
      </c>
      <c r="AD45" s="183"/>
    </row>
    <row r="46" spans="1:38" x14ac:dyDescent="0.25">
      <c r="A46" s="180"/>
      <c r="B46" s="282" t="s">
        <v>219</v>
      </c>
      <c r="C46" s="283">
        <f>25652+500</f>
        <v>26152</v>
      </c>
      <c r="D46" s="283">
        <v>0</v>
      </c>
      <c r="E46" s="306">
        <v>542</v>
      </c>
      <c r="F46" s="283">
        <f t="shared" si="1"/>
        <v>26694</v>
      </c>
      <c r="G46" s="283">
        <f t="shared" si="2"/>
        <v>5130.17</v>
      </c>
      <c r="H46" s="283">
        <f t="shared" si="3"/>
        <v>21563.83</v>
      </c>
      <c r="I46" s="283">
        <v>22749.23</v>
      </c>
      <c r="J46" s="283">
        <f t="shared" si="4"/>
        <v>1185.3999999999978</v>
      </c>
      <c r="K46" s="283">
        <v>5005.3900000000003</v>
      </c>
      <c r="L46" s="283">
        <f>249.56/2</f>
        <v>124.78</v>
      </c>
      <c r="M46" s="283">
        <v>124.78</v>
      </c>
      <c r="N46" s="283">
        <f t="shared" si="5"/>
        <v>266.94</v>
      </c>
      <c r="O46" s="283">
        <f t="shared" si="6"/>
        <v>391.72</v>
      </c>
      <c r="P46" s="283">
        <f t="shared" si="7"/>
        <v>27085.72</v>
      </c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3"/>
      <c r="AF46" s="156">
        <v>3797.62</v>
      </c>
      <c r="AG46" s="156">
        <v>180</v>
      </c>
      <c r="AH46" s="156">
        <v>249.56</v>
      </c>
    </row>
    <row r="47" spans="1:38" x14ac:dyDescent="0.25">
      <c r="A47" s="180"/>
      <c r="B47" s="282" t="s">
        <v>140</v>
      </c>
      <c r="C47" s="283">
        <f>30750+1000</f>
        <v>31750</v>
      </c>
      <c r="D47" s="283">
        <v>3550.4700000000012</v>
      </c>
      <c r="E47" s="307">
        <v>7625</v>
      </c>
      <c r="F47" s="283">
        <f t="shared" si="1"/>
        <v>42925.47</v>
      </c>
      <c r="G47" s="283">
        <f t="shared" si="2"/>
        <v>10778.710000000001</v>
      </c>
      <c r="H47" s="283">
        <f t="shared" si="3"/>
        <v>32146.760000000002</v>
      </c>
      <c r="I47" s="283">
        <v>32146.76</v>
      </c>
      <c r="J47" s="283">
        <f t="shared" si="4"/>
        <v>0</v>
      </c>
      <c r="K47" s="283">
        <v>10653.93</v>
      </c>
      <c r="L47" s="283">
        <f>249.56/2</f>
        <v>124.78</v>
      </c>
      <c r="M47" s="283">
        <v>124.78</v>
      </c>
      <c r="N47" s="283">
        <f t="shared" si="5"/>
        <v>429.25470000000001</v>
      </c>
      <c r="O47" s="283">
        <f t="shared" si="6"/>
        <v>554.03470000000004</v>
      </c>
      <c r="P47" s="283">
        <f t="shared" si="7"/>
        <v>43479.504699999998</v>
      </c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3"/>
    </row>
    <row r="48" spans="1:38" x14ac:dyDescent="0.25">
      <c r="A48" s="180"/>
      <c r="B48" s="282" t="s">
        <v>255</v>
      </c>
      <c r="C48" s="283">
        <f>11709+250</f>
        <v>11959</v>
      </c>
      <c r="D48" s="283">
        <v>40.959999999999127</v>
      </c>
      <c r="E48" s="307">
        <v>2354</v>
      </c>
      <c r="F48" s="283">
        <f t="shared" si="1"/>
        <v>14353.96</v>
      </c>
      <c r="G48" s="283">
        <f t="shared" si="2"/>
        <v>1755.16</v>
      </c>
      <c r="H48" s="283">
        <f t="shared" si="3"/>
        <v>12598.8</v>
      </c>
      <c r="I48" s="283">
        <v>12598.8</v>
      </c>
      <c r="J48" s="283">
        <f t="shared" si="4"/>
        <v>0</v>
      </c>
      <c r="K48" s="283">
        <v>1630.38</v>
      </c>
      <c r="L48" s="283">
        <v>124.78</v>
      </c>
      <c r="M48" s="283">
        <v>124.78</v>
      </c>
      <c r="N48" s="283">
        <f t="shared" si="5"/>
        <v>143.53960000000001</v>
      </c>
      <c r="O48" s="283">
        <f t="shared" si="6"/>
        <v>268.31960000000004</v>
      </c>
      <c r="P48" s="283">
        <f t="shared" si="7"/>
        <v>14622.2796</v>
      </c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3"/>
    </row>
    <row r="49" spans="1:38" x14ac:dyDescent="0.25">
      <c r="A49" s="180"/>
      <c r="B49" s="282" t="s">
        <v>192</v>
      </c>
      <c r="C49" s="283">
        <f>6755+250+2100</f>
        <v>9105</v>
      </c>
      <c r="D49" s="283">
        <v>190.69000000000051</v>
      </c>
      <c r="E49" s="307">
        <v>375</v>
      </c>
      <c r="F49" s="283">
        <f t="shared" si="1"/>
        <v>9670.69</v>
      </c>
      <c r="G49" s="283">
        <f t="shared" si="2"/>
        <v>884.1069</v>
      </c>
      <c r="H49" s="283">
        <f t="shared" si="3"/>
        <v>8786.5830999999998</v>
      </c>
      <c r="I49" s="283">
        <v>8786.58</v>
      </c>
      <c r="J49" s="283">
        <f t="shared" si="4"/>
        <v>-3.0999999999039574E-3</v>
      </c>
      <c r="K49" s="283">
        <v>787.4</v>
      </c>
      <c r="L49" s="283">
        <f>F49*1%</f>
        <v>96.706900000000005</v>
      </c>
      <c r="M49" s="283">
        <f>F49*1%</f>
        <v>96.706900000000005</v>
      </c>
      <c r="N49" s="283">
        <f t="shared" si="5"/>
        <v>96.706900000000005</v>
      </c>
      <c r="O49" s="283">
        <f t="shared" si="6"/>
        <v>193.41380000000001</v>
      </c>
      <c r="P49" s="283">
        <f t="shared" si="7"/>
        <v>9864.1038000000008</v>
      </c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3"/>
    </row>
    <row r="50" spans="1:38" x14ac:dyDescent="0.25">
      <c r="A50" s="180"/>
      <c r="B50" s="282" t="s">
        <v>139</v>
      </c>
      <c r="C50" s="283">
        <f>3323.03+92.29+387.69</f>
        <v>3803.01</v>
      </c>
      <c r="D50" s="283">
        <v>17867.82</v>
      </c>
      <c r="E50" s="307"/>
      <c r="F50" s="283">
        <f t="shared" si="1"/>
        <v>21670.83</v>
      </c>
      <c r="G50" s="283">
        <f t="shared" si="2"/>
        <v>5992.21</v>
      </c>
      <c r="H50" s="283">
        <f t="shared" si="3"/>
        <v>15678.620000000003</v>
      </c>
      <c r="I50" s="283">
        <v>15678.62</v>
      </c>
      <c r="J50" s="283">
        <f t="shared" si="4"/>
        <v>0</v>
      </c>
      <c r="K50" s="283">
        <v>5867.43</v>
      </c>
      <c r="L50" s="283">
        <v>124.78</v>
      </c>
      <c r="M50" s="283">
        <v>124.78</v>
      </c>
      <c r="N50" s="283">
        <f t="shared" si="5"/>
        <v>216.70830000000001</v>
      </c>
      <c r="O50" s="283">
        <f t="shared" si="6"/>
        <v>341.48829999999998</v>
      </c>
      <c r="P50" s="283">
        <f t="shared" si="7"/>
        <v>22012.318300000003</v>
      </c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3"/>
    </row>
    <row r="51" spans="1:38" x14ac:dyDescent="0.25">
      <c r="A51" s="180"/>
      <c r="B51" s="282" t="s">
        <v>193</v>
      </c>
      <c r="C51" s="283">
        <f>21180+1000+2100</f>
        <v>24280</v>
      </c>
      <c r="D51" s="283">
        <v>1099.7099999999991</v>
      </c>
      <c r="E51" s="307">
        <v>1000</v>
      </c>
      <c r="F51" s="283">
        <f t="shared" si="1"/>
        <v>26379.71</v>
      </c>
      <c r="G51" s="283">
        <f t="shared" si="2"/>
        <v>5110.3599999999997</v>
      </c>
      <c r="H51" s="283">
        <f t="shared" si="3"/>
        <v>21269.35</v>
      </c>
      <c r="I51" s="283">
        <v>21269.35</v>
      </c>
      <c r="J51" s="283">
        <f t="shared" si="4"/>
        <v>0</v>
      </c>
      <c r="K51" s="283">
        <v>4985.58</v>
      </c>
      <c r="L51" s="283">
        <f>249.56/2</f>
        <v>124.78</v>
      </c>
      <c r="M51" s="283">
        <v>124.78</v>
      </c>
      <c r="N51" s="283">
        <f t="shared" si="5"/>
        <v>263.7971</v>
      </c>
      <c r="O51" s="283">
        <f t="shared" si="6"/>
        <v>388.57709999999997</v>
      </c>
      <c r="P51" s="283">
        <f t="shared" si="7"/>
        <v>26768.287099999998</v>
      </c>
      <c r="Q51" s="182" t="s">
        <v>4</v>
      </c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3"/>
    </row>
    <row r="52" spans="1:38" x14ac:dyDescent="0.25">
      <c r="A52" s="180"/>
      <c r="B52" s="282" t="s">
        <v>187</v>
      </c>
      <c r="C52" s="283">
        <f>14147+500+2100</f>
        <v>16747</v>
      </c>
      <c r="D52" s="283">
        <v>-73.990000000001601</v>
      </c>
      <c r="E52" s="307">
        <v>3427</v>
      </c>
      <c r="F52" s="283">
        <f t="shared" si="1"/>
        <v>20100.009999999998</v>
      </c>
      <c r="G52" s="283">
        <f t="shared" si="2"/>
        <v>3263.1200000000003</v>
      </c>
      <c r="H52" s="283">
        <f t="shared" si="3"/>
        <v>16836.89</v>
      </c>
      <c r="I52" s="283">
        <v>16836.89</v>
      </c>
      <c r="J52" s="283">
        <f t="shared" si="4"/>
        <v>0</v>
      </c>
      <c r="K52" s="283">
        <v>3138.34</v>
      </c>
      <c r="L52" s="283">
        <f>249.56/2</f>
        <v>124.78</v>
      </c>
      <c r="M52" s="283">
        <v>124.78</v>
      </c>
      <c r="N52" s="283">
        <f t="shared" si="5"/>
        <v>201.00009999999997</v>
      </c>
      <c r="O52" s="283">
        <f t="shared" si="6"/>
        <v>325.78009999999995</v>
      </c>
      <c r="P52" s="283">
        <f t="shared" si="7"/>
        <v>20425.790099999998</v>
      </c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3"/>
    </row>
    <row r="53" spans="1:38" x14ac:dyDescent="0.25">
      <c r="A53" s="180"/>
      <c r="B53" s="282" t="s">
        <v>256</v>
      </c>
      <c r="C53" s="283">
        <f>6339.96+253.81+1066.14</f>
        <v>7659.9100000000008</v>
      </c>
      <c r="D53" s="283">
        <v>-9.0949470177292824E-13</v>
      </c>
      <c r="E53" s="307">
        <v>313</v>
      </c>
      <c r="F53" s="283">
        <f t="shared" si="1"/>
        <v>7972.91</v>
      </c>
      <c r="G53" s="283">
        <f t="shared" si="2"/>
        <v>1116.7091</v>
      </c>
      <c r="H53" s="283">
        <f t="shared" si="3"/>
        <v>6856.2008999999998</v>
      </c>
      <c r="I53" s="283">
        <v>6856.2</v>
      </c>
      <c r="J53" s="283">
        <f t="shared" si="4"/>
        <v>-9.0000000000145519E-4</v>
      </c>
      <c r="K53" s="283">
        <v>1036.98</v>
      </c>
      <c r="L53" s="283">
        <f>F53*1%</f>
        <v>79.729100000000003</v>
      </c>
      <c r="M53" s="283">
        <f>F53*1%</f>
        <v>79.729100000000003</v>
      </c>
      <c r="N53" s="283">
        <f t="shared" si="5"/>
        <v>79.729100000000003</v>
      </c>
      <c r="O53" s="283">
        <f t="shared" si="6"/>
        <v>159.45820000000001</v>
      </c>
      <c r="P53" s="283">
        <f t="shared" si="7"/>
        <v>8132.3681999999999</v>
      </c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3"/>
    </row>
    <row r="54" spans="1:38" s="179" customFormat="1" x14ac:dyDescent="0.25">
      <c r="A54" s="173"/>
      <c r="B54" s="282" t="s">
        <v>141</v>
      </c>
      <c r="C54" s="283">
        <f>34613+1000</f>
        <v>35613</v>
      </c>
      <c r="D54" s="283">
        <v>33.190000000002328</v>
      </c>
      <c r="E54" s="307">
        <v>2188</v>
      </c>
      <c r="F54" s="283">
        <f t="shared" si="1"/>
        <v>37834.19</v>
      </c>
      <c r="G54" s="283">
        <f t="shared" si="2"/>
        <v>8996.76</v>
      </c>
      <c r="H54" s="283">
        <f t="shared" si="3"/>
        <v>28837.43</v>
      </c>
      <c r="I54" s="283">
        <v>28837.43</v>
      </c>
      <c r="J54" s="283">
        <f t="shared" si="4"/>
        <v>0</v>
      </c>
      <c r="K54" s="283">
        <v>8871.98</v>
      </c>
      <c r="L54" s="283">
        <f>249.56/2</f>
        <v>124.78</v>
      </c>
      <c r="M54" s="283">
        <v>124.78</v>
      </c>
      <c r="N54" s="283">
        <f t="shared" si="5"/>
        <v>378.34190000000001</v>
      </c>
      <c r="O54" s="283">
        <f t="shared" si="6"/>
        <v>503.12189999999998</v>
      </c>
      <c r="P54" s="283">
        <f t="shared" si="7"/>
        <v>38337.311900000001</v>
      </c>
      <c r="Q54" s="293">
        <f>SUM(Q55:Q59)</f>
        <v>0</v>
      </c>
      <c r="R54" s="293">
        <f t="shared" ref="R54:AB54" si="15">SUM(R55:R59)</f>
        <v>0</v>
      </c>
      <c r="S54" s="293">
        <f t="shared" si="15"/>
        <v>0</v>
      </c>
      <c r="T54" s="293">
        <f t="shared" si="15"/>
        <v>0</v>
      </c>
      <c r="U54" s="293">
        <f t="shared" si="15"/>
        <v>0</v>
      </c>
      <c r="V54" s="293">
        <f t="shared" si="15"/>
        <v>0</v>
      </c>
      <c r="W54" s="293">
        <f t="shared" si="15"/>
        <v>0</v>
      </c>
      <c r="X54" s="293">
        <f t="shared" si="15"/>
        <v>0</v>
      </c>
      <c r="Y54" s="293">
        <f t="shared" si="15"/>
        <v>0</v>
      </c>
      <c r="Z54" s="293">
        <f t="shared" si="15"/>
        <v>0</v>
      </c>
      <c r="AA54" s="293">
        <f t="shared" si="15"/>
        <v>0</v>
      </c>
      <c r="AB54" s="293">
        <f t="shared" si="15"/>
        <v>0</v>
      </c>
      <c r="AC54" s="293">
        <f>SUM(AC55:AC57)</f>
        <v>0</v>
      </c>
      <c r="AD54" s="177"/>
      <c r="AE54" s="178"/>
      <c r="AF54" s="178"/>
      <c r="AG54" s="178"/>
      <c r="AH54" s="178"/>
      <c r="AI54" s="178"/>
      <c r="AJ54" s="178"/>
      <c r="AK54" s="178"/>
      <c r="AL54" s="178"/>
    </row>
    <row r="55" spans="1:38" x14ac:dyDescent="0.25">
      <c r="A55" s="180"/>
      <c r="B55" s="282" t="s">
        <v>257</v>
      </c>
      <c r="C55" s="283">
        <f>21331+500+2100</f>
        <v>23931</v>
      </c>
      <c r="D55" s="283">
        <v>4830.1100000000006</v>
      </c>
      <c r="E55" s="307">
        <v>8415</v>
      </c>
      <c r="F55" s="283">
        <f t="shared" si="1"/>
        <v>37176.11</v>
      </c>
      <c r="G55" s="283">
        <f t="shared" si="2"/>
        <v>8349.2900000000009</v>
      </c>
      <c r="H55" s="283">
        <f t="shared" si="3"/>
        <v>28826.82</v>
      </c>
      <c r="I55" s="283">
        <v>29081.82</v>
      </c>
      <c r="J55" s="283">
        <f t="shared" si="4"/>
        <v>255</v>
      </c>
      <c r="K55" s="283">
        <v>8224.51</v>
      </c>
      <c r="L55" s="283">
        <f>249.56/2</f>
        <v>124.78</v>
      </c>
      <c r="M55" s="283">
        <v>124.78</v>
      </c>
      <c r="N55" s="283">
        <f t="shared" si="5"/>
        <v>371.7611</v>
      </c>
      <c r="O55" s="283">
        <f t="shared" si="6"/>
        <v>496.54110000000003</v>
      </c>
      <c r="P55" s="283">
        <f t="shared" si="7"/>
        <v>37672.651100000003</v>
      </c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>
        <f>SUM(Q55:AB55)</f>
        <v>0</v>
      </c>
      <c r="AD55" s="183"/>
    </row>
    <row r="56" spans="1:38" x14ac:dyDescent="0.25">
      <c r="A56" s="180"/>
      <c r="B56" s="282" t="s">
        <v>37</v>
      </c>
      <c r="C56" s="283">
        <f>16620+500</f>
        <v>17120</v>
      </c>
      <c r="D56" s="283">
        <v>1310.6800000000003</v>
      </c>
      <c r="E56" s="307">
        <v>5600</v>
      </c>
      <c r="F56" s="283">
        <f t="shared" si="1"/>
        <v>24030.68</v>
      </c>
      <c r="G56" s="283">
        <f t="shared" si="2"/>
        <v>4015.7900000000004</v>
      </c>
      <c r="H56" s="283">
        <f t="shared" si="3"/>
        <v>20014.89</v>
      </c>
      <c r="I56" s="283">
        <v>24827.89</v>
      </c>
      <c r="J56" s="283">
        <f t="shared" si="4"/>
        <v>4813</v>
      </c>
      <c r="K56" s="283">
        <v>3891.01</v>
      </c>
      <c r="L56" s="283">
        <f>249.56/2</f>
        <v>124.78</v>
      </c>
      <c r="M56" s="283">
        <v>124.78</v>
      </c>
      <c r="N56" s="283">
        <f t="shared" si="5"/>
        <v>240.30680000000001</v>
      </c>
      <c r="O56" s="283">
        <f t="shared" si="6"/>
        <v>365.08680000000004</v>
      </c>
      <c r="P56" s="283">
        <f t="shared" si="7"/>
        <v>24395.766800000001</v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>
        <f>SUM(Q56:AB56)</f>
        <v>0</v>
      </c>
      <c r="AD56" s="183"/>
    </row>
    <row r="57" spans="1:38" x14ac:dyDescent="0.25">
      <c r="A57" s="180"/>
      <c r="B57" s="282" t="s">
        <v>258</v>
      </c>
      <c r="C57" s="283">
        <f>21473+500+2100</f>
        <v>24073</v>
      </c>
      <c r="D57" s="283">
        <v>0</v>
      </c>
      <c r="E57" s="307">
        <v>4677</v>
      </c>
      <c r="F57" s="283">
        <f t="shared" si="1"/>
        <v>28750</v>
      </c>
      <c r="G57" s="283">
        <f t="shared" si="2"/>
        <v>5821.45</v>
      </c>
      <c r="H57" s="283">
        <f t="shared" si="3"/>
        <v>22928.55</v>
      </c>
      <c r="I57" s="283">
        <v>22928.55</v>
      </c>
      <c r="J57" s="283">
        <f t="shared" si="4"/>
        <v>0</v>
      </c>
      <c r="K57" s="283">
        <v>5696.67</v>
      </c>
      <c r="L57" s="283">
        <f>249.56/2</f>
        <v>124.78</v>
      </c>
      <c r="M57" s="283">
        <v>124.78</v>
      </c>
      <c r="N57" s="283">
        <f t="shared" si="5"/>
        <v>287.5</v>
      </c>
      <c r="O57" s="283">
        <f t="shared" si="6"/>
        <v>412.28</v>
      </c>
      <c r="P57" s="283">
        <f t="shared" si="7"/>
        <v>29162.28</v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>
        <f>SUM(Q57:AB57)</f>
        <v>0</v>
      </c>
      <c r="AD57" s="183"/>
    </row>
    <row r="58" spans="1:38" x14ac:dyDescent="0.25">
      <c r="A58" s="180"/>
      <c r="B58" s="282" t="s">
        <v>72</v>
      </c>
      <c r="C58" s="283">
        <f>7118+250</f>
        <v>7368</v>
      </c>
      <c r="D58" s="283">
        <v>431.1299999999992</v>
      </c>
      <c r="E58" s="304">
        <v>1641</v>
      </c>
      <c r="F58" s="283">
        <f t="shared" si="1"/>
        <v>9440.1299999999992</v>
      </c>
      <c r="G58" s="283">
        <f t="shared" si="2"/>
        <v>840.29129999999998</v>
      </c>
      <c r="H58" s="283">
        <f t="shared" si="3"/>
        <v>8599.8386999999984</v>
      </c>
      <c r="I58" s="283">
        <v>8599.84</v>
      </c>
      <c r="J58" s="283">
        <f t="shared" si="4"/>
        <v>1.3000000017200364E-3</v>
      </c>
      <c r="K58" s="283">
        <v>745.89</v>
      </c>
      <c r="L58" s="283">
        <f>F58*1%</f>
        <v>94.401299999999992</v>
      </c>
      <c r="M58" s="283">
        <f>F58*1%</f>
        <v>94.401299999999992</v>
      </c>
      <c r="N58" s="283">
        <f t="shared" si="5"/>
        <v>94.401299999999992</v>
      </c>
      <c r="O58" s="283">
        <f t="shared" si="6"/>
        <v>188.80259999999998</v>
      </c>
      <c r="P58" s="283">
        <f t="shared" si="7"/>
        <v>9628.9326000000001</v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3"/>
      <c r="AF58" s="156">
        <v>397.71</v>
      </c>
      <c r="AG58" s="156">
        <v>75.06</v>
      </c>
      <c r="AH58" s="156">
        <v>150.12</v>
      </c>
    </row>
    <row r="59" spans="1:38" x14ac:dyDescent="0.25">
      <c r="A59" s="180"/>
      <c r="B59" s="282" t="s">
        <v>76</v>
      </c>
      <c r="C59" s="283">
        <f>12100+250</f>
        <v>12350</v>
      </c>
      <c r="D59" s="283">
        <v>1000</v>
      </c>
      <c r="E59" s="304">
        <v>1250</v>
      </c>
      <c r="F59" s="283">
        <f t="shared" si="1"/>
        <v>14600</v>
      </c>
      <c r="G59" s="283">
        <f t="shared" si="2"/>
        <v>1799.45</v>
      </c>
      <c r="H59" s="283">
        <f t="shared" si="3"/>
        <v>12800.55</v>
      </c>
      <c r="I59" s="283">
        <v>12800.55</v>
      </c>
      <c r="J59" s="283">
        <f t="shared" si="4"/>
        <v>0</v>
      </c>
      <c r="K59" s="283">
        <v>1674.67</v>
      </c>
      <c r="L59" s="283">
        <v>124.78</v>
      </c>
      <c r="M59" s="283">
        <v>124.78</v>
      </c>
      <c r="N59" s="283">
        <f t="shared" si="5"/>
        <v>146</v>
      </c>
      <c r="O59" s="283">
        <f t="shared" si="6"/>
        <v>270.77999999999997</v>
      </c>
      <c r="P59" s="283">
        <f t="shared" si="7"/>
        <v>14870.78</v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3"/>
      <c r="AF59" s="156">
        <v>1206.67</v>
      </c>
      <c r="AG59" s="156">
        <v>120</v>
      </c>
      <c r="AH59" s="156">
        <v>240</v>
      </c>
    </row>
    <row r="60" spans="1:38" s="179" customFormat="1" x14ac:dyDescent="0.25">
      <c r="A60" s="173"/>
      <c r="B60" s="282" t="s">
        <v>67</v>
      </c>
      <c r="C60" s="283">
        <v>22470</v>
      </c>
      <c r="D60" s="283">
        <v>32.150000000001455</v>
      </c>
      <c r="E60" s="304">
        <v>6563</v>
      </c>
      <c r="F60" s="283">
        <f t="shared" si="1"/>
        <v>29065.15</v>
      </c>
      <c r="G60" s="283">
        <f t="shared" si="2"/>
        <v>5916</v>
      </c>
      <c r="H60" s="283">
        <f t="shared" si="3"/>
        <v>23149.15</v>
      </c>
      <c r="I60" s="283">
        <v>23149.15</v>
      </c>
      <c r="J60" s="283">
        <f t="shared" si="4"/>
        <v>0</v>
      </c>
      <c r="K60" s="283">
        <v>5791.22</v>
      </c>
      <c r="L60" s="283">
        <f>249.56/2</f>
        <v>124.78</v>
      </c>
      <c r="M60" s="283">
        <v>124.78</v>
      </c>
      <c r="N60" s="283">
        <f t="shared" si="5"/>
        <v>290.6515</v>
      </c>
      <c r="O60" s="283">
        <f t="shared" si="6"/>
        <v>415.43150000000003</v>
      </c>
      <c r="P60" s="283">
        <f t="shared" si="7"/>
        <v>29480.5815</v>
      </c>
      <c r="Q60" s="293">
        <f>SUM(Q61:Q66)</f>
        <v>0</v>
      </c>
      <c r="R60" s="293">
        <f t="shared" ref="R60:AB60" si="16">SUM(R61:R66)</f>
        <v>0</v>
      </c>
      <c r="S60" s="293">
        <f t="shared" si="16"/>
        <v>0</v>
      </c>
      <c r="T60" s="293">
        <f t="shared" si="16"/>
        <v>0</v>
      </c>
      <c r="U60" s="293">
        <f t="shared" si="16"/>
        <v>0</v>
      </c>
      <c r="V60" s="293">
        <f t="shared" si="16"/>
        <v>0</v>
      </c>
      <c r="W60" s="293">
        <f t="shared" si="16"/>
        <v>0</v>
      </c>
      <c r="X60" s="293">
        <f t="shared" si="16"/>
        <v>0</v>
      </c>
      <c r="Y60" s="293">
        <f t="shared" si="16"/>
        <v>0</v>
      </c>
      <c r="Z60" s="293">
        <f t="shared" si="16"/>
        <v>0</v>
      </c>
      <c r="AA60" s="293">
        <f t="shared" si="16"/>
        <v>0</v>
      </c>
      <c r="AB60" s="293">
        <f t="shared" si="16"/>
        <v>0</v>
      </c>
      <c r="AC60" s="293">
        <f>SUM(AC61:AC63)</f>
        <v>0</v>
      </c>
      <c r="AD60" s="177"/>
      <c r="AE60" s="178"/>
      <c r="AF60" s="178">
        <v>5752.33</v>
      </c>
      <c r="AG60" s="178">
        <v>289.36</v>
      </c>
      <c r="AH60" s="178">
        <v>249.56</v>
      </c>
      <c r="AI60" s="178"/>
      <c r="AJ60" s="178"/>
      <c r="AK60" s="178"/>
      <c r="AL60" s="178"/>
    </row>
    <row r="61" spans="1:38" x14ac:dyDescent="0.25">
      <c r="A61" s="180"/>
      <c r="B61" s="282" t="s">
        <v>104</v>
      </c>
      <c r="C61" s="283">
        <f>21473+500+2100</f>
        <v>24073</v>
      </c>
      <c r="D61" s="283">
        <v>1181.8199999999997</v>
      </c>
      <c r="E61" s="307">
        <v>4581</v>
      </c>
      <c r="F61" s="283">
        <f t="shared" si="1"/>
        <v>29835.82</v>
      </c>
      <c r="G61" s="283">
        <f t="shared" si="2"/>
        <v>6147.2</v>
      </c>
      <c r="H61" s="283">
        <f t="shared" si="3"/>
        <v>23688.62</v>
      </c>
      <c r="I61" s="283">
        <v>23688.62</v>
      </c>
      <c r="J61" s="283">
        <f t="shared" si="4"/>
        <v>0</v>
      </c>
      <c r="K61" s="283">
        <v>6022.42</v>
      </c>
      <c r="L61" s="283">
        <f>249.56/2</f>
        <v>124.78</v>
      </c>
      <c r="M61" s="283">
        <v>124.78</v>
      </c>
      <c r="N61" s="283">
        <f t="shared" si="5"/>
        <v>298.35820000000001</v>
      </c>
      <c r="O61" s="283">
        <f t="shared" si="6"/>
        <v>423.13819999999998</v>
      </c>
      <c r="P61" s="283">
        <f t="shared" si="7"/>
        <v>30258.958200000001</v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>
        <f>SUM(Q61:AB61)</f>
        <v>0</v>
      </c>
      <c r="AD61" s="183"/>
    </row>
    <row r="62" spans="1:38" x14ac:dyDescent="0.25">
      <c r="A62" s="180"/>
      <c r="B62" s="282" t="s">
        <v>259</v>
      </c>
      <c r="C62" s="283">
        <f>15491+500+2100</f>
        <v>18091</v>
      </c>
      <c r="D62" s="283">
        <v>9308.1500000000015</v>
      </c>
      <c r="E62" s="307">
        <v>6253</v>
      </c>
      <c r="F62" s="283">
        <f t="shared" si="1"/>
        <v>33652.15</v>
      </c>
      <c r="G62" s="283">
        <f t="shared" si="2"/>
        <v>7138.11</v>
      </c>
      <c r="H62" s="283">
        <f t="shared" si="3"/>
        <v>26514.04</v>
      </c>
      <c r="I62" s="283">
        <v>26514.04</v>
      </c>
      <c r="J62" s="283">
        <f t="shared" si="4"/>
        <v>0</v>
      </c>
      <c r="K62" s="283">
        <v>7013.33</v>
      </c>
      <c r="L62" s="283">
        <f>249.56/2</f>
        <v>124.78</v>
      </c>
      <c r="M62" s="283">
        <v>124.78</v>
      </c>
      <c r="N62" s="283">
        <f t="shared" si="5"/>
        <v>336.5215</v>
      </c>
      <c r="O62" s="283">
        <f t="shared" si="6"/>
        <v>461.30150000000003</v>
      </c>
      <c r="P62" s="283">
        <f t="shared" si="7"/>
        <v>34113.451500000003</v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>
        <f>SUM(Q62:AB62)</f>
        <v>0</v>
      </c>
      <c r="AD62" s="183"/>
    </row>
    <row r="63" spans="1:38" x14ac:dyDescent="0.25">
      <c r="A63" s="180"/>
      <c r="B63" s="282" t="s">
        <v>145</v>
      </c>
      <c r="C63" s="283">
        <f>7601+250+2100</f>
        <v>9951</v>
      </c>
      <c r="D63" s="283">
        <v>2.7800000000006548</v>
      </c>
      <c r="E63" s="307">
        <v>3522</v>
      </c>
      <c r="F63" s="283">
        <f t="shared" si="1"/>
        <v>13475.78</v>
      </c>
      <c r="G63" s="283">
        <f t="shared" si="2"/>
        <v>1597.09</v>
      </c>
      <c r="H63" s="283">
        <f t="shared" si="3"/>
        <v>11878.69</v>
      </c>
      <c r="I63" s="283">
        <v>11878.69</v>
      </c>
      <c r="J63" s="283">
        <f t="shared" si="4"/>
        <v>0</v>
      </c>
      <c r="K63" s="283">
        <v>1472.31</v>
      </c>
      <c r="L63" s="283">
        <v>124.78</v>
      </c>
      <c r="M63" s="283">
        <v>124.78</v>
      </c>
      <c r="N63" s="283">
        <f t="shared" si="5"/>
        <v>134.7578</v>
      </c>
      <c r="O63" s="283">
        <f t="shared" si="6"/>
        <v>259.5378</v>
      </c>
      <c r="P63" s="283">
        <f t="shared" si="7"/>
        <v>13735.317800000001</v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>
        <f>SUM(Q63:AB63)</f>
        <v>0</v>
      </c>
      <c r="AD63" s="183"/>
    </row>
    <row r="64" spans="1:38" x14ac:dyDescent="0.25">
      <c r="A64" s="180"/>
      <c r="B64" s="282" t="s">
        <v>260</v>
      </c>
      <c r="C64" s="283">
        <f>6065+250</f>
        <v>6315</v>
      </c>
      <c r="D64" s="283">
        <v>22.640000000000327</v>
      </c>
      <c r="E64" s="305">
        <v>1688</v>
      </c>
      <c r="F64" s="283">
        <f t="shared" si="1"/>
        <v>8025.64</v>
      </c>
      <c r="G64" s="283">
        <f t="shared" si="2"/>
        <v>571.53639999999996</v>
      </c>
      <c r="H64" s="283">
        <f t="shared" si="3"/>
        <v>7454.1036000000004</v>
      </c>
      <c r="I64" s="283">
        <v>7454.1</v>
      </c>
      <c r="J64" s="283">
        <f t="shared" si="4"/>
        <v>-3.6000000000058208E-3</v>
      </c>
      <c r="K64" s="283">
        <v>491.28</v>
      </c>
      <c r="L64" s="283">
        <f>F64*1%</f>
        <v>80.256399999999999</v>
      </c>
      <c r="M64" s="283">
        <f>F64*1%</f>
        <v>80.256399999999999</v>
      </c>
      <c r="N64" s="283">
        <f t="shared" si="5"/>
        <v>80.256399999999999</v>
      </c>
      <c r="O64" s="283">
        <f t="shared" si="6"/>
        <v>160.5128</v>
      </c>
      <c r="P64" s="283">
        <f t="shared" si="7"/>
        <v>8186.1528000000008</v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3"/>
      <c r="AF64" s="156">
        <v>180.67</v>
      </c>
      <c r="AG64" s="156">
        <v>63</v>
      </c>
      <c r="AH64" s="156">
        <v>126</v>
      </c>
    </row>
    <row r="65" spans="1:38" x14ac:dyDescent="0.25">
      <c r="A65" s="180"/>
      <c r="B65" s="282" t="s">
        <v>261</v>
      </c>
      <c r="C65" s="283">
        <f>8360+200</f>
        <v>8560</v>
      </c>
      <c r="D65" s="283">
        <v>956.25</v>
      </c>
      <c r="E65" s="305">
        <v>2750</v>
      </c>
      <c r="F65" s="283">
        <f t="shared" si="1"/>
        <v>12266.25</v>
      </c>
      <c r="G65" s="283">
        <f t="shared" si="2"/>
        <v>1377.2524999999998</v>
      </c>
      <c r="H65" s="283">
        <f t="shared" si="3"/>
        <v>10888.997499999999</v>
      </c>
      <c r="I65" s="283">
        <v>10889</v>
      </c>
      <c r="J65" s="283">
        <f t="shared" si="4"/>
        <v>2.500000000509317E-3</v>
      </c>
      <c r="K65" s="283">
        <v>1254.5899999999999</v>
      </c>
      <c r="L65" s="283">
        <f>F65*1%</f>
        <v>122.66250000000001</v>
      </c>
      <c r="M65" s="283">
        <f>F65*1%</f>
        <v>122.66250000000001</v>
      </c>
      <c r="N65" s="283">
        <f t="shared" si="5"/>
        <v>122.66250000000001</v>
      </c>
      <c r="O65" s="283">
        <f t="shared" si="6"/>
        <v>245.32500000000002</v>
      </c>
      <c r="P65" s="283">
        <f t="shared" si="7"/>
        <v>12511.575000000001</v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3"/>
      <c r="AF65" s="156">
        <v>1382.17</v>
      </c>
      <c r="AG65" s="156">
        <v>129.75</v>
      </c>
      <c r="AH65" s="156">
        <v>249.56</v>
      </c>
    </row>
    <row r="66" spans="1:38" x14ac:dyDescent="0.25">
      <c r="A66" s="180"/>
      <c r="B66" s="282" t="s">
        <v>270</v>
      </c>
      <c r="C66" s="283">
        <f>38844+1000+2100</f>
        <v>41944</v>
      </c>
      <c r="D66" s="283">
        <v>32732.050000000003</v>
      </c>
      <c r="E66" s="305">
        <v>19061</v>
      </c>
      <c r="F66" s="283">
        <f t="shared" si="1"/>
        <v>93737.05</v>
      </c>
      <c r="G66" s="283">
        <f t="shared" si="2"/>
        <v>31138.239999999998</v>
      </c>
      <c r="H66" s="283">
        <f t="shared" si="3"/>
        <v>62598.810000000005</v>
      </c>
      <c r="I66" s="283">
        <v>65391.06</v>
      </c>
      <c r="J66" s="283">
        <f t="shared" si="4"/>
        <v>2792.2499999999927</v>
      </c>
      <c r="K66" s="283">
        <v>31013.46</v>
      </c>
      <c r="L66" s="283">
        <f>249.56/2</f>
        <v>124.78</v>
      </c>
      <c r="M66" s="283">
        <v>124.78</v>
      </c>
      <c r="N66" s="283">
        <f t="shared" si="5"/>
        <v>937.37049999999999</v>
      </c>
      <c r="O66" s="283">
        <f t="shared" si="6"/>
        <v>1062.1505</v>
      </c>
      <c r="P66" s="283">
        <f t="shared" si="7"/>
        <v>94799.200500000006</v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3"/>
      <c r="AF66" s="156">
        <v>16370.42</v>
      </c>
      <c r="AG66" s="156">
        <v>577.64</v>
      </c>
      <c r="AH66" s="156">
        <v>249.56</v>
      </c>
    </row>
    <row r="67" spans="1:38" s="179" customFormat="1" x14ac:dyDescent="0.25">
      <c r="A67" s="173"/>
      <c r="B67" s="282" t="s">
        <v>262</v>
      </c>
      <c r="C67" s="283">
        <f>8585+250+2100</f>
        <v>10935</v>
      </c>
      <c r="D67" s="283">
        <v>1878.130000000001</v>
      </c>
      <c r="E67" s="307">
        <v>4982</v>
      </c>
      <c r="F67" s="283">
        <f t="shared" si="1"/>
        <v>17795.13</v>
      </c>
      <c r="G67" s="283">
        <f t="shared" si="2"/>
        <v>2374.5700000000002</v>
      </c>
      <c r="H67" s="283">
        <f t="shared" si="3"/>
        <v>15420.560000000001</v>
      </c>
      <c r="I67" s="283">
        <v>15420.56</v>
      </c>
      <c r="J67" s="283">
        <f t="shared" si="4"/>
        <v>0</v>
      </c>
      <c r="K67" s="283">
        <v>2249.79</v>
      </c>
      <c r="L67" s="283">
        <v>124.78</v>
      </c>
      <c r="M67" s="283">
        <v>124.78</v>
      </c>
      <c r="N67" s="283">
        <f t="shared" si="5"/>
        <v>177.9513</v>
      </c>
      <c r="O67" s="283">
        <f t="shared" si="6"/>
        <v>302.73130000000003</v>
      </c>
      <c r="P67" s="283">
        <f t="shared" si="7"/>
        <v>18097.8613</v>
      </c>
      <c r="Q67" s="293">
        <f t="shared" ref="Q67:AC67" si="17">SUM(Q68:Q130)</f>
        <v>0</v>
      </c>
      <c r="R67" s="293">
        <f t="shared" si="17"/>
        <v>0</v>
      </c>
      <c r="S67" s="293">
        <f t="shared" si="17"/>
        <v>0</v>
      </c>
      <c r="T67" s="293">
        <f t="shared" si="17"/>
        <v>0</v>
      </c>
      <c r="U67" s="293">
        <f t="shared" si="17"/>
        <v>0</v>
      </c>
      <c r="V67" s="293">
        <f t="shared" si="17"/>
        <v>0</v>
      </c>
      <c r="W67" s="293">
        <f t="shared" si="17"/>
        <v>0</v>
      </c>
      <c r="X67" s="293">
        <f t="shared" si="17"/>
        <v>0</v>
      </c>
      <c r="Y67" s="293">
        <f t="shared" si="17"/>
        <v>0</v>
      </c>
      <c r="Z67" s="293">
        <f t="shared" si="17"/>
        <v>0</v>
      </c>
      <c r="AA67" s="293">
        <f t="shared" si="17"/>
        <v>0</v>
      </c>
      <c r="AB67" s="293">
        <f t="shared" si="17"/>
        <v>0</v>
      </c>
      <c r="AC67" s="293">
        <f t="shared" si="17"/>
        <v>0</v>
      </c>
      <c r="AD67" s="177"/>
      <c r="AE67" s="178"/>
      <c r="AF67" s="178"/>
      <c r="AG67" s="178"/>
      <c r="AH67" s="178"/>
      <c r="AI67" s="178"/>
      <c r="AJ67" s="178"/>
      <c r="AK67" s="178"/>
      <c r="AL67" s="178"/>
    </row>
    <row r="68" spans="1:38" x14ac:dyDescent="0.25">
      <c r="A68" s="180"/>
      <c r="B68" s="282" t="s">
        <v>147</v>
      </c>
      <c r="C68" s="283">
        <v>9500</v>
      </c>
      <c r="D68" s="283">
        <v>0</v>
      </c>
      <c r="E68" s="306">
        <v>1781</v>
      </c>
      <c r="F68" s="283">
        <f t="shared" si="1"/>
        <v>11281</v>
      </c>
      <c r="G68" s="283">
        <f t="shared" si="2"/>
        <v>1190.06</v>
      </c>
      <c r="H68" s="283">
        <f t="shared" si="3"/>
        <v>10090.94</v>
      </c>
      <c r="I68" s="283">
        <v>10090.94</v>
      </c>
      <c r="J68" s="283">
        <f t="shared" si="4"/>
        <v>0</v>
      </c>
      <c r="K68" s="283">
        <v>1077.25</v>
      </c>
      <c r="L68" s="283">
        <f>F68*1%</f>
        <v>112.81</v>
      </c>
      <c r="M68" s="283">
        <f>F68*1%</f>
        <v>112.81</v>
      </c>
      <c r="N68" s="283">
        <f t="shared" si="5"/>
        <v>112.81</v>
      </c>
      <c r="O68" s="283">
        <f t="shared" si="6"/>
        <v>225.62</v>
      </c>
      <c r="P68" s="283">
        <f t="shared" si="7"/>
        <v>11506.62</v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>
        <f t="shared" ref="AC68:AC77" si="18">SUM(Q68:AB68)</f>
        <v>0</v>
      </c>
      <c r="AD68" s="189"/>
      <c r="AE68" s="190"/>
      <c r="AF68" s="190">
        <v>781.6</v>
      </c>
      <c r="AG68" s="190">
        <v>96.39</v>
      </c>
      <c r="AH68" s="190">
        <v>192.78</v>
      </c>
      <c r="AI68" s="190"/>
      <c r="AJ68" s="190"/>
      <c r="AK68" s="190"/>
      <c r="AL68" s="190"/>
    </row>
    <row r="69" spans="1:38" x14ac:dyDescent="0.25">
      <c r="A69" s="180"/>
      <c r="B69" s="282" t="s">
        <v>66</v>
      </c>
      <c r="C69" s="283">
        <v>19185</v>
      </c>
      <c r="D69" s="283">
        <v>512.31999999999971</v>
      </c>
      <c r="E69" s="304">
        <v>6724</v>
      </c>
      <c r="F69" s="283">
        <f t="shared" si="1"/>
        <v>26421.32</v>
      </c>
      <c r="G69" s="283">
        <f t="shared" si="2"/>
        <v>4613.45</v>
      </c>
      <c r="H69" s="283">
        <f t="shared" si="3"/>
        <v>21807.87</v>
      </c>
      <c r="I69" s="283">
        <v>22062.87</v>
      </c>
      <c r="J69" s="283">
        <f t="shared" si="4"/>
        <v>255</v>
      </c>
      <c r="K69" s="283">
        <v>4488.67</v>
      </c>
      <c r="L69" s="283">
        <f>249.56/2</f>
        <v>124.78</v>
      </c>
      <c r="M69" s="283">
        <v>124.78</v>
      </c>
      <c r="N69" s="283">
        <f t="shared" si="5"/>
        <v>264.21320000000003</v>
      </c>
      <c r="O69" s="283">
        <f t="shared" si="6"/>
        <v>388.9932</v>
      </c>
      <c r="P69" s="283">
        <f t="shared" si="7"/>
        <v>26810.313200000001</v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>
        <f t="shared" si="18"/>
        <v>0</v>
      </c>
      <c r="AD69" s="189"/>
      <c r="AE69" s="190"/>
      <c r="AF69" s="190">
        <v>4346.32</v>
      </c>
      <c r="AG69" s="190">
        <v>258.52</v>
      </c>
      <c r="AH69" s="190">
        <v>249.56</v>
      </c>
      <c r="AI69" s="190"/>
      <c r="AJ69" s="190"/>
      <c r="AK69" s="190"/>
      <c r="AL69" s="190"/>
    </row>
    <row r="70" spans="1:38" x14ac:dyDescent="0.25">
      <c r="A70" s="180"/>
      <c r="B70" s="282" t="s">
        <v>18</v>
      </c>
      <c r="C70" s="283">
        <v>95000</v>
      </c>
      <c r="D70" s="283">
        <v>0</v>
      </c>
      <c r="E70" s="307"/>
      <c r="F70" s="283">
        <f t="shared" ref="F70:F90" si="19">SUM(C70:E70)</f>
        <v>95000</v>
      </c>
      <c r="G70" s="283">
        <f t="shared" ref="G70:G90" si="20">K70+L70</f>
        <v>25034.21</v>
      </c>
      <c r="H70" s="283">
        <f t="shared" ref="H70:H90" si="21">F70-G70</f>
        <v>69965.790000000008</v>
      </c>
      <c r="I70" s="283">
        <v>69935.19</v>
      </c>
      <c r="J70" s="283">
        <f t="shared" ref="J70:J90" si="22">I70-H70</f>
        <v>-30.600000000005821</v>
      </c>
      <c r="K70" s="283">
        <v>24909.43</v>
      </c>
      <c r="L70" s="283">
        <f>249.56/2</f>
        <v>124.78</v>
      </c>
      <c r="M70" s="283">
        <v>124.78</v>
      </c>
      <c r="N70" s="283">
        <f t="shared" ref="N70:N90" si="23">F70*1%</f>
        <v>950</v>
      </c>
      <c r="O70" s="283">
        <f t="shared" ref="O70:O90" si="24">M70+N70</f>
        <v>1074.78</v>
      </c>
      <c r="P70" s="283">
        <f t="shared" ref="P70:P90" si="25">F70+O70</f>
        <v>96074.78</v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>
        <f t="shared" si="18"/>
        <v>0</v>
      </c>
      <c r="AD70" s="189"/>
      <c r="AE70" s="190"/>
      <c r="AF70" s="190"/>
      <c r="AG70" s="190"/>
      <c r="AH70" s="190"/>
      <c r="AI70" s="190"/>
      <c r="AJ70" s="190"/>
      <c r="AK70" s="190"/>
      <c r="AL70" s="190"/>
    </row>
    <row r="71" spans="1:38" x14ac:dyDescent="0.25">
      <c r="A71" s="180"/>
      <c r="B71" s="282" t="s">
        <v>263</v>
      </c>
      <c r="C71" s="283">
        <f>7867+500+2100</f>
        <v>10467</v>
      </c>
      <c r="D71" s="283">
        <v>30.540000000000873</v>
      </c>
      <c r="E71" s="307">
        <v>2433</v>
      </c>
      <c r="F71" s="283">
        <f t="shared" si="19"/>
        <v>12930.54</v>
      </c>
      <c r="G71" s="283">
        <f t="shared" si="20"/>
        <v>1498.95</v>
      </c>
      <c r="H71" s="283">
        <f t="shared" si="21"/>
        <v>11431.59</v>
      </c>
      <c r="I71" s="283">
        <v>11431.59</v>
      </c>
      <c r="J71" s="283">
        <f t="shared" si="22"/>
        <v>0</v>
      </c>
      <c r="K71" s="283">
        <v>1374.17</v>
      </c>
      <c r="L71" s="283">
        <v>124.78</v>
      </c>
      <c r="M71" s="283">
        <v>124.78</v>
      </c>
      <c r="N71" s="283">
        <f t="shared" si="23"/>
        <v>129.30540000000002</v>
      </c>
      <c r="O71" s="283">
        <f t="shared" si="24"/>
        <v>254.08540000000002</v>
      </c>
      <c r="P71" s="283">
        <f t="shared" si="25"/>
        <v>13184.625400000001</v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>
        <f t="shared" si="18"/>
        <v>0</v>
      </c>
      <c r="AD71" s="198"/>
      <c r="AE71" s="199"/>
      <c r="AF71" s="199"/>
      <c r="AG71" s="199"/>
      <c r="AH71" s="199"/>
      <c r="AI71" s="199"/>
      <c r="AJ71" s="199"/>
      <c r="AK71" s="199"/>
      <c r="AL71" s="199"/>
    </row>
    <row r="72" spans="1:38" x14ac:dyDescent="0.25">
      <c r="A72" s="180"/>
      <c r="B72" s="282" t="s">
        <v>95</v>
      </c>
      <c r="C72" s="283">
        <f>13100+500+2100</f>
        <v>15700</v>
      </c>
      <c r="D72" s="283">
        <v>3183.8100000000013</v>
      </c>
      <c r="E72" s="307">
        <v>3475</v>
      </c>
      <c r="F72" s="283">
        <f t="shared" si="19"/>
        <v>22358.81</v>
      </c>
      <c r="G72" s="283">
        <f t="shared" si="20"/>
        <v>3827.82</v>
      </c>
      <c r="H72" s="283">
        <f t="shared" si="21"/>
        <v>18530.990000000002</v>
      </c>
      <c r="I72" s="283">
        <v>18745.189999999999</v>
      </c>
      <c r="J72" s="283">
        <f t="shared" si="22"/>
        <v>214.19999999999709</v>
      </c>
      <c r="K72" s="283">
        <v>3703.04</v>
      </c>
      <c r="L72" s="283">
        <f>249.56/2</f>
        <v>124.78</v>
      </c>
      <c r="M72" s="283">
        <v>124.78</v>
      </c>
      <c r="N72" s="283">
        <f t="shared" si="23"/>
        <v>223.58810000000003</v>
      </c>
      <c r="O72" s="283">
        <f t="shared" si="24"/>
        <v>348.36810000000003</v>
      </c>
      <c r="P72" s="283">
        <f t="shared" si="25"/>
        <v>22707.178100000001</v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>
        <f t="shared" si="18"/>
        <v>0</v>
      </c>
      <c r="AD72" s="189"/>
      <c r="AE72" s="190"/>
      <c r="AF72" s="190"/>
      <c r="AG72" s="190"/>
      <c r="AH72" s="190"/>
      <c r="AI72" s="190"/>
      <c r="AJ72" s="190"/>
      <c r="AK72" s="190"/>
      <c r="AL72" s="190"/>
    </row>
    <row r="73" spans="1:38" x14ac:dyDescent="0.25">
      <c r="A73" s="180"/>
      <c r="B73" s="282" t="s">
        <v>264</v>
      </c>
      <c r="C73" s="283">
        <f>28390+500</f>
        <v>28890</v>
      </c>
      <c r="D73" s="283">
        <v>406.63999999999942</v>
      </c>
      <c r="E73" s="307">
        <v>8235</v>
      </c>
      <c r="F73" s="283">
        <f t="shared" si="19"/>
        <v>37531.64</v>
      </c>
      <c r="G73" s="283">
        <f t="shared" si="20"/>
        <v>9315.18</v>
      </c>
      <c r="H73" s="283">
        <f t="shared" si="21"/>
        <v>28216.46</v>
      </c>
      <c r="I73" s="283">
        <v>28216.46</v>
      </c>
      <c r="J73" s="283">
        <f t="shared" si="22"/>
        <v>0</v>
      </c>
      <c r="K73" s="283">
        <v>9190.4</v>
      </c>
      <c r="L73" s="283">
        <f>249.56/2</f>
        <v>124.78</v>
      </c>
      <c r="M73" s="283">
        <v>124.78</v>
      </c>
      <c r="N73" s="283">
        <f t="shared" si="23"/>
        <v>375.31639999999999</v>
      </c>
      <c r="O73" s="283">
        <f t="shared" si="24"/>
        <v>500.09640000000002</v>
      </c>
      <c r="P73" s="283">
        <f t="shared" si="25"/>
        <v>38031.736400000002</v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>
        <f t="shared" si="18"/>
        <v>0</v>
      </c>
      <c r="AD73" s="189"/>
      <c r="AE73" s="190"/>
      <c r="AF73" s="190"/>
      <c r="AG73" s="190"/>
      <c r="AH73" s="190"/>
      <c r="AI73" s="190"/>
      <c r="AJ73" s="190"/>
      <c r="AK73" s="190"/>
      <c r="AL73" s="190"/>
    </row>
    <row r="74" spans="1:38" x14ac:dyDescent="0.25">
      <c r="A74" s="180"/>
      <c r="B74" s="282" t="s">
        <v>112</v>
      </c>
      <c r="C74" s="283">
        <f>7436+250+2100</f>
        <v>9786</v>
      </c>
      <c r="D74" s="283">
        <v>490.21999999999935</v>
      </c>
      <c r="E74" s="307">
        <v>1636</v>
      </c>
      <c r="F74" s="283">
        <f t="shared" si="19"/>
        <v>11912.22</v>
      </c>
      <c r="G74" s="283">
        <f t="shared" si="20"/>
        <v>1309.9921999999999</v>
      </c>
      <c r="H74" s="283">
        <f t="shared" si="21"/>
        <v>10602.227799999999</v>
      </c>
      <c r="I74" s="283">
        <v>10602.23</v>
      </c>
      <c r="J74" s="283">
        <f t="shared" si="22"/>
        <v>2.2000000008119969E-3</v>
      </c>
      <c r="K74" s="283">
        <v>1190.8699999999999</v>
      </c>
      <c r="L74" s="283">
        <f>F74*1%</f>
        <v>119.12219999999999</v>
      </c>
      <c r="M74" s="283">
        <f>F74*1%</f>
        <v>119.12219999999999</v>
      </c>
      <c r="N74" s="283">
        <f t="shared" si="23"/>
        <v>119.12219999999999</v>
      </c>
      <c r="O74" s="283">
        <f t="shared" si="24"/>
        <v>238.24439999999998</v>
      </c>
      <c r="P74" s="283">
        <f t="shared" si="25"/>
        <v>12150.464399999999</v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>
        <f t="shared" si="18"/>
        <v>0</v>
      </c>
      <c r="AD74" s="189"/>
      <c r="AE74" s="190"/>
      <c r="AF74" s="190"/>
      <c r="AG74" s="190"/>
      <c r="AH74" s="190"/>
      <c r="AI74" s="190"/>
      <c r="AJ74" s="190"/>
      <c r="AK74" s="190"/>
      <c r="AL74" s="190"/>
    </row>
    <row r="75" spans="1:38" x14ac:dyDescent="0.25">
      <c r="A75" s="180"/>
      <c r="B75" s="282" t="s">
        <v>152</v>
      </c>
      <c r="C75" s="283">
        <f>13188+500+2100</f>
        <v>15788</v>
      </c>
      <c r="D75" s="283">
        <v>551.34999999999854</v>
      </c>
      <c r="E75" s="307">
        <v>2981</v>
      </c>
      <c r="F75" s="283">
        <f t="shared" si="19"/>
        <v>19320.349999999999</v>
      </c>
      <c r="G75" s="283">
        <f t="shared" si="20"/>
        <v>3068.21</v>
      </c>
      <c r="H75" s="283">
        <f t="shared" si="21"/>
        <v>16252.14</v>
      </c>
      <c r="I75" s="283">
        <v>16252.14</v>
      </c>
      <c r="J75" s="283">
        <f t="shared" si="22"/>
        <v>0</v>
      </c>
      <c r="K75" s="283">
        <v>2943.43</v>
      </c>
      <c r="L75" s="283">
        <f>249.56/2</f>
        <v>124.78</v>
      </c>
      <c r="M75" s="283">
        <v>124.78</v>
      </c>
      <c r="N75" s="283">
        <f t="shared" si="23"/>
        <v>193.20349999999999</v>
      </c>
      <c r="O75" s="283">
        <f t="shared" si="24"/>
        <v>317.98349999999999</v>
      </c>
      <c r="P75" s="283">
        <f t="shared" si="25"/>
        <v>19638.333499999997</v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>
        <f t="shared" si="18"/>
        <v>0</v>
      </c>
      <c r="AD75" s="198"/>
      <c r="AE75" s="199"/>
      <c r="AF75" s="199"/>
      <c r="AG75" s="199"/>
      <c r="AH75" s="199"/>
      <c r="AI75" s="199"/>
      <c r="AJ75" s="199"/>
      <c r="AK75" s="199"/>
      <c r="AL75" s="199"/>
    </row>
    <row r="76" spans="1:38" x14ac:dyDescent="0.25">
      <c r="A76" s="180"/>
      <c r="B76" s="282" t="s">
        <v>195</v>
      </c>
      <c r="C76" s="283">
        <f>7109+250+2100</f>
        <v>9459</v>
      </c>
      <c r="D76" s="283">
        <v>41.829999999999927</v>
      </c>
      <c r="E76" s="307">
        <v>390</v>
      </c>
      <c r="F76" s="283">
        <f t="shared" si="19"/>
        <v>9890.83</v>
      </c>
      <c r="G76" s="283">
        <f t="shared" si="20"/>
        <v>925.92830000000004</v>
      </c>
      <c r="H76" s="283">
        <f t="shared" si="21"/>
        <v>8964.9017000000003</v>
      </c>
      <c r="I76" s="283">
        <v>8964.9</v>
      </c>
      <c r="J76" s="283">
        <f t="shared" si="22"/>
        <v>-1.7000000007101335E-3</v>
      </c>
      <c r="K76" s="283">
        <v>827.02</v>
      </c>
      <c r="L76" s="283">
        <f>F76*1%</f>
        <v>98.908299999999997</v>
      </c>
      <c r="M76" s="283">
        <f>F76*1%</f>
        <v>98.908299999999997</v>
      </c>
      <c r="N76" s="283">
        <f t="shared" si="23"/>
        <v>98.908299999999997</v>
      </c>
      <c r="O76" s="283">
        <f t="shared" si="24"/>
        <v>197.81659999999999</v>
      </c>
      <c r="P76" s="283">
        <f t="shared" si="25"/>
        <v>10088.6466</v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>
        <f t="shared" si="18"/>
        <v>0</v>
      </c>
      <c r="AD76" s="189"/>
      <c r="AE76" s="190"/>
      <c r="AF76" s="190"/>
      <c r="AG76" s="190"/>
      <c r="AH76" s="190"/>
      <c r="AI76" s="190"/>
      <c r="AJ76" s="190"/>
      <c r="AK76" s="190"/>
      <c r="AL76" s="190"/>
    </row>
    <row r="77" spans="1:38" x14ac:dyDescent="0.25">
      <c r="A77" s="180"/>
      <c r="B77" s="282" t="s">
        <v>151</v>
      </c>
      <c r="C77" s="283">
        <f>13867+500+2100</f>
        <v>16467</v>
      </c>
      <c r="D77" s="283">
        <v>25.569999999999709</v>
      </c>
      <c r="E77" s="307">
        <v>1667</v>
      </c>
      <c r="F77" s="283">
        <f t="shared" si="19"/>
        <v>18159.57</v>
      </c>
      <c r="G77" s="283">
        <f t="shared" si="20"/>
        <v>2778.01</v>
      </c>
      <c r="H77" s="283">
        <f t="shared" si="21"/>
        <v>15381.56</v>
      </c>
      <c r="I77" s="283">
        <v>15381.56</v>
      </c>
      <c r="J77" s="283">
        <f t="shared" si="22"/>
        <v>0</v>
      </c>
      <c r="K77" s="283">
        <v>2653.23</v>
      </c>
      <c r="L77" s="283">
        <f>249.56/2</f>
        <v>124.78</v>
      </c>
      <c r="M77" s="283">
        <v>124.78</v>
      </c>
      <c r="N77" s="283">
        <f t="shared" si="23"/>
        <v>181.59569999999999</v>
      </c>
      <c r="O77" s="283">
        <f t="shared" si="24"/>
        <v>306.37569999999999</v>
      </c>
      <c r="P77" s="283">
        <f t="shared" si="25"/>
        <v>18465.9457</v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>
        <f t="shared" si="18"/>
        <v>0</v>
      </c>
      <c r="AD77" s="189"/>
      <c r="AE77" s="190"/>
      <c r="AF77" s="190"/>
      <c r="AG77" s="190"/>
      <c r="AH77" s="190"/>
      <c r="AI77" s="190"/>
      <c r="AJ77" s="190"/>
      <c r="AK77" s="190"/>
      <c r="AL77" s="190"/>
    </row>
    <row r="78" spans="1:38" x14ac:dyDescent="0.25">
      <c r="A78" s="180"/>
      <c r="B78" s="282" t="s">
        <v>265</v>
      </c>
      <c r="C78" s="283">
        <f>4846.08+173.05+1453.82</f>
        <v>6472.95</v>
      </c>
      <c r="D78" s="283">
        <v>0</v>
      </c>
      <c r="E78" s="307"/>
      <c r="F78" s="283">
        <f t="shared" si="19"/>
        <v>6472.95</v>
      </c>
      <c r="G78" s="283">
        <f t="shared" si="20"/>
        <v>558.60950000000003</v>
      </c>
      <c r="H78" s="283">
        <f t="shared" si="21"/>
        <v>5914.3405000000002</v>
      </c>
      <c r="I78" s="283">
        <v>5914.34</v>
      </c>
      <c r="J78" s="283">
        <f t="shared" si="22"/>
        <v>-5.0000000010186341E-4</v>
      </c>
      <c r="K78" s="283">
        <v>493.88</v>
      </c>
      <c r="L78" s="283">
        <f>F78*1%</f>
        <v>64.729500000000002</v>
      </c>
      <c r="M78" s="283">
        <f>F78*1%</f>
        <v>64.729500000000002</v>
      </c>
      <c r="N78" s="283">
        <f t="shared" si="23"/>
        <v>64.729500000000002</v>
      </c>
      <c r="O78" s="283">
        <f t="shared" si="24"/>
        <v>129.459</v>
      </c>
      <c r="P78" s="283">
        <f t="shared" si="25"/>
        <v>6602.4089999999997</v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98"/>
      <c r="AE78" s="199"/>
      <c r="AF78" s="199"/>
      <c r="AG78" s="199"/>
      <c r="AH78" s="199"/>
      <c r="AI78" s="199"/>
      <c r="AJ78" s="199"/>
      <c r="AK78" s="199"/>
      <c r="AL78" s="199"/>
    </row>
    <row r="79" spans="1:38" x14ac:dyDescent="0.25">
      <c r="A79" s="180"/>
      <c r="B79" s="282" t="s">
        <v>107</v>
      </c>
      <c r="C79" s="283">
        <f>22260+250+2100</f>
        <v>24610</v>
      </c>
      <c r="D79" s="283">
        <v>7271.1399999999994</v>
      </c>
      <c r="E79" s="307">
        <v>10120</v>
      </c>
      <c r="F79" s="283">
        <f t="shared" si="19"/>
        <v>42001.14</v>
      </c>
      <c r="G79" s="283">
        <f t="shared" si="20"/>
        <v>10665.02</v>
      </c>
      <c r="H79" s="283">
        <f t="shared" si="21"/>
        <v>31336.12</v>
      </c>
      <c r="I79" s="283">
        <v>31336.12</v>
      </c>
      <c r="J79" s="283">
        <f t="shared" si="22"/>
        <v>0</v>
      </c>
      <c r="K79" s="283">
        <v>10540.24</v>
      </c>
      <c r="L79" s="283">
        <f>249.56/2</f>
        <v>124.78</v>
      </c>
      <c r="M79" s="283">
        <v>124.78</v>
      </c>
      <c r="N79" s="283">
        <f t="shared" si="23"/>
        <v>420.01139999999998</v>
      </c>
      <c r="O79" s="283">
        <f t="shared" si="24"/>
        <v>544.79139999999995</v>
      </c>
      <c r="P79" s="283">
        <f t="shared" si="25"/>
        <v>42545.931400000001</v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>
        <f>SUM(Q79:AB79)</f>
        <v>0</v>
      </c>
      <c r="AD79" s="198"/>
      <c r="AE79" s="199"/>
      <c r="AF79" s="199"/>
      <c r="AG79" s="199"/>
      <c r="AH79" s="199"/>
      <c r="AI79" s="199"/>
      <c r="AJ79" s="199"/>
      <c r="AK79" s="199"/>
      <c r="AL79" s="199"/>
    </row>
    <row r="80" spans="1:38" x14ac:dyDescent="0.25">
      <c r="A80" s="180"/>
      <c r="B80" s="282" t="s">
        <v>188</v>
      </c>
      <c r="C80" s="283">
        <f>5820+250</f>
        <v>6070</v>
      </c>
      <c r="D80" s="283">
        <v>0</v>
      </c>
      <c r="E80" s="304">
        <v>250</v>
      </c>
      <c r="F80" s="283">
        <f t="shared" si="19"/>
        <v>6320</v>
      </c>
      <c r="G80" s="283">
        <f t="shared" si="20"/>
        <v>247.45999999999998</v>
      </c>
      <c r="H80" s="283">
        <f t="shared" si="21"/>
        <v>6072.54</v>
      </c>
      <c r="I80" s="283">
        <v>6072.54</v>
      </c>
      <c r="J80" s="283">
        <f t="shared" si="22"/>
        <v>0</v>
      </c>
      <c r="K80" s="283">
        <v>184.26</v>
      </c>
      <c r="L80" s="283">
        <f>F80*1%</f>
        <v>63.2</v>
      </c>
      <c r="M80" s="283">
        <f>F80*1%</f>
        <v>63.2</v>
      </c>
      <c r="N80" s="283">
        <f t="shared" si="23"/>
        <v>63.2</v>
      </c>
      <c r="O80" s="283">
        <f t="shared" si="24"/>
        <v>126.4</v>
      </c>
      <c r="P80" s="283">
        <f t="shared" si="25"/>
        <v>6446.4</v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>
        <f>SUM(R80:AB80)</f>
        <v>0</v>
      </c>
      <c r="AD80" s="198"/>
      <c r="AE80" s="199"/>
      <c r="AF80" s="199">
        <v>104.88</v>
      </c>
      <c r="AG80" s="199">
        <v>58.79</v>
      </c>
      <c r="AH80" s="199">
        <v>117.58</v>
      </c>
      <c r="AI80" s="199"/>
      <c r="AJ80" s="199"/>
      <c r="AK80" s="199"/>
      <c r="AL80" s="199"/>
    </row>
    <row r="81" spans="1:38" x14ac:dyDescent="0.25">
      <c r="A81" s="180"/>
      <c r="B81" s="282" t="s">
        <v>81</v>
      </c>
      <c r="C81" s="283">
        <v>1032</v>
      </c>
      <c r="D81" s="283">
        <v>-71.400000000000091</v>
      </c>
      <c r="E81" s="305">
        <v>102</v>
      </c>
      <c r="F81" s="283">
        <f t="shared" si="19"/>
        <v>1062.5999999999999</v>
      </c>
      <c r="G81" s="283">
        <f t="shared" si="20"/>
        <v>10.625999999999999</v>
      </c>
      <c r="H81" s="283">
        <f t="shared" si="21"/>
        <v>1051.9739999999999</v>
      </c>
      <c r="I81" s="283">
        <v>1051.97</v>
      </c>
      <c r="J81" s="283">
        <f t="shared" si="22"/>
        <v>-3.9999999999054126E-3</v>
      </c>
      <c r="K81" s="283">
        <v>0</v>
      </c>
      <c r="L81" s="283">
        <f>F81*1%</f>
        <v>10.625999999999999</v>
      </c>
      <c r="M81" s="283">
        <f>F81*1%</f>
        <v>10.625999999999999</v>
      </c>
      <c r="N81" s="283">
        <f t="shared" si="23"/>
        <v>10.625999999999999</v>
      </c>
      <c r="O81" s="283">
        <f t="shared" si="24"/>
        <v>21.251999999999999</v>
      </c>
      <c r="P81" s="283">
        <f t="shared" si="25"/>
        <v>1083.8519999999999</v>
      </c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>
        <f t="shared" ref="AC81:AC95" si="26">SUM(Q81:AB81)</f>
        <v>0</v>
      </c>
      <c r="AD81" s="198"/>
      <c r="AE81" s="199"/>
      <c r="AF81" s="199">
        <v>0</v>
      </c>
      <c r="AG81" s="199">
        <v>10.24</v>
      </c>
      <c r="AH81" s="199">
        <v>20.48</v>
      </c>
      <c r="AI81" s="199"/>
      <c r="AJ81" s="199"/>
      <c r="AK81" s="199"/>
      <c r="AL81" s="199"/>
    </row>
    <row r="82" spans="1:38" x14ac:dyDescent="0.25">
      <c r="A82" s="180"/>
      <c r="B82" s="282" t="s">
        <v>266</v>
      </c>
      <c r="C82" s="283">
        <f>7815+250+2100</f>
        <v>10165</v>
      </c>
      <c r="D82" s="283">
        <v>1000</v>
      </c>
      <c r="E82" s="307">
        <v>3812</v>
      </c>
      <c r="F82" s="283">
        <f t="shared" si="19"/>
        <v>14977</v>
      </c>
      <c r="G82" s="283">
        <f t="shared" si="20"/>
        <v>1867.31</v>
      </c>
      <c r="H82" s="283">
        <f t="shared" si="21"/>
        <v>13109.69</v>
      </c>
      <c r="I82" s="283">
        <v>13109.69</v>
      </c>
      <c r="J82" s="283">
        <f t="shared" si="22"/>
        <v>0</v>
      </c>
      <c r="K82" s="283">
        <v>1742.53</v>
      </c>
      <c r="L82" s="283">
        <v>124.78</v>
      </c>
      <c r="M82" s="283">
        <v>124.78</v>
      </c>
      <c r="N82" s="283">
        <f t="shared" si="23"/>
        <v>149.77000000000001</v>
      </c>
      <c r="O82" s="283">
        <f t="shared" si="24"/>
        <v>274.55</v>
      </c>
      <c r="P82" s="283">
        <f t="shared" si="25"/>
        <v>15251.55</v>
      </c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>
        <f t="shared" si="26"/>
        <v>0</v>
      </c>
      <c r="AD82" s="183"/>
      <c r="AE82" s="202"/>
      <c r="AF82" s="202"/>
      <c r="AG82" s="202"/>
      <c r="AH82" s="202"/>
      <c r="AI82" s="202"/>
      <c r="AJ82" s="202"/>
      <c r="AK82" s="202"/>
      <c r="AL82" s="202"/>
    </row>
    <row r="83" spans="1:38" x14ac:dyDescent="0.25">
      <c r="A83" s="180"/>
      <c r="B83" s="282" t="s">
        <v>78</v>
      </c>
      <c r="C83" s="283">
        <v>27987</v>
      </c>
      <c r="D83" s="283">
        <v>3720.0400000000009</v>
      </c>
      <c r="E83" s="305">
        <v>11443</v>
      </c>
      <c r="F83" s="283">
        <f t="shared" si="19"/>
        <v>43150.04</v>
      </c>
      <c r="G83" s="283">
        <f t="shared" si="20"/>
        <v>10857.300000000001</v>
      </c>
      <c r="H83" s="283">
        <f t="shared" si="21"/>
        <v>32292.739999999998</v>
      </c>
      <c r="I83" s="283">
        <v>32292.74</v>
      </c>
      <c r="J83" s="283">
        <f t="shared" si="22"/>
        <v>0</v>
      </c>
      <c r="K83" s="283">
        <v>10732.52</v>
      </c>
      <c r="L83" s="283">
        <f>249.56/2</f>
        <v>124.78</v>
      </c>
      <c r="M83" s="283">
        <v>124.78</v>
      </c>
      <c r="N83" s="283">
        <f t="shared" si="23"/>
        <v>431.50040000000001</v>
      </c>
      <c r="O83" s="283">
        <f t="shared" si="24"/>
        <v>556.28039999999999</v>
      </c>
      <c r="P83" s="283">
        <f t="shared" si="25"/>
        <v>43706.320400000004</v>
      </c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>
        <f t="shared" si="26"/>
        <v>0</v>
      </c>
      <c r="AD83" s="198"/>
      <c r="AE83" s="199"/>
      <c r="AF83" s="199">
        <v>10370.049999999999</v>
      </c>
      <c r="AG83" s="199">
        <v>421.14</v>
      </c>
      <c r="AH83" s="199">
        <v>249.56</v>
      </c>
      <c r="AI83" s="199"/>
      <c r="AJ83" s="199"/>
      <c r="AK83" s="199"/>
      <c r="AL83" s="199"/>
    </row>
    <row r="84" spans="1:38" x14ac:dyDescent="0.25">
      <c r="A84" s="180"/>
      <c r="B84" s="282" t="s">
        <v>200</v>
      </c>
      <c r="C84" s="283">
        <f>7109+250+2100</f>
        <v>9459</v>
      </c>
      <c r="D84" s="283">
        <v>0</v>
      </c>
      <c r="E84" s="307">
        <v>390</v>
      </c>
      <c r="F84" s="283">
        <f t="shared" si="19"/>
        <v>9849</v>
      </c>
      <c r="G84" s="283">
        <f t="shared" si="20"/>
        <v>917.98</v>
      </c>
      <c r="H84" s="283">
        <f t="shared" si="21"/>
        <v>8931.02</v>
      </c>
      <c r="I84" s="283">
        <v>8931.02</v>
      </c>
      <c r="J84" s="283">
        <f t="shared" si="22"/>
        <v>0</v>
      </c>
      <c r="K84" s="283">
        <v>819.49</v>
      </c>
      <c r="L84" s="283">
        <f>F84*1%</f>
        <v>98.490000000000009</v>
      </c>
      <c r="M84" s="283">
        <f>F84*1%</f>
        <v>98.490000000000009</v>
      </c>
      <c r="N84" s="283">
        <f t="shared" si="23"/>
        <v>98.490000000000009</v>
      </c>
      <c r="O84" s="283">
        <f t="shared" si="24"/>
        <v>196.98000000000002</v>
      </c>
      <c r="P84" s="283">
        <f t="shared" si="25"/>
        <v>10045.98</v>
      </c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>
        <f t="shared" si="26"/>
        <v>0</v>
      </c>
      <c r="AD84" s="198"/>
      <c r="AE84" s="199"/>
      <c r="AF84" s="199"/>
      <c r="AG84" s="199"/>
      <c r="AH84" s="199"/>
      <c r="AI84" s="199"/>
      <c r="AJ84" s="199"/>
      <c r="AK84" s="199"/>
      <c r="AL84" s="199"/>
    </row>
    <row r="85" spans="1:38" x14ac:dyDescent="0.25">
      <c r="A85" s="180"/>
      <c r="B85" s="282" t="s">
        <v>267</v>
      </c>
      <c r="C85" s="283">
        <f>16698+500</f>
        <v>17198</v>
      </c>
      <c r="D85" s="283">
        <v>602.06000000000131</v>
      </c>
      <c r="E85" s="307">
        <v>708</v>
      </c>
      <c r="F85" s="283">
        <f t="shared" si="19"/>
        <v>18508.060000000001</v>
      </c>
      <c r="G85" s="283">
        <f t="shared" si="20"/>
        <v>2865.13</v>
      </c>
      <c r="H85" s="283">
        <f t="shared" si="21"/>
        <v>15642.93</v>
      </c>
      <c r="I85" s="283">
        <v>17933.68</v>
      </c>
      <c r="J85" s="283">
        <f t="shared" si="22"/>
        <v>2290.75</v>
      </c>
      <c r="K85" s="283">
        <v>2740.35</v>
      </c>
      <c r="L85" s="283">
        <f>249.56/2</f>
        <v>124.78</v>
      </c>
      <c r="M85" s="283">
        <v>124.78</v>
      </c>
      <c r="N85" s="283">
        <f t="shared" si="23"/>
        <v>185.0806</v>
      </c>
      <c r="O85" s="283">
        <f t="shared" si="24"/>
        <v>309.86059999999998</v>
      </c>
      <c r="P85" s="283">
        <f t="shared" si="25"/>
        <v>18817.920600000001</v>
      </c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>
        <f t="shared" si="26"/>
        <v>0</v>
      </c>
      <c r="AD85" s="183"/>
      <c r="AE85" s="202"/>
      <c r="AF85" s="202"/>
      <c r="AG85" s="202"/>
      <c r="AH85" s="202"/>
      <c r="AI85" s="202"/>
      <c r="AJ85" s="202"/>
      <c r="AK85" s="202"/>
      <c r="AL85" s="202"/>
    </row>
    <row r="86" spans="1:38" x14ac:dyDescent="0.25">
      <c r="A86" s="180"/>
      <c r="B86" s="282" t="s">
        <v>70</v>
      </c>
      <c r="C86" s="283">
        <f>10905+250</f>
        <v>11155</v>
      </c>
      <c r="D86" s="283">
        <v>21.440000000000509</v>
      </c>
      <c r="E86" s="304">
        <v>3258</v>
      </c>
      <c r="F86" s="283">
        <f t="shared" si="19"/>
        <v>14434.44</v>
      </c>
      <c r="G86" s="283">
        <f t="shared" si="20"/>
        <v>1769.6499999999999</v>
      </c>
      <c r="H86" s="283">
        <f t="shared" si="21"/>
        <v>12664.79</v>
      </c>
      <c r="I86" s="283">
        <v>12664.79</v>
      </c>
      <c r="J86" s="283">
        <f t="shared" si="22"/>
        <v>0</v>
      </c>
      <c r="K86" s="283">
        <v>1644.87</v>
      </c>
      <c r="L86" s="283">
        <v>124.78</v>
      </c>
      <c r="M86" s="283">
        <v>124.78</v>
      </c>
      <c r="N86" s="283">
        <f t="shared" si="23"/>
        <v>144.34440000000001</v>
      </c>
      <c r="O86" s="283">
        <f t="shared" si="24"/>
        <v>269.12440000000004</v>
      </c>
      <c r="P86" s="283">
        <f t="shared" si="25"/>
        <v>14703.564400000001</v>
      </c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>
        <f t="shared" si="26"/>
        <v>0</v>
      </c>
      <c r="AD86" s="198"/>
      <c r="AE86" s="199"/>
      <c r="AF86" s="199">
        <v>1316.64</v>
      </c>
      <c r="AG86" s="199">
        <v>126.11</v>
      </c>
      <c r="AH86" s="199">
        <v>249.56</v>
      </c>
      <c r="AI86" s="199"/>
      <c r="AJ86" s="199"/>
      <c r="AK86" s="199"/>
      <c r="AL86" s="199"/>
    </row>
    <row r="87" spans="1:38" x14ac:dyDescent="0.25">
      <c r="A87" s="180"/>
      <c r="B87" s="282" t="s">
        <v>268</v>
      </c>
      <c r="C87" s="283">
        <f>12053+500+2100</f>
        <v>14653</v>
      </c>
      <c r="D87" s="283">
        <v>0</v>
      </c>
      <c r="E87" s="307">
        <v>3465</v>
      </c>
      <c r="F87" s="283">
        <f t="shared" si="19"/>
        <v>18118</v>
      </c>
      <c r="G87" s="283">
        <f t="shared" si="20"/>
        <v>2767.6200000000003</v>
      </c>
      <c r="H87" s="283">
        <f t="shared" si="21"/>
        <v>15350.38</v>
      </c>
      <c r="I87" s="283">
        <v>15350.38</v>
      </c>
      <c r="J87" s="283">
        <f t="shared" si="22"/>
        <v>0</v>
      </c>
      <c r="K87" s="283">
        <v>2642.84</v>
      </c>
      <c r="L87" s="283">
        <f>249.56/2</f>
        <v>124.78</v>
      </c>
      <c r="M87" s="283">
        <v>124.78</v>
      </c>
      <c r="N87" s="283">
        <f t="shared" si="23"/>
        <v>181.18</v>
      </c>
      <c r="O87" s="283">
        <f t="shared" si="24"/>
        <v>305.96000000000004</v>
      </c>
      <c r="P87" s="283">
        <f t="shared" si="25"/>
        <v>18423.96</v>
      </c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>
        <f t="shared" si="26"/>
        <v>0</v>
      </c>
      <c r="AD87" s="198"/>
      <c r="AE87" s="199"/>
      <c r="AF87" s="199"/>
      <c r="AG87" s="199"/>
      <c r="AH87" s="199"/>
      <c r="AI87" s="199"/>
      <c r="AJ87" s="199"/>
      <c r="AK87" s="199"/>
      <c r="AL87" s="199"/>
    </row>
    <row r="88" spans="1:38" x14ac:dyDescent="0.25">
      <c r="A88" s="180"/>
      <c r="B88" s="282" t="s">
        <v>269</v>
      </c>
      <c r="C88" s="283">
        <f>8128+500+2100</f>
        <v>10728</v>
      </c>
      <c r="D88" s="283">
        <v>0</v>
      </c>
      <c r="E88" s="307">
        <v>2246</v>
      </c>
      <c r="F88" s="283">
        <f t="shared" si="19"/>
        <v>12974</v>
      </c>
      <c r="G88" s="283">
        <f t="shared" si="20"/>
        <v>1506.77</v>
      </c>
      <c r="H88" s="283">
        <f t="shared" si="21"/>
        <v>11467.23</v>
      </c>
      <c r="I88" s="283">
        <v>11467.23</v>
      </c>
      <c r="J88" s="283">
        <f t="shared" si="22"/>
        <v>0</v>
      </c>
      <c r="K88" s="283">
        <v>1381.99</v>
      </c>
      <c r="L88" s="283">
        <v>124.78</v>
      </c>
      <c r="M88" s="283">
        <v>124.78</v>
      </c>
      <c r="N88" s="283">
        <f t="shared" si="23"/>
        <v>129.74</v>
      </c>
      <c r="O88" s="283">
        <f t="shared" si="24"/>
        <v>254.52</v>
      </c>
      <c r="P88" s="283">
        <f t="shared" si="25"/>
        <v>13228.52</v>
      </c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>
        <f t="shared" si="26"/>
        <v>0</v>
      </c>
      <c r="AD88" s="183"/>
      <c r="AE88" s="202"/>
      <c r="AF88" s="202"/>
      <c r="AG88" s="202"/>
      <c r="AH88" s="202"/>
      <c r="AI88" s="202"/>
      <c r="AJ88" s="202"/>
      <c r="AK88" s="202"/>
      <c r="AL88" s="202"/>
    </row>
    <row r="89" spans="1:38" x14ac:dyDescent="0.25">
      <c r="A89" s="180"/>
      <c r="B89" s="282" t="s">
        <v>108</v>
      </c>
      <c r="C89" s="283">
        <f>17195+500+2100</f>
        <v>19795</v>
      </c>
      <c r="D89" s="283">
        <v>7590.6299999999974</v>
      </c>
      <c r="E89" s="307">
        <v>9019</v>
      </c>
      <c r="F89" s="283">
        <f t="shared" si="19"/>
        <v>36404.629999999997</v>
      </c>
      <c r="G89" s="283">
        <f t="shared" si="20"/>
        <v>8117.84</v>
      </c>
      <c r="H89" s="283">
        <f t="shared" si="21"/>
        <v>28286.789999999997</v>
      </c>
      <c r="I89" s="283">
        <v>28286.79</v>
      </c>
      <c r="J89" s="283">
        <f t="shared" si="22"/>
        <v>0</v>
      </c>
      <c r="K89" s="283">
        <v>7993.06</v>
      </c>
      <c r="L89" s="283">
        <f>249.56/2</f>
        <v>124.78</v>
      </c>
      <c r="M89" s="283">
        <v>124.78</v>
      </c>
      <c r="N89" s="283">
        <f t="shared" si="23"/>
        <v>364.04629999999997</v>
      </c>
      <c r="O89" s="283">
        <f t="shared" si="24"/>
        <v>488.82629999999995</v>
      </c>
      <c r="P89" s="283">
        <f t="shared" si="25"/>
        <v>36893.456299999998</v>
      </c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>
        <f t="shared" si="26"/>
        <v>0</v>
      </c>
      <c r="AD89" s="198"/>
      <c r="AE89" s="199"/>
      <c r="AF89" s="199"/>
      <c r="AG89" s="199"/>
      <c r="AH89" s="199"/>
      <c r="AI89" s="199"/>
      <c r="AJ89" s="199"/>
      <c r="AK89" s="199"/>
      <c r="AL89" s="199"/>
    </row>
    <row r="90" spans="1:38" x14ac:dyDescent="0.25">
      <c r="A90" s="180"/>
      <c r="B90" s="282" t="s">
        <v>88</v>
      </c>
      <c r="C90" s="283">
        <f>15800+250</f>
        <v>16050</v>
      </c>
      <c r="D90" s="283">
        <v>1000</v>
      </c>
      <c r="E90" s="307">
        <v>5625</v>
      </c>
      <c r="F90" s="283">
        <f t="shared" si="19"/>
        <v>22675</v>
      </c>
      <c r="G90" s="283">
        <f t="shared" si="20"/>
        <v>3906.8700000000003</v>
      </c>
      <c r="H90" s="283">
        <f t="shared" si="21"/>
        <v>18768.13</v>
      </c>
      <c r="I90" s="283">
        <v>18768.13</v>
      </c>
      <c r="J90" s="283">
        <f t="shared" si="22"/>
        <v>0</v>
      </c>
      <c r="K90" s="283">
        <v>3782.09</v>
      </c>
      <c r="L90" s="283">
        <f>249.56/2</f>
        <v>124.78</v>
      </c>
      <c r="M90" s="283">
        <v>124.78</v>
      </c>
      <c r="N90" s="283">
        <f t="shared" si="23"/>
        <v>226.75</v>
      </c>
      <c r="O90" s="283">
        <f t="shared" si="24"/>
        <v>351.53</v>
      </c>
      <c r="P90" s="283">
        <f t="shared" si="25"/>
        <v>23026.53</v>
      </c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>
        <f t="shared" si="26"/>
        <v>0</v>
      </c>
      <c r="AD90" s="198"/>
      <c r="AE90" s="199"/>
      <c r="AF90" s="199"/>
      <c r="AG90" s="199"/>
      <c r="AH90" s="199"/>
      <c r="AI90" s="199"/>
      <c r="AJ90" s="199"/>
      <c r="AK90" s="199"/>
      <c r="AL90" s="199"/>
    </row>
    <row r="91" spans="1:38" x14ac:dyDescent="0.25">
      <c r="A91" s="180"/>
      <c r="B91" s="282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>
        <f t="shared" si="26"/>
        <v>0</v>
      </c>
      <c r="AD91" s="198"/>
      <c r="AE91" s="199"/>
      <c r="AF91" s="199"/>
      <c r="AG91" s="199"/>
      <c r="AH91" s="199"/>
      <c r="AI91" s="199"/>
      <c r="AJ91" s="199"/>
      <c r="AK91" s="199"/>
      <c r="AL91" s="199"/>
    </row>
    <row r="92" spans="1:38" ht="15.75" thickBot="1" x14ac:dyDescent="0.3">
      <c r="A92" s="180"/>
      <c r="B92" s="282"/>
      <c r="C92" s="284">
        <f t="shared" ref="C92:J92" si="27">SUM(C5:C91)</f>
        <v>1761018.41</v>
      </c>
      <c r="D92" s="284">
        <f t="shared" si="27"/>
        <v>138190.57999999999</v>
      </c>
      <c r="E92" s="284">
        <f t="shared" si="27"/>
        <v>330021</v>
      </c>
      <c r="F92" s="284">
        <f t="shared" si="27"/>
        <v>2229229.9899999993</v>
      </c>
      <c r="G92" s="284">
        <f t="shared" si="27"/>
        <v>476468.41280000011</v>
      </c>
      <c r="H92" s="284">
        <f t="shared" si="27"/>
        <v>1752761.5771999999</v>
      </c>
      <c r="I92" s="284">
        <f t="shared" si="27"/>
        <v>1766162.72</v>
      </c>
      <c r="J92" s="284">
        <f t="shared" si="27"/>
        <v>13401.142799999976</v>
      </c>
      <c r="K92" s="284">
        <f t="shared" ref="K92:P92" si="28">SUM(K5:K91)</f>
        <v>466448.48000000004</v>
      </c>
      <c r="L92" s="284">
        <f t="shared" si="28"/>
        <v>10019.932800000004</v>
      </c>
      <c r="M92" s="284">
        <f t="shared" si="28"/>
        <v>10019.932800000004</v>
      </c>
      <c r="N92" s="284">
        <f t="shared" si="28"/>
        <v>22292.299900000013</v>
      </c>
      <c r="O92" s="284">
        <f t="shared" si="28"/>
        <v>32312.232699999982</v>
      </c>
      <c r="P92" s="284">
        <f t="shared" si="28"/>
        <v>2261542.2226999993</v>
      </c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>
        <f t="shared" si="26"/>
        <v>0</v>
      </c>
      <c r="AD92" s="198"/>
      <c r="AE92" s="199"/>
      <c r="AF92" s="199"/>
      <c r="AG92" s="199"/>
      <c r="AH92" s="199"/>
      <c r="AI92" s="199"/>
      <c r="AJ92" s="199"/>
      <c r="AK92" s="199"/>
      <c r="AL92" s="199"/>
    </row>
    <row r="93" spans="1:38" ht="15.75" thickTop="1" x14ac:dyDescent="0.25">
      <c r="A93" s="180"/>
      <c r="B93" s="282"/>
      <c r="C93" s="283">
        <f>1625182.02+7325+34334.52+94176.87</f>
        <v>1761018.4100000001</v>
      </c>
      <c r="D93" s="283"/>
      <c r="E93" s="283"/>
      <c r="F93" s="283"/>
      <c r="G93" s="283"/>
      <c r="H93" s="283"/>
      <c r="I93" s="283"/>
      <c r="J93" s="283">
        <f>I92-H92</f>
        <v>13401.142800000031</v>
      </c>
      <c r="K93" s="283"/>
      <c r="L93" s="283"/>
      <c r="M93" s="283"/>
      <c r="N93" s="283"/>
      <c r="O93" s="283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>
        <f t="shared" si="26"/>
        <v>0</v>
      </c>
      <c r="AD93" s="183"/>
      <c r="AE93" s="202"/>
      <c r="AF93" s="202"/>
      <c r="AG93" s="202"/>
      <c r="AH93" s="202"/>
      <c r="AI93" s="202"/>
      <c r="AJ93" s="202"/>
      <c r="AK93" s="202"/>
      <c r="AL93" s="202"/>
    </row>
    <row r="94" spans="1:38" x14ac:dyDescent="0.25">
      <c r="A94" s="180"/>
      <c r="B94" s="282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>
        <f t="shared" si="26"/>
        <v>0</v>
      </c>
      <c r="AD94" s="198"/>
      <c r="AE94" s="199"/>
      <c r="AF94" s="199"/>
      <c r="AG94" s="199"/>
      <c r="AH94" s="199"/>
      <c r="AI94" s="199"/>
      <c r="AJ94" s="199"/>
      <c r="AK94" s="199"/>
      <c r="AL94" s="199"/>
    </row>
    <row r="95" spans="1:38" x14ac:dyDescent="0.25">
      <c r="A95" s="180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>
        <f t="shared" si="26"/>
        <v>0</v>
      </c>
      <c r="AD95" s="198"/>
      <c r="AE95" s="199"/>
      <c r="AF95" s="199"/>
      <c r="AG95" s="199"/>
      <c r="AH95" s="199"/>
      <c r="AI95" s="199"/>
      <c r="AJ95" s="199"/>
      <c r="AK95" s="199"/>
      <c r="AL95" s="199"/>
    </row>
    <row r="96" spans="1:38" x14ac:dyDescent="0.25">
      <c r="A96" s="180"/>
      <c r="D96" s="253" t="s">
        <v>274</v>
      </c>
      <c r="E96" s="278">
        <f>E86+E80+E69+E60+E59+E58+E41+E36+E31+E26+E15+E5+E13</f>
        <v>84789</v>
      </c>
      <c r="K96" s="278">
        <f>K86+K80+K69+K60+K59+K58+K41+K36+K31+K26+K15+K5+K13</f>
        <v>80964.079999999987</v>
      </c>
      <c r="L96" s="278">
        <f>L86+L80+L69+L60+L59+L58+L41+L36+L31+L26+L15+L5+L13</f>
        <v>1513.9588999999999</v>
      </c>
      <c r="M96" s="278">
        <f>M86+M80+M69+M60+M59+M58+M41+M36+M31+M26+M15+M5+M13</f>
        <v>1513.9588999999999</v>
      </c>
      <c r="N96" s="278">
        <f>N86+N80+N69+N60+N59+N58+N41+N36+N31+N26+N15+N5+N13</f>
        <v>3602.8095999999996</v>
      </c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98"/>
      <c r="AE96" s="199"/>
      <c r="AF96" s="278">
        <f>AF86+AF80+AF69+AF60+AF59+AF58+AF41+AF36+AF31+AF26+AF15+AF5+AF13</f>
        <v>66862.549999999988</v>
      </c>
      <c r="AG96" s="278">
        <f>AG86+AG80+AG69+AG60+AG59+AG58+AG41+AG36+AG31+AG26+AG15+AG5+AG13</f>
        <v>3161.4700000000003</v>
      </c>
      <c r="AH96" s="278">
        <f>AH86+AH80+AH69+AH60+AH59+AH58+AH41+AH36+AH31+AH26+AH15+AH5+AH13</f>
        <v>2914.24</v>
      </c>
      <c r="AI96" s="199"/>
      <c r="AJ96" s="199"/>
      <c r="AK96" s="199"/>
      <c r="AL96" s="199"/>
    </row>
    <row r="97" spans="1:38" x14ac:dyDescent="0.25">
      <c r="A97" s="180"/>
      <c r="B97" s="200"/>
      <c r="D97" s="253" t="s">
        <v>275</v>
      </c>
      <c r="E97" s="278">
        <f>+E83+E81+E66+E65+E64+E34+E27+E19</f>
        <v>44131</v>
      </c>
      <c r="K97" s="278">
        <f>+K83+K81+K66+K65+K64+K34+K27+K19</f>
        <v>49447.419999999991</v>
      </c>
      <c r="L97" s="278">
        <f>+L83+L81+L66+L65+L64+L34+L27+L19</f>
        <v>758.18489999999997</v>
      </c>
      <c r="M97" s="278">
        <f>+M83+M81+M66+M65+M64+M34+M27+M19</f>
        <v>758.18489999999997</v>
      </c>
      <c r="N97" s="278">
        <f>+N83+N81+N66+N65+N64+N34+N27+N19</f>
        <v>2017.0917999999999</v>
      </c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>
        <f t="shared" ref="AC97:AC112" si="29">SUM(Q97:AB97)</f>
        <v>0</v>
      </c>
      <c r="AD97" s="183"/>
      <c r="AF97" s="278">
        <f>+AF83+AF81+AF66+AF65+AF64+AF34+AF27+AF19</f>
        <v>32657.339999999997</v>
      </c>
      <c r="AG97" s="278">
        <f>+AG83+AG81+AG66+AG65+AG64+AG34+AG27+AG19</f>
        <v>1564.67</v>
      </c>
      <c r="AH97" s="278">
        <f>+AH83+AH81+AH66+AH65+AH64+AH34+AH27+AH19</f>
        <v>1469.8799999999999</v>
      </c>
    </row>
    <row r="98" spans="1:38" x14ac:dyDescent="0.25">
      <c r="A98" s="180"/>
      <c r="B98" s="200"/>
      <c r="D98" s="253" t="s">
        <v>276</v>
      </c>
      <c r="E98" s="278">
        <f>E90+E89+E88+E87+E85+E84+E82+E79+E77+E78+E76+E75+E74+E73+E72+E71+E70+E67+E63+E62+E61+E57+E56+E55+E54+E53+E52+E51+E50+E49+E48+E47+E45+E43+E42+E40+E39+E38+E37+E35+E33+E32+E30+E29+E25+E23+E22+E21+E20+E18+E17+E16+E14+E12+E11+E10+E8+E7+E6</f>
        <v>195861</v>
      </c>
      <c r="K98" s="278">
        <f>K90+K89+K88+K87+K85+K84+K82+K79+K77+K78+K76+K75+K74+K73+K72+K71+K70+K67+K63+K62+K61+K57+K56+K55+K54+K53+K52+K51+K50+K49+K48+K47+K45+K43+K42+K40+K39+K38+K37+K35+K33+K32+K30+K29+K25+K23+K22+K21+K20+K18+K17+K16+K14+K12+K11+K10+K8+K7+K6</f>
        <v>283957.53999999992</v>
      </c>
      <c r="L98" s="278">
        <f>L90+L89+L88+L87+L85+L84+L82+L79+L77+L78+L76+L75+L74+L73+L72+L71+L70+L67+L63+L62+L61+L57+L56+L55+L54+L53+L52+L51+L50+L49+L48+L47+L45+L43+L42+L40+L39+L38+L37+L35+L33+L32+L30+L29+L25+L23+L22+L21+L20+L18+L17+L16+L14+L12+L11+L10+L8+L7+L6</f>
        <v>7094.3589999999986</v>
      </c>
      <c r="M98" s="278">
        <f>M90+M89+M88+M87+M85+M84+M82+M79+M77+M78+M76+M75+M74+M73+M72+M71+M70+M67+M63+M62+M61+M57+M56+M55+M54+M53+M52+M51+M50+M49+M48+M47+M45+M43+M42+M40+M39+M38+M37+M35+M33+M32+M30+M29+M25+M23+M22+M21+M20+M18+M17+M16+M14+M12+M11+M10+M8+M7+M6</f>
        <v>7094.3589999999986</v>
      </c>
      <c r="N98" s="278">
        <f>N90+N89+N88+N87+N85+N84+N82+N79+N77+N78+N76+N75+N74+N73+N72+N71+N70+N67+N63+N62+N61+N57+N56+N55+N54+N53+N52+N51+N50+N49+N48+N47+N45+N43+N42+N40+N39+N38+N37+N35+N33+N32+N30+N29+N25+N23+N22+N21+N20+N18+N17+N16+N14+N12+N11+N10+N8+N7+N6</f>
        <v>14486.296099999998</v>
      </c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>
        <f t="shared" si="29"/>
        <v>0</v>
      </c>
      <c r="AD98" s="198"/>
      <c r="AE98" s="199"/>
      <c r="AF98" s="278">
        <f>AF90+AF89+AF88+AF87+AF85+AF84+AF82+AF79+AF77+AF78+AF76+AF75+AF74+AF73+AF72+AF71+AF70+AF67+AF63+AF62+AF61+AF57+AF56+AF55+AF54+AF53+AF52+AF51+AF50+AF49+AF48+AF47+AF45+AF43+AF42+AF40+AF39+AF38+AF37+AF35+AF33+AF32+AF30+AF29+AF25+AF23+AF22+AF21+AF20+AF18+AF17+AF16+AF14+AF12+AF11+AF10+AF8+AF7+AF6</f>
        <v>0</v>
      </c>
      <c r="AG98" s="278">
        <f>AG90+AG89+AG88+AG87+AG85+AG84+AG82+AG79+AG77+AG78+AG76+AG75+AG74+AG73+AG72+AG71+AG70+AG67+AG63+AG62+AG61+AG57+AG56+AG55+AG54+AG53+AG52+AG51+AG50+AG49+AG48+AG47+AG45+AG43+AG42+AG40+AG39+AG38+AG37+AG35+AG33+AG32+AG30+AG29+AG25+AG23+AG22+AG21+AG20+AG18+AG17+AG16+AG14+AG12+AG11+AG10+AG8+AG7+AG6</f>
        <v>0</v>
      </c>
      <c r="AH98" s="278">
        <f>AH90+AH89+AH88+AH87+AH85+AH84+AH82+AH79+AH77+AH78+AH76+AH75+AH74+AH73+AH72+AH71+AH70+AH67+AH63+AH62+AH61+AH57+AH56+AH55+AH54+AH53+AH52+AH51+AH50+AH49+AH48+AH47+AH45+AH43+AH42+AH40+AH39+AH38+AH37+AH35+AH33+AH32+AH30+AH29+AH25+AH23+AH22+AH21+AH20+AH18+AH17+AH16+AH14+AH12+AH11+AH10+AH8+AH7+AH6</f>
        <v>0</v>
      </c>
      <c r="AI98" s="199"/>
      <c r="AJ98" s="199"/>
      <c r="AK98" s="199"/>
      <c r="AL98" s="199"/>
    </row>
    <row r="99" spans="1:38" x14ac:dyDescent="0.25">
      <c r="A99" s="180"/>
      <c r="B99" s="200"/>
      <c r="D99" s="253" t="s">
        <v>277</v>
      </c>
      <c r="E99" s="278">
        <f>E68+E46+E24+E9</f>
        <v>5240</v>
      </c>
      <c r="K99" s="278">
        <f>K68+K46+K24+K9</f>
        <v>25593.02</v>
      </c>
      <c r="L99" s="278">
        <f>L68+L46+L24+L9</f>
        <v>487.15</v>
      </c>
      <c r="M99" s="278">
        <f>M68+M46+M24+M9</f>
        <v>487.15</v>
      </c>
      <c r="N99" s="278">
        <f>N68+N46+N24+N9</f>
        <v>1153.1024</v>
      </c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>
        <f t="shared" si="29"/>
        <v>0</v>
      </c>
      <c r="AD99" s="198"/>
      <c r="AE99" s="199"/>
      <c r="AF99" s="278">
        <f>AF68+AF46+AF24+AF9</f>
        <v>22656.13</v>
      </c>
      <c r="AG99" s="278">
        <f>AG68+AG46+AG24+AG9</f>
        <v>997.58</v>
      </c>
      <c r="AH99" s="278">
        <f>AH68+AH46+AH24+AH9</f>
        <v>941.46</v>
      </c>
      <c r="AI99" s="199"/>
      <c r="AJ99" s="199"/>
      <c r="AK99" s="199"/>
      <c r="AL99" s="199"/>
    </row>
    <row r="100" spans="1:38" x14ac:dyDescent="0.25">
      <c r="A100" s="180"/>
      <c r="B100" s="200"/>
      <c r="E100" s="278">
        <f>SUM(E96:E99)</f>
        <v>330021</v>
      </c>
      <c r="K100" s="278">
        <f>SUM(K96:K99)</f>
        <v>439962.05999999994</v>
      </c>
      <c r="L100" s="278">
        <f>SUM(L96:L99)</f>
        <v>9853.652799999998</v>
      </c>
      <c r="M100" s="278">
        <f>SUM(M96:M99)</f>
        <v>9853.652799999998</v>
      </c>
      <c r="N100" s="278">
        <f>SUM(N96:N99)</f>
        <v>21259.299899999998</v>
      </c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>
        <f t="shared" si="29"/>
        <v>0</v>
      </c>
      <c r="AD100" s="198"/>
      <c r="AE100" s="199"/>
      <c r="AF100" s="278">
        <f>SUM(AF96:AF99)</f>
        <v>122176.01999999999</v>
      </c>
      <c r="AG100" s="278">
        <f>SUM(AG96:AG99)</f>
        <v>5723.72</v>
      </c>
      <c r="AH100" s="278">
        <f>SUM(AH96:AH99)</f>
        <v>5325.58</v>
      </c>
      <c r="AI100" s="199"/>
      <c r="AJ100" s="199"/>
      <c r="AK100" s="199"/>
      <c r="AL100" s="199"/>
    </row>
    <row r="101" spans="1:38" x14ac:dyDescent="0.25">
      <c r="B101" s="200"/>
      <c r="K101" s="278">
        <v>401728.99</v>
      </c>
      <c r="M101" s="278">
        <v>19437.68</v>
      </c>
      <c r="N101" s="278">
        <v>19649.580000000002</v>
      </c>
      <c r="Q101" s="253"/>
      <c r="R101" s="253"/>
      <c r="S101" s="253"/>
      <c r="T101" s="253"/>
      <c r="U101" s="182"/>
      <c r="V101" s="253"/>
      <c r="W101" s="253"/>
      <c r="X101" s="182"/>
      <c r="Y101" s="253"/>
      <c r="Z101" s="253"/>
      <c r="AA101" s="253"/>
      <c r="AB101" s="253"/>
      <c r="AC101" s="253">
        <f t="shared" si="29"/>
        <v>0</v>
      </c>
    </row>
    <row r="102" spans="1:38" x14ac:dyDescent="0.25">
      <c r="A102" s="180"/>
      <c r="B102" s="200"/>
      <c r="E102" s="278">
        <f>E92-E100</f>
        <v>0</v>
      </c>
      <c r="K102" s="278">
        <f>K100-K101</f>
        <v>38233.069999999949</v>
      </c>
      <c r="M102" s="278">
        <f>M100+L100-M101</f>
        <v>269.62559999999576</v>
      </c>
      <c r="N102" s="278">
        <f>N100-N101</f>
        <v>1609.7198999999964</v>
      </c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>
        <f t="shared" si="29"/>
        <v>0</v>
      </c>
      <c r="AD102" s="198"/>
      <c r="AE102" s="199"/>
      <c r="AF102" s="199"/>
      <c r="AG102" s="199"/>
      <c r="AH102" s="199"/>
      <c r="AI102" s="199"/>
      <c r="AJ102" s="199"/>
      <c r="AK102" s="199"/>
      <c r="AL102" s="199"/>
    </row>
    <row r="103" spans="1:38" x14ac:dyDescent="0.25">
      <c r="A103" s="180"/>
      <c r="B103" s="200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>
        <f t="shared" si="29"/>
        <v>0</v>
      </c>
      <c r="AD103" s="183"/>
      <c r="AE103" s="202"/>
      <c r="AF103" s="202"/>
      <c r="AG103" s="202"/>
      <c r="AH103" s="202"/>
      <c r="AI103" s="202"/>
      <c r="AJ103" s="202"/>
      <c r="AK103" s="202"/>
      <c r="AL103" s="202"/>
    </row>
    <row r="104" spans="1:38" x14ac:dyDescent="0.25">
      <c r="A104" s="180"/>
      <c r="B104" s="200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>
        <f t="shared" si="29"/>
        <v>0</v>
      </c>
      <c r="AD104" s="198"/>
      <c r="AE104" s="199"/>
      <c r="AF104" s="199">
        <v>51590.93</v>
      </c>
      <c r="AG104" s="199">
        <v>1458.15</v>
      </c>
      <c r="AH104" s="199">
        <v>249.56</v>
      </c>
      <c r="AI104" s="199"/>
      <c r="AJ104" s="199"/>
      <c r="AK104" s="199"/>
      <c r="AL104" s="199"/>
    </row>
    <row r="105" spans="1:38" x14ac:dyDescent="0.25">
      <c r="A105" s="180"/>
      <c r="B105" s="200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>
        <f t="shared" si="29"/>
        <v>0</v>
      </c>
      <c r="AD105" s="198"/>
      <c r="AE105" s="199"/>
      <c r="AF105" s="199">
        <v>32764.93</v>
      </c>
      <c r="AG105" s="199">
        <v>987.5</v>
      </c>
      <c r="AH105" s="199">
        <v>249.56</v>
      </c>
      <c r="AI105" s="199"/>
      <c r="AJ105" s="199"/>
      <c r="AK105" s="199"/>
      <c r="AL105" s="199"/>
    </row>
    <row r="106" spans="1:38" x14ac:dyDescent="0.25">
      <c r="A106" s="180"/>
      <c r="B106" s="200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>
        <f t="shared" si="29"/>
        <v>0</v>
      </c>
      <c r="AD106" s="183"/>
      <c r="AE106" s="202"/>
      <c r="AF106" s="202">
        <v>1916.02</v>
      </c>
      <c r="AG106" s="202">
        <v>285.5</v>
      </c>
      <c r="AH106" s="202">
        <v>249.56</v>
      </c>
      <c r="AI106" s="202"/>
      <c r="AJ106" s="202"/>
      <c r="AK106" s="202"/>
      <c r="AL106" s="202"/>
    </row>
    <row r="107" spans="1:38" x14ac:dyDescent="0.25">
      <c r="A107" s="180"/>
      <c r="B107" s="200"/>
      <c r="Q107" s="223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>
        <f t="shared" si="29"/>
        <v>0</v>
      </c>
      <c r="AD107" s="198"/>
      <c r="AE107" s="199"/>
      <c r="AF107" s="199">
        <f>SUM(AF104:AF106)</f>
        <v>86271.88</v>
      </c>
      <c r="AG107" s="199">
        <f>SUM(AG104:AG106)</f>
        <v>2731.15</v>
      </c>
      <c r="AH107" s="199">
        <f>SUM(AH104:AH106)</f>
        <v>748.68000000000006</v>
      </c>
      <c r="AI107" s="199"/>
      <c r="AJ107" s="199"/>
      <c r="AK107" s="199"/>
      <c r="AL107" s="199"/>
    </row>
    <row r="108" spans="1:38" x14ac:dyDescent="0.25">
      <c r="A108" s="180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>
        <f t="shared" si="29"/>
        <v>0</v>
      </c>
      <c r="AD108" s="198"/>
      <c r="AE108" s="199"/>
      <c r="AF108" s="199"/>
      <c r="AG108" s="199"/>
      <c r="AH108" s="199"/>
      <c r="AI108" s="199"/>
      <c r="AJ108" s="199"/>
      <c r="AK108" s="199"/>
      <c r="AL108" s="199"/>
    </row>
    <row r="109" spans="1:38" x14ac:dyDescent="0.25">
      <c r="A109" s="180"/>
      <c r="B109" s="200"/>
      <c r="Q109" s="205"/>
      <c r="R109" s="205"/>
      <c r="S109" s="205"/>
      <c r="T109" s="205"/>
      <c r="U109" s="182"/>
      <c r="V109" s="205"/>
      <c r="W109" s="205"/>
      <c r="X109" s="182"/>
      <c r="Y109" s="205"/>
      <c r="Z109" s="205"/>
      <c r="AA109" s="205"/>
      <c r="AB109" s="205"/>
      <c r="AC109" s="182">
        <f t="shared" si="29"/>
        <v>0</v>
      </c>
      <c r="AD109" s="198"/>
      <c r="AE109" s="199"/>
      <c r="AF109" s="199"/>
      <c r="AG109" s="199"/>
      <c r="AH109" s="199"/>
      <c r="AI109" s="199"/>
      <c r="AJ109" s="199"/>
      <c r="AK109" s="199"/>
      <c r="AL109" s="199"/>
    </row>
    <row r="110" spans="1:38" x14ac:dyDescent="0.25">
      <c r="A110" s="180"/>
      <c r="B110" s="200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>
        <f t="shared" si="29"/>
        <v>0</v>
      </c>
      <c r="AD110" s="198"/>
      <c r="AE110" s="199"/>
      <c r="AF110" s="199">
        <v>401728.99</v>
      </c>
      <c r="AG110" s="199">
        <v>19649.580000000002</v>
      </c>
      <c r="AH110" s="199">
        <v>19437.68</v>
      </c>
      <c r="AI110" s="199"/>
      <c r="AJ110" s="199"/>
      <c r="AK110" s="199"/>
      <c r="AL110" s="199"/>
    </row>
    <row r="111" spans="1:38" x14ac:dyDescent="0.25">
      <c r="A111" s="180"/>
      <c r="B111" s="200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>
        <f t="shared" si="29"/>
        <v>0</v>
      </c>
      <c r="AD111" s="198"/>
      <c r="AE111" s="199"/>
      <c r="AF111" s="199">
        <f>AF110-AF100-AF107</f>
        <v>193281.08999999997</v>
      </c>
      <c r="AG111" s="199">
        <f>AG110-AG100-AG107</f>
        <v>11194.710000000001</v>
      </c>
      <c r="AH111" s="199">
        <f>AH110-AH100-AH107</f>
        <v>13363.42</v>
      </c>
      <c r="AI111" s="199"/>
      <c r="AJ111" s="199"/>
      <c r="AK111" s="199"/>
      <c r="AL111" s="199"/>
    </row>
    <row r="112" spans="1:38" x14ac:dyDescent="0.25">
      <c r="A112" s="180"/>
      <c r="B112" s="200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>
        <f t="shared" si="29"/>
        <v>0</v>
      </c>
      <c r="AD112" s="198"/>
      <c r="AE112" s="199"/>
      <c r="AF112" s="199"/>
      <c r="AG112" s="199"/>
      <c r="AH112" s="199"/>
      <c r="AI112" s="199"/>
      <c r="AJ112" s="199"/>
      <c r="AK112" s="199"/>
      <c r="AL112" s="199"/>
    </row>
    <row r="113" spans="1:38" x14ac:dyDescent="0.25">
      <c r="A113" s="180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98"/>
      <c r="AE113" s="199"/>
      <c r="AF113" s="199"/>
      <c r="AG113" s="199"/>
      <c r="AH113" s="199"/>
      <c r="AI113" s="199"/>
      <c r="AJ113" s="199"/>
      <c r="AK113" s="199"/>
      <c r="AL113" s="199"/>
    </row>
    <row r="114" spans="1:38" x14ac:dyDescent="0.25">
      <c r="A114" s="180"/>
      <c r="B114" s="200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>
        <f t="shared" ref="AC114:AC120" si="30">SUM(Q114:AB114)</f>
        <v>0</v>
      </c>
      <c r="AD114" s="198"/>
      <c r="AE114" s="199"/>
      <c r="AF114" s="199"/>
      <c r="AG114" s="199"/>
      <c r="AH114" s="199"/>
      <c r="AI114" s="199"/>
      <c r="AJ114" s="199"/>
      <c r="AK114" s="199"/>
      <c r="AL114" s="199"/>
    </row>
    <row r="115" spans="1:38" x14ac:dyDescent="0.25">
      <c r="A115" s="180"/>
      <c r="B115" s="200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>
        <f t="shared" si="30"/>
        <v>0</v>
      </c>
      <c r="AD115" s="198"/>
      <c r="AE115" s="199"/>
      <c r="AF115" s="199"/>
      <c r="AG115" s="199"/>
      <c r="AH115" s="199"/>
      <c r="AI115" s="199"/>
      <c r="AJ115" s="199"/>
      <c r="AK115" s="199"/>
      <c r="AL115" s="199"/>
    </row>
    <row r="116" spans="1:38" x14ac:dyDescent="0.25">
      <c r="A116" s="180"/>
      <c r="B116" s="200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>
        <f t="shared" si="30"/>
        <v>0</v>
      </c>
      <c r="AD116" s="198"/>
      <c r="AE116" s="199"/>
      <c r="AF116" s="199"/>
      <c r="AG116" s="199"/>
      <c r="AH116" s="199"/>
      <c r="AI116" s="199"/>
      <c r="AJ116" s="199"/>
      <c r="AK116" s="199"/>
      <c r="AL116" s="199"/>
    </row>
    <row r="117" spans="1:38" x14ac:dyDescent="0.25">
      <c r="A117" s="180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>
        <f t="shared" si="30"/>
        <v>0</v>
      </c>
      <c r="AD117" s="198"/>
      <c r="AE117" s="199"/>
      <c r="AF117" s="199"/>
      <c r="AG117" s="199"/>
      <c r="AH117" s="199"/>
      <c r="AI117" s="199"/>
      <c r="AJ117" s="199"/>
      <c r="AK117" s="199"/>
      <c r="AL117" s="199"/>
    </row>
    <row r="118" spans="1:38" x14ac:dyDescent="0.25">
      <c r="A118" s="180"/>
      <c r="B118" s="200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>
        <f t="shared" si="30"/>
        <v>0</v>
      </c>
      <c r="AD118" s="198"/>
      <c r="AE118" s="199"/>
      <c r="AF118" s="199"/>
      <c r="AG118" s="199"/>
      <c r="AH118" s="199"/>
      <c r="AI118" s="199"/>
      <c r="AJ118" s="199"/>
      <c r="AK118" s="199"/>
      <c r="AL118" s="199"/>
    </row>
    <row r="119" spans="1:38" x14ac:dyDescent="0.25">
      <c r="A119" s="180"/>
      <c r="B119" s="200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>
        <f t="shared" si="30"/>
        <v>0</v>
      </c>
      <c r="AD119" s="198"/>
      <c r="AE119" s="199"/>
      <c r="AF119" s="199"/>
      <c r="AG119" s="199"/>
      <c r="AH119" s="199"/>
      <c r="AI119" s="199"/>
      <c r="AJ119" s="199"/>
      <c r="AK119" s="199"/>
      <c r="AL119" s="199"/>
    </row>
    <row r="120" spans="1:38" x14ac:dyDescent="0.25">
      <c r="A120" s="180"/>
      <c r="B120" s="200"/>
      <c r="Q120" s="205"/>
      <c r="R120" s="205"/>
      <c r="S120" s="205"/>
      <c r="T120" s="205"/>
      <c r="U120" s="182"/>
      <c r="V120" s="205"/>
      <c r="W120" s="205"/>
      <c r="X120" s="182"/>
      <c r="Y120" s="205"/>
      <c r="Z120" s="205"/>
      <c r="AA120" s="205"/>
      <c r="AB120" s="205"/>
      <c r="AC120" s="182">
        <f t="shared" si="30"/>
        <v>0</v>
      </c>
      <c r="AD120" s="198"/>
      <c r="AE120" s="199"/>
      <c r="AF120" s="199"/>
      <c r="AG120" s="199"/>
      <c r="AH120" s="199"/>
      <c r="AI120" s="199"/>
      <c r="AJ120" s="199"/>
      <c r="AK120" s="199"/>
      <c r="AL120" s="199"/>
    </row>
    <row r="121" spans="1:38" x14ac:dyDescent="0.25">
      <c r="A121" s="180"/>
      <c r="B121" s="200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182"/>
      <c r="AD121" s="198"/>
      <c r="AE121" s="199"/>
      <c r="AF121" s="199"/>
      <c r="AG121" s="199"/>
      <c r="AH121" s="199"/>
      <c r="AI121" s="199"/>
      <c r="AJ121" s="199"/>
      <c r="AK121" s="199"/>
      <c r="AL121" s="199"/>
    </row>
    <row r="122" spans="1:38" x14ac:dyDescent="0.25">
      <c r="A122" s="180"/>
      <c r="B122" s="200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182"/>
      <c r="AD122" s="198"/>
      <c r="AE122" s="199"/>
      <c r="AF122" s="199"/>
      <c r="AG122" s="199"/>
      <c r="AH122" s="199"/>
      <c r="AI122" s="199"/>
      <c r="AJ122" s="199"/>
      <c r="AK122" s="199"/>
      <c r="AL122" s="199"/>
    </row>
    <row r="123" spans="1:38" x14ac:dyDescent="0.25">
      <c r="A123" s="180"/>
      <c r="B123" s="185"/>
      <c r="C123" s="261"/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>
        <f t="shared" ref="AC123:AC129" si="31">SUM(Q123:AB123)</f>
        <v>0</v>
      </c>
      <c r="AD123" s="198"/>
      <c r="AE123" s="199"/>
      <c r="AF123" s="199"/>
      <c r="AG123" s="199"/>
      <c r="AH123" s="199"/>
      <c r="AI123" s="199"/>
      <c r="AJ123" s="199"/>
      <c r="AK123" s="199"/>
      <c r="AL123" s="199"/>
    </row>
    <row r="124" spans="1:38" x14ac:dyDescent="0.25">
      <c r="A124" s="180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>
        <f t="shared" si="31"/>
        <v>0</v>
      </c>
      <c r="AD124" s="189"/>
      <c r="AE124" s="190"/>
      <c r="AF124" s="190"/>
      <c r="AG124" s="190"/>
      <c r="AH124" s="190"/>
      <c r="AI124" s="190"/>
      <c r="AJ124" s="190"/>
      <c r="AK124" s="190"/>
      <c r="AL124" s="190"/>
    </row>
    <row r="125" spans="1:38" x14ac:dyDescent="0.25">
      <c r="A125" s="180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>
        <f t="shared" si="31"/>
        <v>0</v>
      </c>
      <c r="AD125" s="198"/>
      <c r="AE125" s="199"/>
      <c r="AF125" s="199"/>
      <c r="AG125" s="199"/>
      <c r="AH125" s="199"/>
      <c r="AI125" s="199"/>
      <c r="AJ125" s="199"/>
      <c r="AK125" s="199"/>
      <c r="AL125" s="199"/>
    </row>
    <row r="126" spans="1:38" x14ac:dyDescent="0.25">
      <c r="A126" s="180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>
        <f t="shared" si="31"/>
        <v>0</v>
      </c>
      <c r="AD126" s="198"/>
      <c r="AE126" s="199"/>
      <c r="AF126" s="199"/>
      <c r="AG126" s="199"/>
      <c r="AH126" s="199"/>
      <c r="AI126" s="199"/>
      <c r="AJ126" s="199"/>
      <c r="AK126" s="199"/>
      <c r="AL126" s="199"/>
    </row>
    <row r="127" spans="1:38" x14ac:dyDescent="0.25">
      <c r="A127" s="180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>
        <f t="shared" si="31"/>
        <v>0</v>
      </c>
      <c r="AD127" s="183"/>
      <c r="AE127" s="202"/>
      <c r="AF127" s="202"/>
      <c r="AG127" s="202"/>
      <c r="AH127" s="202"/>
      <c r="AI127" s="202"/>
      <c r="AJ127" s="202"/>
      <c r="AK127" s="202"/>
      <c r="AL127" s="202"/>
    </row>
    <row r="128" spans="1:38" x14ac:dyDescent="0.25">
      <c r="A128" s="180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>
        <f t="shared" si="31"/>
        <v>0</v>
      </c>
      <c r="AD128" s="198"/>
      <c r="AE128" s="199"/>
      <c r="AF128" s="199"/>
      <c r="AG128" s="199"/>
      <c r="AH128" s="199"/>
      <c r="AI128" s="199"/>
      <c r="AJ128" s="199"/>
      <c r="AK128" s="199"/>
      <c r="AL128" s="199"/>
    </row>
    <row r="129" spans="1:38" x14ac:dyDescent="0.25">
      <c r="A129" s="180"/>
      <c r="B129" s="200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>
        <f t="shared" si="31"/>
        <v>0</v>
      </c>
      <c r="AD129" s="198"/>
      <c r="AE129" s="199"/>
      <c r="AF129" s="199"/>
      <c r="AG129" s="199"/>
      <c r="AH129" s="199"/>
      <c r="AI129" s="199"/>
      <c r="AJ129" s="199"/>
      <c r="AK129" s="199"/>
      <c r="AL129" s="199"/>
    </row>
    <row r="130" spans="1:38" x14ac:dyDescent="0.25">
      <c r="A130" s="180"/>
      <c r="Q130" s="215"/>
      <c r="R130" s="195"/>
      <c r="S130" s="294"/>
      <c r="T130" s="195"/>
      <c r="U130" s="195"/>
      <c r="V130" s="195"/>
      <c r="W130" s="197"/>
      <c r="X130" s="197"/>
      <c r="Y130" s="197"/>
      <c r="Z130" s="218"/>
      <c r="AA130" s="197"/>
      <c r="AB130" s="197"/>
      <c r="AC130" s="197"/>
      <c r="AD130" s="183"/>
      <c r="AE130" s="202"/>
      <c r="AF130" s="202"/>
      <c r="AG130" s="202"/>
      <c r="AH130" s="202"/>
      <c r="AI130" s="202"/>
      <c r="AJ130" s="202"/>
      <c r="AK130" s="202"/>
      <c r="AL130" s="202"/>
    </row>
    <row r="131" spans="1:38" ht="18.75" x14ac:dyDescent="0.25">
      <c r="A131" s="180"/>
      <c r="B131" s="269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94">
        <f>SUM(Q132:Q133)</f>
        <v>0</v>
      </c>
      <c r="R131" s="294">
        <f>SUM(R132:R133)</f>
        <v>0</v>
      </c>
      <c r="S131" s="294">
        <f t="shared" ref="S131:AC131" si="32">SUM(S132:S133)</f>
        <v>0</v>
      </c>
      <c r="T131" s="294">
        <f t="shared" si="32"/>
        <v>0</v>
      </c>
      <c r="U131" s="294">
        <f t="shared" si="32"/>
        <v>0</v>
      </c>
      <c r="V131" s="294">
        <f t="shared" si="32"/>
        <v>0</v>
      </c>
      <c r="W131" s="294">
        <f t="shared" si="32"/>
        <v>0</v>
      </c>
      <c r="X131" s="294">
        <f t="shared" si="32"/>
        <v>0</v>
      </c>
      <c r="Y131" s="294">
        <f t="shared" si="32"/>
        <v>0</v>
      </c>
      <c r="Z131" s="294">
        <f t="shared" si="32"/>
        <v>0</v>
      </c>
      <c r="AA131" s="294">
        <f t="shared" si="32"/>
        <v>0</v>
      </c>
      <c r="AB131" s="294">
        <f t="shared" si="32"/>
        <v>0</v>
      </c>
      <c r="AC131" s="294">
        <f t="shared" si="32"/>
        <v>0</v>
      </c>
      <c r="AD131" s="198"/>
      <c r="AE131" s="199"/>
      <c r="AF131" s="199"/>
      <c r="AG131" s="199"/>
      <c r="AH131" s="199"/>
      <c r="AI131" s="199"/>
      <c r="AJ131" s="199"/>
      <c r="AK131" s="199"/>
      <c r="AL131" s="199"/>
    </row>
    <row r="132" spans="1:38" x14ac:dyDescent="0.25">
      <c r="A132" s="180"/>
      <c r="B132" s="221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>
        <f>SUM(Q132:AB132)</f>
        <v>0</v>
      </c>
      <c r="AD132" s="189"/>
      <c r="AE132" s="190"/>
      <c r="AF132" s="190"/>
      <c r="AG132" s="190"/>
      <c r="AH132" s="190"/>
      <c r="AI132" s="190"/>
      <c r="AJ132" s="190"/>
      <c r="AK132" s="190"/>
      <c r="AL132" s="190"/>
    </row>
    <row r="133" spans="1:38" x14ac:dyDescent="0.25">
      <c r="A133" s="180"/>
      <c r="B133" s="221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>
        <f>SUM(Q133:AB133)</f>
        <v>0</v>
      </c>
      <c r="AD133" s="211"/>
      <c r="AE133" s="212"/>
      <c r="AF133" s="212"/>
      <c r="AG133" s="212"/>
      <c r="AH133" s="212"/>
      <c r="AI133" s="212"/>
      <c r="AJ133" s="212"/>
      <c r="AK133" s="212"/>
      <c r="AL133" s="212"/>
    </row>
    <row r="134" spans="1:38" x14ac:dyDescent="0.25">
      <c r="A134" s="180"/>
      <c r="B134" s="221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295"/>
      <c r="AD134" s="211"/>
      <c r="AE134" s="212"/>
      <c r="AF134" s="212"/>
      <c r="AG134" s="212"/>
      <c r="AH134" s="212"/>
      <c r="AI134" s="212"/>
      <c r="AJ134" s="212"/>
      <c r="AK134" s="212"/>
      <c r="AL134" s="212"/>
    </row>
    <row r="135" spans="1:38" ht="18.75" x14ac:dyDescent="0.25">
      <c r="A135" s="180"/>
      <c r="B135" s="269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94">
        <f t="shared" ref="Q135:AC135" si="33">SUM(Q136:Q141)</f>
        <v>0</v>
      </c>
      <c r="R135" s="294">
        <f t="shared" si="33"/>
        <v>0</v>
      </c>
      <c r="S135" s="294">
        <f t="shared" si="33"/>
        <v>0</v>
      </c>
      <c r="T135" s="294">
        <f t="shared" si="33"/>
        <v>0</v>
      </c>
      <c r="U135" s="294">
        <f t="shared" si="33"/>
        <v>0</v>
      </c>
      <c r="V135" s="294">
        <f t="shared" si="33"/>
        <v>0</v>
      </c>
      <c r="W135" s="294">
        <f t="shared" si="33"/>
        <v>0</v>
      </c>
      <c r="X135" s="294">
        <f t="shared" si="33"/>
        <v>0</v>
      </c>
      <c r="Y135" s="294">
        <f t="shared" si="33"/>
        <v>0</v>
      </c>
      <c r="Z135" s="294">
        <f t="shared" si="33"/>
        <v>0</v>
      </c>
      <c r="AA135" s="294">
        <f t="shared" si="33"/>
        <v>0</v>
      </c>
      <c r="AB135" s="294">
        <f t="shared" si="33"/>
        <v>0</v>
      </c>
      <c r="AC135" s="294">
        <f t="shared" si="33"/>
        <v>0</v>
      </c>
      <c r="AD135" s="198"/>
      <c r="AE135" s="199"/>
      <c r="AF135" s="199"/>
      <c r="AG135" s="199"/>
      <c r="AH135" s="199"/>
      <c r="AI135" s="199"/>
      <c r="AJ135" s="199"/>
      <c r="AK135" s="199"/>
      <c r="AL135" s="199"/>
    </row>
    <row r="136" spans="1:38" x14ac:dyDescent="0.25">
      <c r="A136" s="180"/>
      <c r="Q136" s="223"/>
      <c r="R136" s="223"/>
      <c r="S136" s="223"/>
      <c r="T136" s="223"/>
      <c r="U136" s="182"/>
      <c r="V136" s="223"/>
      <c r="W136" s="223"/>
      <c r="X136" s="182"/>
      <c r="Y136" s="223"/>
      <c r="Z136" s="223"/>
      <c r="AA136" s="223"/>
      <c r="AB136" s="223"/>
      <c r="AC136" s="182">
        <f>SUM(Q136:AB136)</f>
        <v>0</v>
      </c>
      <c r="AD136" s="198"/>
      <c r="AE136" s="199"/>
      <c r="AF136" s="199"/>
      <c r="AG136" s="199"/>
      <c r="AH136" s="199"/>
      <c r="AI136" s="199"/>
      <c r="AJ136" s="199"/>
      <c r="AK136" s="199"/>
      <c r="AL136" s="199"/>
    </row>
    <row r="137" spans="1:38" x14ac:dyDescent="0.25">
      <c r="A137" s="180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>
        <f>SUM(Q137:AB137)</f>
        <v>0</v>
      </c>
      <c r="AD137" s="198"/>
      <c r="AE137" s="199"/>
      <c r="AF137" s="199"/>
      <c r="AG137" s="199"/>
      <c r="AH137" s="199"/>
      <c r="AI137" s="199"/>
      <c r="AJ137" s="199"/>
      <c r="AK137" s="199"/>
      <c r="AL137" s="199"/>
    </row>
    <row r="138" spans="1:38" x14ac:dyDescent="0.25">
      <c r="A138" s="180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>
        <f>SUM(Q138:AB138)</f>
        <v>0</v>
      </c>
      <c r="AD138" s="198"/>
      <c r="AE138" s="199"/>
      <c r="AF138" s="199"/>
      <c r="AG138" s="199"/>
      <c r="AH138" s="199"/>
      <c r="AI138" s="199"/>
      <c r="AJ138" s="199"/>
      <c r="AK138" s="199"/>
      <c r="AL138" s="199"/>
    </row>
    <row r="139" spans="1:38" x14ac:dyDescent="0.25">
      <c r="A139" s="180"/>
      <c r="B139" s="225">
        <v>55000</v>
      </c>
      <c r="C139" s="261"/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/>
      <c r="AB139" s="223"/>
      <c r="AC139" s="182">
        <f>SUM(Q139:AB139)</f>
        <v>0</v>
      </c>
      <c r="AD139" s="183"/>
    </row>
    <row r="140" spans="1:38" x14ac:dyDescent="0.25">
      <c r="A140" s="180"/>
      <c r="B140" s="225"/>
      <c r="C140" s="261"/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/>
      <c r="AB140" s="223"/>
      <c r="AC140" s="182"/>
      <c r="AD140" s="183"/>
    </row>
    <row r="141" spans="1:38" x14ac:dyDescent="0.25">
      <c r="A141" s="180"/>
      <c r="B141" s="225"/>
      <c r="C141" s="261"/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/>
      <c r="AB141" s="223"/>
      <c r="AC141" s="182"/>
      <c r="AD141" s="183"/>
    </row>
    <row r="142" spans="1:38" ht="15.75" thickBot="1" x14ac:dyDescent="0.3">
      <c r="A142" s="180"/>
      <c r="B142" s="187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296"/>
      <c r="AD142" s="189"/>
      <c r="AE142" s="190"/>
      <c r="AF142" s="190"/>
      <c r="AG142" s="190"/>
      <c r="AH142" s="190"/>
      <c r="AI142" s="190"/>
      <c r="AJ142" s="190"/>
      <c r="AK142" s="190"/>
      <c r="AL142" s="190"/>
    </row>
    <row r="143" spans="1:38" s="233" customFormat="1" ht="17.25" thickTop="1" thickBot="1" x14ac:dyDescent="0.3">
      <c r="A143" s="227"/>
      <c r="B143" s="270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97" t="e">
        <f>Q5+Q13+Q31+#REF!+Q44+Q54+Q60+Q67+Q131+Q135+#REF!</f>
        <v>#REF!</v>
      </c>
      <c r="R143" s="297" t="e">
        <f>R5+R13+R31+#REF!+R44+R54+R60+R67+R131+R135+#REF!</f>
        <v>#REF!</v>
      </c>
      <c r="S143" s="297" t="e">
        <f>S5+S13+S31+#REF!+S44+S54+S60+S67+S131+S135+#REF!</f>
        <v>#REF!</v>
      </c>
      <c r="T143" s="297" t="e">
        <f>T5+T13+T31+#REF!+T44+T54+T60+T67+T131+T135+#REF!</f>
        <v>#REF!</v>
      </c>
      <c r="U143" s="297" t="e">
        <f>U5+U13+U31+#REF!+U44+U54+U60+U67+U131+U135+#REF!</f>
        <v>#REF!</v>
      </c>
      <c r="V143" s="297" t="e">
        <f>V5+V13+V31+#REF!+V44+V54+V60+V67+V131+V135+#REF!</f>
        <v>#REF!</v>
      </c>
      <c r="W143" s="297" t="e">
        <f>W5+W13+W31+#REF!+W44+W54+W60+W67+W131+W135+#REF!</f>
        <v>#REF!</v>
      </c>
      <c r="X143" s="297" t="e">
        <f>X5+X13+X31+#REF!+X44+X54+X60+X67+X131+X135+#REF!</f>
        <v>#REF!</v>
      </c>
      <c r="Y143" s="297" t="e">
        <f>Y5+Y13+Y31+#REF!+Y44+Y54+Y60+Y67+Y131+Y135+#REF!</f>
        <v>#REF!</v>
      </c>
      <c r="Z143" s="297" t="e">
        <f>Z5+Z13+Z31+#REF!+Z44+Z54+Z60+Z67+Z131+Z135+#REF!</f>
        <v>#REF!</v>
      </c>
      <c r="AA143" s="297" t="e">
        <f>AA5+AA13+AA31+#REF!+AA44+AA54+AA60+AA67+AA131+AA135+#REF!</f>
        <v>#REF!</v>
      </c>
      <c r="AB143" s="297" t="e">
        <f>AB5+AB13+AB31+#REF!+AB44+AB54+AB60+AB67+AB131+AB135+#REF!</f>
        <v>#REF!</v>
      </c>
      <c r="AC143" s="297" t="e">
        <f>SUM(Q143:AB143)</f>
        <v>#REF!</v>
      </c>
      <c r="AD143" s="231"/>
      <c r="AE143" s="232"/>
      <c r="AF143" s="232"/>
      <c r="AG143" s="232"/>
      <c r="AH143" s="232"/>
      <c r="AI143" s="232"/>
      <c r="AJ143" s="232"/>
      <c r="AK143" s="232"/>
      <c r="AL143" s="232"/>
    </row>
    <row r="144" spans="1:38" ht="15.75" thickTop="1" x14ac:dyDescent="0.25">
      <c r="A144" s="180"/>
      <c r="B144" s="271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98"/>
      <c r="R144" s="298"/>
      <c r="S144" s="298" t="s">
        <v>4</v>
      </c>
      <c r="T144" s="298"/>
      <c r="U144" s="298"/>
      <c r="V144" s="298"/>
      <c r="W144" s="298"/>
      <c r="X144" s="298"/>
      <c r="Y144" s="298"/>
      <c r="Z144" s="298"/>
      <c r="AA144" s="298"/>
      <c r="AB144" s="299"/>
      <c r="AC144" s="263" t="e">
        <f>AC5+AC13+AC31+#REF!+AC44+AC54+AC60+AC67+AC131+AC135+#REF!</f>
        <v>#REF!</v>
      </c>
      <c r="AD144" s="183"/>
    </row>
    <row r="145" spans="1:30" ht="15.75" thickBot="1" x14ac:dyDescent="0.3">
      <c r="A145" s="239"/>
      <c r="B145" s="272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1"/>
      <c r="AC145" s="264"/>
      <c r="AD145" s="245"/>
    </row>
    <row r="146" spans="1:30" ht="15.75" thickTop="1" x14ac:dyDescent="0.25"/>
    <row r="147" spans="1:30" x14ac:dyDescent="0.25">
      <c r="Q147" s="250" t="s"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4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1.7109375" style="156" customWidth="1"/>
    <col min="2" max="2" width="42.42578125" style="246" customWidth="1"/>
    <col min="3" max="3" width="2.5703125" style="156" customWidth="1"/>
    <col min="4" max="4" width="16.140625" style="247" bestFit="1" customWidth="1"/>
    <col min="5" max="14" width="17.42578125" style="247" customWidth="1"/>
    <col min="15" max="15" width="17.42578125" style="248" customWidth="1"/>
    <col min="16" max="16" width="18.5703125" style="249" customWidth="1"/>
    <col min="17" max="17" width="1.28515625" style="156" customWidth="1"/>
    <col min="18" max="16384" width="9.140625" style="156"/>
  </cols>
  <sheetData>
    <row r="1" spans="1:25" ht="15.75" thickTop="1" x14ac:dyDescent="0.25">
      <c r="A1" s="149"/>
      <c r="B1" s="150"/>
      <c r="C1" s="151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54"/>
      <c r="Q1" s="155"/>
    </row>
    <row r="2" spans="1:25" s="165" customFormat="1" ht="26.25" x14ac:dyDescent="0.4">
      <c r="A2" s="157"/>
      <c r="B2" s="158" t="s">
        <v>33</v>
      </c>
      <c r="C2" s="159"/>
      <c r="D2" s="160" t="s">
        <v>57</v>
      </c>
      <c r="E2" s="161" t="s">
        <v>46</v>
      </c>
      <c r="F2" s="161" t="s">
        <v>47</v>
      </c>
      <c r="G2" s="161" t="s">
        <v>48</v>
      </c>
      <c r="H2" s="161" t="s">
        <v>49</v>
      </c>
      <c r="I2" s="161" t="s">
        <v>50</v>
      </c>
      <c r="J2" s="161" t="s">
        <v>51</v>
      </c>
      <c r="K2" s="161" t="s">
        <v>52</v>
      </c>
      <c r="L2" s="161" t="s">
        <v>53</v>
      </c>
      <c r="M2" s="161" t="s">
        <v>54</v>
      </c>
      <c r="N2" s="162" t="s">
        <v>56</v>
      </c>
      <c r="O2" s="161" t="s">
        <v>55</v>
      </c>
      <c r="P2" s="163" t="s">
        <v>59</v>
      </c>
      <c r="Q2" s="164"/>
    </row>
    <row r="3" spans="1:25" s="165" customFormat="1" ht="15.75" thickBot="1" x14ac:dyDescent="0.3">
      <c r="A3" s="166"/>
      <c r="B3" s="167"/>
      <c r="C3" s="168"/>
      <c r="D3" s="169" t="s">
        <v>14</v>
      </c>
      <c r="E3" s="169" t="s">
        <v>14</v>
      </c>
      <c r="F3" s="169" t="s">
        <v>14</v>
      </c>
      <c r="G3" s="169" t="s">
        <v>14</v>
      </c>
      <c r="H3" s="169" t="s">
        <v>14</v>
      </c>
      <c r="I3" s="169" t="s">
        <v>14</v>
      </c>
      <c r="J3" s="169" t="s">
        <v>14</v>
      </c>
      <c r="K3" s="169" t="s">
        <v>14</v>
      </c>
      <c r="L3" s="169" t="s">
        <v>14</v>
      </c>
      <c r="M3" s="169" t="s">
        <v>14</v>
      </c>
      <c r="N3" s="169" t="s">
        <v>14</v>
      </c>
      <c r="O3" s="169" t="s">
        <v>14</v>
      </c>
      <c r="P3" s="169" t="s">
        <v>14</v>
      </c>
      <c r="Q3" s="170"/>
    </row>
    <row r="4" spans="1:25" s="165" customFormat="1" x14ac:dyDescent="0.25">
      <c r="A4" s="157"/>
      <c r="B4" s="171"/>
      <c r="C4" s="172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4"/>
    </row>
    <row r="5" spans="1:25" s="179" customFormat="1" ht="18.75" x14ac:dyDescent="0.25">
      <c r="A5" s="173"/>
      <c r="B5" s="174" t="s">
        <v>64</v>
      </c>
      <c r="C5" s="175"/>
      <c r="D5" s="176">
        <f>SUM(D6:D14)</f>
        <v>232827</v>
      </c>
      <c r="E5" s="176">
        <f t="shared" ref="E5:P5" si="0">SUM(E6:E14)</f>
        <v>357538</v>
      </c>
      <c r="F5" s="176">
        <f t="shared" si="0"/>
        <v>357538</v>
      </c>
      <c r="G5" s="176">
        <f t="shared" si="0"/>
        <v>357538</v>
      </c>
      <c r="H5" s="176">
        <f t="shared" si="0"/>
        <v>357538</v>
      </c>
      <c r="I5" s="176">
        <f t="shared" si="0"/>
        <v>357538</v>
      </c>
      <c r="J5" s="176">
        <f t="shared" si="0"/>
        <v>357538</v>
      </c>
      <c r="K5" s="176">
        <f t="shared" si="0"/>
        <v>357538</v>
      </c>
      <c r="L5" s="176">
        <f t="shared" si="0"/>
        <v>357538</v>
      </c>
      <c r="M5" s="176">
        <f t="shared" si="0"/>
        <v>357538</v>
      </c>
      <c r="N5" s="176">
        <f t="shared" si="0"/>
        <v>357538</v>
      </c>
      <c r="O5" s="176">
        <f t="shared" si="0"/>
        <v>357538</v>
      </c>
      <c r="P5" s="176">
        <f t="shared" si="0"/>
        <v>4165745</v>
      </c>
      <c r="Q5" s="177"/>
      <c r="R5" s="178"/>
      <c r="S5" s="178"/>
      <c r="T5" s="178"/>
      <c r="U5" s="178"/>
      <c r="V5" s="178"/>
      <c r="W5" s="178"/>
      <c r="X5" s="178"/>
      <c r="Y5" s="178"/>
    </row>
    <row r="6" spans="1:25" x14ac:dyDescent="0.25">
      <c r="A6" s="180"/>
      <c r="B6" s="254" t="s">
        <v>63</v>
      </c>
      <c r="D6" s="182">
        <v>81027</v>
      </c>
      <c r="E6" s="182">
        <v>117588</v>
      </c>
      <c r="F6" s="182">
        <v>117588</v>
      </c>
      <c r="G6" s="182">
        <v>117588</v>
      </c>
      <c r="H6" s="182">
        <v>117588</v>
      </c>
      <c r="I6" s="182">
        <v>117588</v>
      </c>
      <c r="J6" s="182">
        <v>117588</v>
      </c>
      <c r="K6" s="182">
        <v>117588</v>
      </c>
      <c r="L6" s="182">
        <v>117588</v>
      </c>
      <c r="M6" s="182">
        <v>117588</v>
      </c>
      <c r="N6" s="182">
        <v>117588</v>
      </c>
      <c r="O6" s="182">
        <v>117588</v>
      </c>
      <c r="P6" s="182">
        <f t="shared" ref="P6:P11" si="1">SUM(D6:O6)</f>
        <v>1374495</v>
      </c>
      <c r="Q6" s="183"/>
    </row>
    <row r="7" spans="1:25" x14ac:dyDescent="0.25">
      <c r="A7" s="180"/>
      <c r="B7" s="254" t="s">
        <v>39</v>
      </c>
      <c r="D7" s="182">
        <v>56000</v>
      </c>
      <c r="E7" s="182">
        <v>99150</v>
      </c>
      <c r="F7" s="182">
        <v>99150</v>
      </c>
      <c r="G7" s="182">
        <v>99150</v>
      </c>
      <c r="H7" s="182">
        <v>99150</v>
      </c>
      <c r="I7" s="182">
        <v>99150</v>
      </c>
      <c r="J7" s="182">
        <v>99150</v>
      </c>
      <c r="K7" s="182">
        <v>99150</v>
      </c>
      <c r="L7" s="182">
        <v>99150</v>
      </c>
      <c r="M7" s="182">
        <v>99150</v>
      </c>
      <c r="N7" s="182">
        <v>99150</v>
      </c>
      <c r="O7" s="182">
        <v>99150</v>
      </c>
      <c r="P7" s="182">
        <f t="shared" si="1"/>
        <v>1146650</v>
      </c>
      <c r="Q7" s="183"/>
    </row>
    <row r="8" spans="1:25" x14ac:dyDescent="0.25">
      <c r="A8" s="180"/>
      <c r="B8" s="254" t="s">
        <v>18</v>
      </c>
      <c r="D8" s="182">
        <v>50000</v>
      </c>
      <c r="E8" s="182">
        <v>95000</v>
      </c>
      <c r="F8" s="182">
        <v>95000</v>
      </c>
      <c r="G8" s="182">
        <v>95000</v>
      </c>
      <c r="H8" s="182">
        <v>95000</v>
      </c>
      <c r="I8" s="182">
        <v>95000</v>
      </c>
      <c r="J8" s="182">
        <v>95000</v>
      </c>
      <c r="K8" s="182">
        <v>95000</v>
      </c>
      <c r="L8" s="182">
        <v>95000</v>
      </c>
      <c r="M8" s="182">
        <v>95000</v>
      </c>
      <c r="N8" s="182">
        <v>95000</v>
      </c>
      <c r="O8" s="182">
        <v>95000</v>
      </c>
      <c r="P8" s="182">
        <f t="shared" si="1"/>
        <v>1095000</v>
      </c>
      <c r="Q8" s="183"/>
    </row>
    <row r="9" spans="1:25" x14ac:dyDescent="0.25">
      <c r="A9" s="180"/>
      <c r="B9" s="184" t="s">
        <v>232</v>
      </c>
      <c r="C9" s="185"/>
      <c r="D9" s="182">
        <v>45800</v>
      </c>
      <c r="E9" s="182">
        <v>45800</v>
      </c>
      <c r="F9" s="182">
        <v>45800</v>
      </c>
      <c r="G9" s="182">
        <v>45800</v>
      </c>
      <c r="H9" s="182">
        <v>45800</v>
      </c>
      <c r="I9" s="182">
        <v>45800</v>
      </c>
      <c r="J9" s="182">
        <v>45800</v>
      </c>
      <c r="K9" s="182">
        <v>45800</v>
      </c>
      <c r="L9" s="182">
        <v>45800</v>
      </c>
      <c r="M9" s="182">
        <v>45800</v>
      </c>
      <c r="N9" s="182">
        <v>45800</v>
      </c>
      <c r="O9" s="182">
        <v>45800</v>
      </c>
      <c r="P9" s="182">
        <f t="shared" si="1"/>
        <v>549600</v>
      </c>
      <c r="Q9" s="183"/>
    </row>
    <row r="10" spans="1:25" x14ac:dyDescent="0.25">
      <c r="A10" s="180"/>
      <c r="B10" s="181" t="s">
        <v>4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>
        <f t="shared" si="1"/>
        <v>0</v>
      </c>
      <c r="Q10" s="183"/>
    </row>
    <row r="11" spans="1:25" x14ac:dyDescent="0.25">
      <c r="A11" s="180"/>
      <c r="B11" s="186" t="s">
        <v>4</v>
      </c>
      <c r="C11" s="187" t="s">
        <v>4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>
        <f t="shared" si="1"/>
        <v>0</v>
      </c>
      <c r="Q11" s="189"/>
      <c r="R11" s="190"/>
      <c r="S11" s="190"/>
      <c r="T11" s="190"/>
      <c r="U11" s="190"/>
      <c r="V11" s="190"/>
      <c r="W11" s="190"/>
      <c r="X11" s="190"/>
      <c r="Y11" s="190"/>
    </row>
    <row r="12" spans="1:25" x14ac:dyDescent="0.25">
      <c r="A12" s="180"/>
      <c r="B12" s="186"/>
      <c r="C12" s="187"/>
      <c r="D12" s="182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2"/>
      <c r="Q12" s="189"/>
      <c r="R12" s="190"/>
      <c r="S12" s="190"/>
      <c r="T12" s="190"/>
      <c r="U12" s="190"/>
      <c r="V12" s="190"/>
      <c r="W12" s="190"/>
      <c r="X12" s="190"/>
      <c r="Y12" s="190"/>
    </row>
    <row r="13" spans="1:25" x14ac:dyDescent="0.25">
      <c r="A13" s="180"/>
      <c r="B13" s="184"/>
      <c r="C13" s="185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3"/>
    </row>
    <row r="14" spans="1:25" x14ac:dyDescent="0.25">
      <c r="A14" s="180"/>
      <c r="B14" s="181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3"/>
    </row>
    <row r="15" spans="1:25" s="179" customFormat="1" ht="18.75" x14ac:dyDescent="0.25">
      <c r="A15" s="173"/>
      <c r="B15" s="174" t="s">
        <v>127</v>
      </c>
      <c r="C15" s="175"/>
      <c r="D15" s="176">
        <f>SUM(D16:D32)</f>
        <v>243780</v>
      </c>
      <c r="E15" s="176">
        <f t="shared" ref="E15:O15" si="2">SUM(E16:E32)</f>
        <v>243780</v>
      </c>
      <c r="F15" s="176">
        <f t="shared" si="2"/>
        <v>243780</v>
      </c>
      <c r="G15" s="176">
        <f t="shared" si="2"/>
        <v>243780</v>
      </c>
      <c r="H15" s="176">
        <f t="shared" si="2"/>
        <v>243780</v>
      </c>
      <c r="I15" s="176">
        <f t="shared" si="2"/>
        <v>243780</v>
      </c>
      <c r="J15" s="176">
        <f t="shared" si="2"/>
        <v>243780</v>
      </c>
      <c r="K15" s="176">
        <f t="shared" si="2"/>
        <v>243780</v>
      </c>
      <c r="L15" s="176">
        <f t="shared" si="2"/>
        <v>243780</v>
      </c>
      <c r="M15" s="176">
        <f t="shared" si="2"/>
        <v>243780</v>
      </c>
      <c r="N15" s="176">
        <f t="shared" si="2"/>
        <v>243780</v>
      </c>
      <c r="O15" s="176">
        <f t="shared" si="2"/>
        <v>243780</v>
      </c>
      <c r="P15" s="176">
        <f>SUM(P16:P32)</f>
        <v>2925360</v>
      </c>
      <c r="Q15" s="177"/>
      <c r="R15" s="178"/>
      <c r="S15" s="178"/>
      <c r="T15" s="178"/>
      <c r="U15" s="178"/>
      <c r="V15" s="178"/>
      <c r="W15" s="178"/>
      <c r="X15" s="178"/>
      <c r="Y15" s="178"/>
    </row>
    <row r="16" spans="1:25" x14ac:dyDescent="0.25">
      <c r="A16" s="180"/>
      <c r="B16" s="181" t="s">
        <v>66</v>
      </c>
      <c r="D16" s="182">
        <v>17930</v>
      </c>
      <c r="E16" s="182">
        <v>17930</v>
      </c>
      <c r="F16" s="182">
        <v>17930</v>
      </c>
      <c r="G16" s="182">
        <v>17930</v>
      </c>
      <c r="H16" s="182">
        <v>17930</v>
      </c>
      <c r="I16" s="182">
        <v>17930</v>
      </c>
      <c r="J16" s="182">
        <v>17930</v>
      </c>
      <c r="K16" s="182">
        <v>17930</v>
      </c>
      <c r="L16" s="182">
        <v>17930</v>
      </c>
      <c r="M16" s="182">
        <v>17930</v>
      </c>
      <c r="N16" s="182">
        <v>17930</v>
      </c>
      <c r="O16" s="182">
        <v>17930</v>
      </c>
      <c r="P16" s="182">
        <f t="shared" ref="P16:P28" si="3">SUM(D16:O16)</f>
        <v>215160</v>
      </c>
      <c r="Q16" s="183"/>
    </row>
    <row r="17" spans="1:17" x14ac:dyDescent="0.25">
      <c r="A17" s="180"/>
      <c r="B17" s="181" t="s">
        <v>67</v>
      </c>
      <c r="D17" s="182">
        <v>21000</v>
      </c>
      <c r="E17" s="182">
        <v>21000</v>
      </c>
      <c r="F17" s="182">
        <v>21000</v>
      </c>
      <c r="G17" s="182">
        <v>21000</v>
      </c>
      <c r="H17" s="182">
        <v>21000</v>
      </c>
      <c r="I17" s="182">
        <v>21000</v>
      </c>
      <c r="J17" s="182">
        <v>21000</v>
      </c>
      <c r="K17" s="182">
        <v>21000</v>
      </c>
      <c r="L17" s="182">
        <v>21000</v>
      </c>
      <c r="M17" s="182">
        <v>21000</v>
      </c>
      <c r="N17" s="182">
        <v>21000</v>
      </c>
      <c r="O17" s="182">
        <v>21000</v>
      </c>
      <c r="P17" s="182">
        <f t="shared" si="3"/>
        <v>252000</v>
      </c>
      <c r="Q17" s="183"/>
    </row>
    <row r="18" spans="1:17" s="179" customFormat="1" x14ac:dyDescent="0.25">
      <c r="A18" s="173"/>
      <c r="B18" s="181" t="s">
        <v>68</v>
      </c>
      <c r="C18" s="156"/>
      <c r="D18" s="182">
        <v>57800</v>
      </c>
      <c r="E18" s="182">
        <v>57800</v>
      </c>
      <c r="F18" s="182">
        <v>57800</v>
      </c>
      <c r="G18" s="182">
        <v>57800</v>
      </c>
      <c r="H18" s="182">
        <v>57800</v>
      </c>
      <c r="I18" s="182">
        <v>57800</v>
      </c>
      <c r="J18" s="182">
        <v>57800</v>
      </c>
      <c r="K18" s="182">
        <v>57800</v>
      </c>
      <c r="L18" s="182">
        <v>57800</v>
      </c>
      <c r="M18" s="182">
        <v>57800</v>
      </c>
      <c r="N18" s="182">
        <v>57800</v>
      </c>
      <c r="O18" s="182">
        <v>57800</v>
      </c>
      <c r="P18" s="182">
        <f t="shared" si="3"/>
        <v>693600</v>
      </c>
      <c r="Q18" s="191"/>
    </row>
    <row r="19" spans="1:17" s="179" customFormat="1" x14ac:dyDescent="0.25">
      <c r="A19" s="173"/>
      <c r="B19" s="181" t="s">
        <v>69</v>
      </c>
      <c r="C19" s="156"/>
      <c r="D19" s="182">
        <v>24000</v>
      </c>
      <c r="E19" s="182">
        <v>24000</v>
      </c>
      <c r="F19" s="182">
        <v>24000</v>
      </c>
      <c r="G19" s="182">
        <v>24000</v>
      </c>
      <c r="H19" s="182">
        <v>24000</v>
      </c>
      <c r="I19" s="182">
        <v>24000</v>
      </c>
      <c r="J19" s="182">
        <v>24000</v>
      </c>
      <c r="K19" s="182">
        <v>24000</v>
      </c>
      <c r="L19" s="182">
        <v>24000</v>
      </c>
      <c r="M19" s="182">
        <v>24000</v>
      </c>
      <c r="N19" s="182">
        <v>24000</v>
      </c>
      <c r="O19" s="182">
        <v>24000</v>
      </c>
      <c r="P19" s="182">
        <f t="shared" si="3"/>
        <v>288000</v>
      </c>
      <c r="Q19" s="191"/>
    </row>
    <row r="20" spans="1:17" x14ac:dyDescent="0.25">
      <c r="A20" s="180"/>
      <c r="B20" s="181" t="s">
        <v>71</v>
      </c>
      <c r="D20" s="182">
        <v>32625</v>
      </c>
      <c r="E20" s="182">
        <v>32625</v>
      </c>
      <c r="F20" s="182">
        <v>32625</v>
      </c>
      <c r="G20" s="182">
        <v>32625</v>
      </c>
      <c r="H20" s="182">
        <v>32625</v>
      </c>
      <c r="I20" s="182">
        <v>32625</v>
      </c>
      <c r="J20" s="182">
        <v>32625</v>
      </c>
      <c r="K20" s="182">
        <v>32625</v>
      </c>
      <c r="L20" s="182">
        <v>32625</v>
      </c>
      <c r="M20" s="182">
        <v>32625</v>
      </c>
      <c r="N20" s="182">
        <v>32625</v>
      </c>
      <c r="O20" s="182">
        <v>32625</v>
      </c>
      <c r="P20" s="182">
        <f t="shared" si="3"/>
        <v>391500</v>
      </c>
      <c r="Q20" s="183"/>
    </row>
    <row r="21" spans="1:17" x14ac:dyDescent="0.25">
      <c r="A21" s="180"/>
      <c r="B21" s="181" t="s">
        <v>72</v>
      </c>
      <c r="D21" s="182">
        <v>7000</v>
      </c>
      <c r="E21" s="182">
        <v>7000</v>
      </c>
      <c r="F21" s="182">
        <v>7000</v>
      </c>
      <c r="G21" s="182">
        <v>7000</v>
      </c>
      <c r="H21" s="182">
        <v>7000</v>
      </c>
      <c r="I21" s="182">
        <v>7000</v>
      </c>
      <c r="J21" s="182">
        <v>7000</v>
      </c>
      <c r="K21" s="182">
        <v>7000</v>
      </c>
      <c r="L21" s="182">
        <v>7000</v>
      </c>
      <c r="M21" s="182">
        <v>7000</v>
      </c>
      <c r="N21" s="182">
        <v>7000</v>
      </c>
      <c r="O21" s="182">
        <v>7000</v>
      </c>
      <c r="P21" s="182">
        <f t="shared" si="3"/>
        <v>84000</v>
      </c>
      <c r="Q21" s="183"/>
    </row>
    <row r="22" spans="1:17" x14ac:dyDescent="0.25">
      <c r="A22" s="180"/>
      <c r="B22" s="181" t="s">
        <v>73</v>
      </c>
      <c r="D22" s="182">
        <v>9000</v>
      </c>
      <c r="E22" s="182">
        <v>9000</v>
      </c>
      <c r="F22" s="182">
        <v>9000</v>
      </c>
      <c r="G22" s="182">
        <v>9000</v>
      </c>
      <c r="H22" s="182">
        <v>9000</v>
      </c>
      <c r="I22" s="182">
        <v>9000</v>
      </c>
      <c r="J22" s="182">
        <v>9000</v>
      </c>
      <c r="K22" s="182">
        <v>9000</v>
      </c>
      <c r="L22" s="182">
        <v>9000</v>
      </c>
      <c r="M22" s="182">
        <v>9000</v>
      </c>
      <c r="N22" s="182">
        <v>9000</v>
      </c>
      <c r="O22" s="182">
        <v>9000</v>
      </c>
      <c r="P22" s="182">
        <f t="shared" si="3"/>
        <v>108000</v>
      </c>
      <c r="Q22" s="183"/>
    </row>
    <row r="23" spans="1:17" x14ac:dyDescent="0.25">
      <c r="A23" s="180"/>
      <c r="B23" s="181" t="s">
        <v>74</v>
      </c>
      <c r="D23" s="182">
        <v>12000</v>
      </c>
      <c r="E23" s="182">
        <v>12000</v>
      </c>
      <c r="F23" s="182">
        <v>12000</v>
      </c>
      <c r="G23" s="182">
        <v>12000</v>
      </c>
      <c r="H23" s="182">
        <v>12000</v>
      </c>
      <c r="I23" s="182">
        <v>12000</v>
      </c>
      <c r="J23" s="182">
        <v>12000</v>
      </c>
      <c r="K23" s="182">
        <v>12000</v>
      </c>
      <c r="L23" s="182">
        <v>12000</v>
      </c>
      <c r="M23" s="182">
        <v>12000</v>
      </c>
      <c r="N23" s="182">
        <v>12000</v>
      </c>
      <c r="O23" s="182">
        <v>12000</v>
      </c>
      <c r="P23" s="182">
        <f t="shared" si="3"/>
        <v>144000</v>
      </c>
      <c r="Q23" s="183"/>
    </row>
    <row r="24" spans="1:17" x14ac:dyDescent="0.25">
      <c r="A24" s="180"/>
      <c r="B24" s="181" t="s">
        <v>76</v>
      </c>
      <c r="D24" s="182">
        <v>12000</v>
      </c>
      <c r="E24" s="182">
        <v>12000</v>
      </c>
      <c r="F24" s="182">
        <v>12000</v>
      </c>
      <c r="G24" s="182">
        <v>12000</v>
      </c>
      <c r="H24" s="182">
        <v>12000</v>
      </c>
      <c r="I24" s="182">
        <v>12000</v>
      </c>
      <c r="J24" s="182">
        <v>12000</v>
      </c>
      <c r="K24" s="182">
        <v>12000</v>
      </c>
      <c r="L24" s="182">
        <v>12000</v>
      </c>
      <c r="M24" s="182">
        <v>12000</v>
      </c>
      <c r="N24" s="182">
        <v>12000</v>
      </c>
      <c r="O24" s="182">
        <v>12000</v>
      </c>
      <c r="P24" s="182">
        <f t="shared" si="3"/>
        <v>144000</v>
      </c>
      <c r="Q24" s="183"/>
    </row>
    <row r="25" spans="1:17" x14ac:dyDescent="0.25">
      <c r="A25" s="180"/>
      <c r="B25" s="181" t="s">
        <v>70</v>
      </c>
      <c r="D25" s="182">
        <v>10425</v>
      </c>
      <c r="E25" s="182">
        <v>10425</v>
      </c>
      <c r="F25" s="182">
        <v>10425</v>
      </c>
      <c r="G25" s="182">
        <v>10425</v>
      </c>
      <c r="H25" s="182">
        <v>10425</v>
      </c>
      <c r="I25" s="182">
        <v>10425</v>
      </c>
      <c r="J25" s="182">
        <v>10425</v>
      </c>
      <c r="K25" s="182">
        <v>10425</v>
      </c>
      <c r="L25" s="182">
        <v>10425</v>
      </c>
      <c r="M25" s="182">
        <v>10425</v>
      </c>
      <c r="N25" s="182">
        <v>10425</v>
      </c>
      <c r="O25" s="182">
        <v>10425</v>
      </c>
      <c r="P25" s="182">
        <f t="shared" si="3"/>
        <v>125100</v>
      </c>
      <c r="Q25" s="183"/>
    </row>
    <row r="26" spans="1:17" x14ac:dyDescent="0.25">
      <c r="A26" s="180"/>
      <c r="B26" s="181" t="s">
        <v>75</v>
      </c>
      <c r="D26" s="182">
        <v>24000</v>
      </c>
      <c r="E26" s="182">
        <v>24000</v>
      </c>
      <c r="F26" s="182">
        <v>24000</v>
      </c>
      <c r="G26" s="182">
        <v>24000</v>
      </c>
      <c r="H26" s="182">
        <v>24000</v>
      </c>
      <c r="I26" s="182">
        <v>24000</v>
      </c>
      <c r="J26" s="182">
        <v>24000</v>
      </c>
      <c r="K26" s="182">
        <v>24000</v>
      </c>
      <c r="L26" s="182">
        <v>24000</v>
      </c>
      <c r="M26" s="182">
        <v>24000</v>
      </c>
      <c r="N26" s="182">
        <v>24000</v>
      </c>
      <c r="O26" s="182">
        <v>24000</v>
      </c>
      <c r="P26" s="182">
        <f t="shared" si="3"/>
        <v>288000</v>
      </c>
      <c r="Q26" s="183"/>
    </row>
    <row r="27" spans="1:17" x14ac:dyDescent="0.25">
      <c r="A27" s="180"/>
      <c r="B27" s="181" t="s">
        <v>77</v>
      </c>
      <c r="D27" s="182">
        <v>10000</v>
      </c>
      <c r="E27" s="182">
        <v>10000</v>
      </c>
      <c r="F27" s="182">
        <v>10000</v>
      </c>
      <c r="G27" s="182">
        <v>10000</v>
      </c>
      <c r="H27" s="182">
        <v>10000</v>
      </c>
      <c r="I27" s="182">
        <v>10000</v>
      </c>
      <c r="J27" s="182">
        <v>10000</v>
      </c>
      <c r="K27" s="182">
        <v>10000</v>
      </c>
      <c r="L27" s="182">
        <v>10000</v>
      </c>
      <c r="M27" s="182">
        <v>10000</v>
      </c>
      <c r="N27" s="182">
        <v>10000</v>
      </c>
      <c r="O27" s="182">
        <v>10000</v>
      </c>
      <c r="P27" s="182">
        <f t="shared" si="3"/>
        <v>120000</v>
      </c>
      <c r="Q27" s="183"/>
    </row>
    <row r="28" spans="1:17" x14ac:dyDescent="0.25">
      <c r="A28" s="180"/>
      <c r="B28" s="181" t="s">
        <v>188</v>
      </c>
      <c r="D28" s="182">
        <v>6000</v>
      </c>
      <c r="E28" s="182">
        <v>6000</v>
      </c>
      <c r="F28" s="182">
        <v>6000</v>
      </c>
      <c r="G28" s="182">
        <v>6000</v>
      </c>
      <c r="H28" s="182">
        <v>6000</v>
      </c>
      <c r="I28" s="182">
        <v>6000</v>
      </c>
      <c r="J28" s="182">
        <v>6000</v>
      </c>
      <c r="K28" s="182">
        <v>6000</v>
      </c>
      <c r="L28" s="182">
        <v>6000</v>
      </c>
      <c r="M28" s="182">
        <v>6000</v>
      </c>
      <c r="N28" s="182">
        <v>6000</v>
      </c>
      <c r="O28" s="182">
        <v>6000</v>
      </c>
      <c r="P28" s="182">
        <f t="shared" si="3"/>
        <v>72000</v>
      </c>
      <c r="Q28" s="183"/>
    </row>
    <row r="29" spans="1:17" x14ac:dyDescent="0.25">
      <c r="A29" s="180"/>
      <c r="B29" s="181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3"/>
    </row>
    <row r="30" spans="1:17" x14ac:dyDescent="0.25">
      <c r="A30" s="180"/>
      <c r="B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1:17" x14ac:dyDescent="0.25">
      <c r="A31" s="180"/>
      <c r="B31" s="181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3"/>
    </row>
    <row r="32" spans="1:17" x14ac:dyDescent="0.25">
      <c r="A32" s="180"/>
      <c r="B32" s="181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3"/>
    </row>
    <row r="33" spans="1:25" s="179" customFormat="1" ht="18.75" x14ac:dyDescent="0.25">
      <c r="A33" s="173"/>
      <c r="B33" s="174" t="s">
        <v>126</v>
      </c>
      <c r="C33" s="175"/>
      <c r="D33" s="176">
        <f>SUM(D34:D45)</f>
        <v>110275</v>
      </c>
      <c r="E33" s="176">
        <f t="shared" ref="E33:P33" si="4">SUM(E34:E45)</f>
        <v>110275</v>
      </c>
      <c r="F33" s="176">
        <f t="shared" si="4"/>
        <v>110275</v>
      </c>
      <c r="G33" s="176">
        <f t="shared" si="4"/>
        <v>110275</v>
      </c>
      <c r="H33" s="176">
        <f t="shared" si="4"/>
        <v>110275</v>
      </c>
      <c r="I33" s="176">
        <f t="shared" si="4"/>
        <v>110275</v>
      </c>
      <c r="J33" s="176">
        <f t="shared" si="4"/>
        <v>110275</v>
      </c>
      <c r="K33" s="176">
        <f t="shared" si="4"/>
        <v>110275</v>
      </c>
      <c r="L33" s="176">
        <f t="shared" si="4"/>
        <v>110275</v>
      </c>
      <c r="M33" s="176">
        <f t="shared" si="4"/>
        <v>110275</v>
      </c>
      <c r="N33" s="176">
        <f t="shared" si="4"/>
        <v>110275</v>
      </c>
      <c r="O33" s="176">
        <f t="shared" si="4"/>
        <v>110275</v>
      </c>
      <c r="P33" s="176">
        <f t="shared" si="4"/>
        <v>1323300</v>
      </c>
      <c r="Q33" s="177"/>
      <c r="R33" s="178"/>
      <c r="S33" s="178"/>
      <c r="T33" s="178"/>
      <c r="U33" s="178"/>
      <c r="V33" s="178"/>
      <c r="W33" s="178"/>
      <c r="X33" s="178"/>
      <c r="Y33" s="178"/>
    </row>
    <row r="34" spans="1:25" x14ac:dyDescent="0.25">
      <c r="A34" s="180"/>
      <c r="B34" s="181" t="s">
        <v>78</v>
      </c>
      <c r="D34" s="182">
        <v>23450</v>
      </c>
      <c r="E34" s="182">
        <v>23450</v>
      </c>
      <c r="F34" s="182">
        <v>23450</v>
      </c>
      <c r="G34" s="182">
        <v>23450</v>
      </c>
      <c r="H34" s="182">
        <v>23450</v>
      </c>
      <c r="I34" s="182">
        <v>23450</v>
      </c>
      <c r="J34" s="182">
        <v>23450</v>
      </c>
      <c r="K34" s="182">
        <v>23450</v>
      </c>
      <c r="L34" s="182">
        <v>23450</v>
      </c>
      <c r="M34" s="182">
        <v>23450</v>
      </c>
      <c r="N34" s="182">
        <v>23450</v>
      </c>
      <c r="O34" s="182">
        <v>23450</v>
      </c>
      <c r="P34" s="182">
        <f t="shared" ref="P34:P48" si="5">SUM(D34:O34)</f>
        <v>281400</v>
      </c>
      <c r="Q34" s="183"/>
    </row>
    <row r="35" spans="1:25" x14ac:dyDescent="0.25">
      <c r="A35" s="180"/>
      <c r="B35" s="181" t="s">
        <v>40</v>
      </c>
      <c r="D35" s="182">
        <v>13500</v>
      </c>
      <c r="E35" s="182">
        <v>13500</v>
      </c>
      <c r="F35" s="182">
        <v>13500</v>
      </c>
      <c r="G35" s="182">
        <v>13500</v>
      </c>
      <c r="H35" s="182">
        <v>13500</v>
      </c>
      <c r="I35" s="182">
        <v>13500</v>
      </c>
      <c r="J35" s="182">
        <v>13500</v>
      </c>
      <c r="K35" s="182">
        <v>13500</v>
      </c>
      <c r="L35" s="182">
        <v>13500</v>
      </c>
      <c r="M35" s="182">
        <v>13500</v>
      </c>
      <c r="N35" s="182">
        <v>13500</v>
      </c>
      <c r="O35" s="182">
        <v>13500</v>
      </c>
      <c r="P35" s="182">
        <f t="shared" si="5"/>
        <v>162000</v>
      </c>
      <c r="Q35" s="183"/>
    </row>
    <row r="36" spans="1:25" x14ac:dyDescent="0.25">
      <c r="A36" s="180"/>
      <c r="B36" s="181" t="s">
        <v>79</v>
      </c>
      <c r="D36" s="182">
        <v>8000</v>
      </c>
      <c r="E36" s="182">
        <v>8000</v>
      </c>
      <c r="F36" s="182">
        <v>8000</v>
      </c>
      <c r="G36" s="182">
        <v>8000</v>
      </c>
      <c r="H36" s="182">
        <v>8000</v>
      </c>
      <c r="I36" s="182">
        <v>8000</v>
      </c>
      <c r="J36" s="182">
        <v>8000</v>
      </c>
      <c r="K36" s="182">
        <v>8000</v>
      </c>
      <c r="L36" s="182">
        <v>8000</v>
      </c>
      <c r="M36" s="182">
        <v>8000</v>
      </c>
      <c r="N36" s="182">
        <v>8000</v>
      </c>
      <c r="O36" s="182">
        <v>8000</v>
      </c>
      <c r="P36" s="182">
        <f t="shared" si="5"/>
        <v>96000</v>
      </c>
      <c r="Q36" s="183"/>
    </row>
    <row r="37" spans="1:25" x14ac:dyDescent="0.25">
      <c r="A37" s="180"/>
      <c r="B37" s="181" t="s">
        <v>80</v>
      </c>
      <c r="D37" s="182">
        <v>3150</v>
      </c>
      <c r="E37" s="182">
        <v>3150</v>
      </c>
      <c r="F37" s="182">
        <v>3150</v>
      </c>
      <c r="G37" s="182">
        <v>3150</v>
      </c>
      <c r="H37" s="182">
        <v>3150</v>
      </c>
      <c r="I37" s="182">
        <v>3150</v>
      </c>
      <c r="J37" s="182">
        <v>3150</v>
      </c>
      <c r="K37" s="182">
        <v>3150</v>
      </c>
      <c r="L37" s="182">
        <v>3150</v>
      </c>
      <c r="M37" s="182">
        <v>3150</v>
      </c>
      <c r="N37" s="182">
        <v>3150</v>
      </c>
      <c r="O37" s="182">
        <v>3150</v>
      </c>
      <c r="P37" s="182">
        <f t="shared" si="5"/>
        <v>37800</v>
      </c>
      <c r="Q37" s="183"/>
    </row>
    <row r="38" spans="1:25" x14ac:dyDescent="0.25">
      <c r="A38" s="180"/>
      <c r="B38" s="181" t="s">
        <v>81</v>
      </c>
      <c r="D38" s="182">
        <v>975</v>
      </c>
      <c r="E38" s="182">
        <v>975</v>
      </c>
      <c r="F38" s="182">
        <v>975</v>
      </c>
      <c r="G38" s="182">
        <v>975</v>
      </c>
      <c r="H38" s="182">
        <v>975</v>
      </c>
      <c r="I38" s="182">
        <v>975</v>
      </c>
      <c r="J38" s="182">
        <v>975</v>
      </c>
      <c r="K38" s="182">
        <v>975</v>
      </c>
      <c r="L38" s="182">
        <v>975</v>
      </c>
      <c r="M38" s="182">
        <v>975</v>
      </c>
      <c r="N38" s="182">
        <v>975</v>
      </c>
      <c r="O38" s="182">
        <v>975</v>
      </c>
      <c r="P38" s="182">
        <f t="shared" si="5"/>
        <v>11700</v>
      </c>
      <c r="Q38" s="183"/>
    </row>
    <row r="39" spans="1:25" x14ac:dyDescent="0.25">
      <c r="A39" s="180"/>
      <c r="B39" s="181" t="s">
        <v>82</v>
      </c>
      <c r="D39" s="182">
        <v>6000</v>
      </c>
      <c r="E39" s="182">
        <v>6000</v>
      </c>
      <c r="F39" s="182">
        <v>6000</v>
      </c>
      <c r="G39" s="182">
        <v>6000</v>
      </c>
      <c r="H39" s="182">
        <v>6000</v>
      </c>
      <c r="I39" s="182">
        <v>6000</v>
      </c>
      <c r="J39" s="182">
        <v>6000</v>
      </c>
      <c r="K39" s="182">
        <v>6000</v>
      </c>
      <c r="L39" s="182">
        <v>6000</v>
      </c>
      <c r="M39" s="182">
        <v>6000</v>
      </c>
      <c r="N39" s="182">
        <v>6000</v>
      </c>
      <c r="O39" s="182">
        <v>6000</v>
      </c>
      <c r="P39" s="182">
        <f t="shared" si="5"/>
        <v>72000</v>
      </c>
      <c r="Q39" s="183"/>
    </row>
    <row r="40" spans="1:25" x14ac:dyDescent="0.25">
      <c r="A40" s="180"/>
      <c r="B40" s="181" t="s">
        <v>83</v>
      </c>
      <c r="D40" s="182">
        <v>16000</v>
      </c>
      <c r="E40" s="182">
        <v>16000</v>
      </c>
      <c r="F40" s="182">
        <v>16000</v>
      </c>
      <c r="G40" s="182">
        <v>16000</v>
      </c>
      <c r="H40" s="182">
        <v>16000</v>
      </c>
      <c r="I40" s="182">
        <v>16000</v>
      </c>
      <c r="J40" s="182">
        <v>16000</v>
      </c>
      <c r="K40" s="182">
        <v>16000</v>
      </c>
      <c r="L40" s="182">
        <v>16000</v>
      </c>
      <c r="M40" s="182">
        <v>16000</v>
      </c>
      <c r="N40" s="182">
        <v>16000</v>
      </c>
      <c r="O40" s="182">
        <v>16000</v>
      </c>
      <c r="P40" s="182">
        <f t="shared" si="5"/>
        <v>192000</v>
      </c>
      <c r="Q40" s="183"/>
    </row>
    <row r="41" spans="1:25" x14ac:dyDescent="0.25">
      <c r="A41" s="180"/>
      <c r="B41" s="181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 t="s">
        <v>4</v>
      </c>
      <c r="Q41" s="183"/>
    </row>
    <row r="42" spans="1:25" x14ac:dyDescent="0.25">
      <c r="A42" s="180"/>
      <c r="B42" s="181" t="s">
        <v>146</v>
      </c>
      <c r="D42" s="182">
        <v>39200</v>
      </c>
      <c r="E42" s="182">
        <v>39200</v>
      </c>
      <c r="F42" s="182">
        <v>39200</v>
      </c>
      <c r="G42" s="182">
        <v>39200</v>
      </c>
      <c r="H42" s="182">
        <v>39200</v>
      </c>
      <c r="I42" s="182">
        <v>39200</v>
      </c>
      <c r="J42" s="182">
        <v>39200</v>
      </c>
      <c r="K42" s="182">
        <v>39200</v>
      </c>
      <c r="L42" s="182">
        <v>39200</v>
      </c>
      <c r="M42" s="182">
        <v>39200</v>
      </c>
      <c r="N42" s="182">
        <v>39200</v>
      </c>
      <c r="O42" s="182">
        <v>39200</v>
      </c>
      <c r="P42" s="182">
        <f t="shared" si="5"/>
        <v>470400</v>
      </c>
      <c r="Q42" s="183"/>
    </row>
    <row r="43" spans="1:25" x14ac:dyDescent="0.25">
      <c r="A43" s="180"/>
      <c r="B43" s="181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 t="s">
        <v>4</v>
      </c>
      <c r="Q43" s="183"/>
    </row>
    <row r="44" spans="1:25" x14ac:dyDescent="0.25">
      <c r="A44" s="180"/>
      <c r="B44" s="181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3"/>
    </row>
    <row r="45" spans="1:25" x14ac:dyDescent="0.25">
      <c r="A45" s="180"/>
      <c r="B45" s="181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3"/>
    </row>
    <row r="46" spans="1:25" s="179" customFormat="1" ht="18.75" x14ac:dyDescent="0.25">
      <c r="A46" s="173"/>
      <c r="B46" s="174" t="s">
        <v>212</v>
      </c>
      <c r="C46" s="175"/>
      <c r="D46" s="176">
        <f>SUM(D47:D50)</f>
        <v>13000</v>
      </c>
      <c r="E46" s="176">
        <f t="shared" ref="E46:P46" si="6">SUM(E47:E50)</f>
        <v>13000</v>
      </c>
      <c r="F46" s="176">
        <f t="shared" si="6"/>
        <v>13000</v>
      </c>
      <c r="G46" s="176">
        <f t="shared" si="6"/>
        <v>13000</v>
      </c>
      <c r="H46" s="176">
        <f t="shared" si="6"/>
        <v>13000</v>
      </c>
      <c r="I46" s="176">
        <f t="shared" si="6"/>
        <v>13000</v>
      </c>
      <c r="J46" s="176">
        <f t="shared" si="6"/>
        <v>13000</v>
      </c>
      <c r="K46" s="176">
        <f t="shared" si="6"/>
        <v>13000</v>
      </c>
      <c r="L46" s="176">
        <f t="shared" si="6"/>
        <v>13000</v>
      </c>
      <c r="M46" s="176">
        <f t="shared" si="6"/>
        <v>13000</v>
      </c>
      <c r="N46" s="176">
        <f t="shared" si="6"/>
        <v>13000</v>
      </c>
      <c r="O46" s="176">
        <f t="shared" si="6"/>
        <v>13000</v>
      </c>
      <c r="P46" s="176">
        <f t="shared" si="6"/>
        <v>156000</v>
      </c>
      <c r="Q46" s="177"/>
      <c r="R46" s="178"/>
      <c r="S46" s="178"/>
      <c r="T46" s="178"/>
      <c r="U46" s="178"/>
      <c r="V46" s="178"/>
      <c r="W46" s="178"/>
      <c r="X46" s="178"/>
      <c r="Y46" s="178"/>
    </row>
    <row r="47" spans="1:25" x14ac:dyDescent="0.25">
      <c r="A47" s="180"/>
      <c r="B47" s="184" t="s">
        <v>19</v>
      </c>
      <c r="C47" s="185"/>
      <c r="D47" s="182">
        <v>8000</v>
      </c>
      <c r="E47" s="182">
        <v>8000</v>
      </c>
      <c r="F47" s="182">
        <v>8000</v>
      </c>
      <c r="G47" s="182">
        <v>8000</v>
      </c>
      <c r="H47" s="182">
        <v>8000</v>
      </c>
      <c r="I47" s="182">
        <v>8000</v>
      </c>
      <c r="J47" s="182">
        <v>8000</v>
      </c>
      <c r="K47" s="182">
        <v>8000</v>
      </c>
      <c r="L47" s="182">
        <v>8000</v>
      </c>
      <c r="M47" s="182">
        <v>8000</v>
      </c>
      <c r="N47" s="182">
        <v>8000</v>
      </c>
      <c r="O47" s="182">
        <v>8000</v>
      </c>
      <c r="P47" s="182">
        <f t="shared" si="5"/>
        <v>96000</v>
      </c>
      <c r="Q47" s="183"/>
    </row>
    <row r="48" spans="1:25" x14ac:dyDescent="0.25">
      <c r="A48" s="180"/>
      <c r="B48" s="184" t="s">
        <v>84</v>
      </c>
      <c r="C48" s="185"/>
      <c r="D48" s="182">
        <v>5000</v>
      </c>
      <c r="E48" s="182">
        <v>5000</v>
      </c>
      <c r="F48" s="182">
        <v>5000</v>
      </c>
      <c r="G48" s="182">
        <v>5000</v>
      </c>
      <c r="H48" s="182">
        <v>5000</v>
      </c>
      <c r="I48" s="182">
        <v>5000</v>
      </c>
      <c r="J48" s="182">
        <v>5000</v>
      </c>
      <c r="K48" s="182">
        <v>5000</v>
      </c>
      <c r="L48" s="182">
        <v>5000</v>
      </c>
      <c r="M48" s="182">
        <v>5000</v>
      </c>
      <c r="N48" s="182">
        <v>5000</v>
      </c>
      <c r="O48" s="182">
        <v>5000</v>
      </c>
      <c r="P48" s="182">
        <f t="shared" si="5"/>
        <v>60000</v>
      </c>
      <c r="Q48" s="183"/>
    </row>
    <row r="49" spans="1:25" x14ac:dyDescent="0.25">
      <c r="A49" s="180"/>
      <c r="B49" s="181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 t="s">
        <v>4</v>
      </c>
      <c r="Q49" s="183"/>
    </row>
    <row r="50" spans="1:25" x14ac:dyDescent="0.25">
      <c r="A50" s="180"/>
      <c r="B50" s="181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3"/>
    </row>
    <row r="51" spans="1:25" s="179" customFormat="1" ht="18.75" x14ac:dyDescent="0.25">
      <c r="A51" s="173"/>
      <c r="B51" s="174" t="s">
        <v>131</v>
      </c>
      <c r="C51" s="175"/>
      <c r="D51" s="176">
        <f>SUM(D52:D59)</f>
        <v>136712.69</v>
      </c>
      <c r="E51" s="176">
        <f t="shared" ref="E51:P51" si="7">SUM(E52:E59)</f>
        <v>136712.69</v>
      </c>
      <c r="F51" s="176">
        <f t="shared" si="7"/>
        <v>136712.69</v>
      </c>
      <c r="G51" s="176">
        <f t="shared" si="7"/>
        <v>136712.69</v>
      </c>
      <c r="H51" s="176">
        <f t="shared" si="7"/>
        <v>136712.69</v>
      </c>
      <c r="I51" s="176">
        <f t="shared" si="7"/>
        <v>136712.69</v>
      </c>
      <c r="J51" s="176">
        <f t="shared" si="7"/>
        <v>136712.69</v>
      </c>
      <c r="K51" s="176">
        <f t="shared" si="7"/>
        <v>136712.69</v>
      </c>
      <c r="L51" s="176">
        <f t="shared" si="7"/>
        <v>136712.69</v>
      </c>
      <c r="M51" s="176">
        <f t="shared" si="7"/>
        <v>136712.69</v>
      </c>
      <c r="N51" s="176">
        <f t="shared" si="7"/>
        <v>136712.69</v>
      </c>
      <c r="O51" s="176">
        <f t="shared" si="7"/>
        <v>136712.69</v>
      </c>
      <c r="P51" s="176">
        <f t="shared" si="7"/>
        <v>858000</v>
      </c>
      <c r="Q51" s="177"/>
      <c r="R51" s="178"/>
      <c r="S51" s="178"/>
      <c r="T51" s="178"/>
      <c r="U51" s="178"/>
      <c r="V51" s="178"/>
      <c r="W51" s="178"/>
      <c r="X51" s="178"/>
      <c r="Y51" s="178"/>
    </row>
    <row r="52" spans="1:25" x14ac:dyDescent="0.25">
      <c r="A52" s="180"/>
      <c r="B52" s="181" t="s">
        <v>85</v>
      </c>
      <c r="D52" s="182">
        <v>71500</v>
      </c>
      <c r="E52" s="182">
        <v>71500</v>
      </c>
      <c r="F52" s="182">
        <v>71500</v>
      </c>
      <c r="G52" s="182">
        <v>71500</v>
      </c>
      <c r="H52" s="182">
        <v>71500</v>
      </c>
      <c r="I52" s="182">
        <v>71500</v>
      </c>
      <c r="J52" s="182">
        <v>71500</v>
      </c>
      <c r="K52" s="182">
        <v>71500</v>
      </c>
      <c r="L52" s="182">
        <v>71500</v>
      </c>
      <c r="M52" s="182">
        <v>71500</v>
      </c>
      <c r="N52" s="182">
        <v>71500</v>
      </c>
      <c r="O52" s="182">
        <v>71500</v>
      </c>
      <c r="P52" s="182">
        <f>SUM(D52:O52)</f>
        <v>858000</v>
      </c>
      <c r="Q52" s="183"/>
    </row>
    <row r="53" spans="1:25" x14ac:dyDescent="0.25">
      <c r="A53" s="180"/>
      <c r="B53" s="181" t="s">
        <v>136</v>
      </c>
      <c r="D53" s="182">
        <v>15867.18</v>
      </c>
      <c r="E53" s="182">
        <v>15867.18</v>
      </c>
      <c r="F53" s="182">
        <v>15867.18</v>
      </c>
      <c r="G53" s="182">
        <v>15867.18</v>
      </c>
      <c r="H53" s="182">
        <v>15867.18</v>
      </c>
      <c r="I53" s="182">
        <v>15867.18</v>
      </c>
      <c r="J53" s="182">
        <v>15867.18</v>
      </c>
      <c r="K53" s="182">
        <v>15867.18</v>
      </c>
      <c r="L53" s="182">
        <v>15867.18</v>
      </c>
      <c r="M53" s="182">
        <v>15867.18</v>
      </c>
      <c r="N53" s="182">
        <v>15867.18</v>
      </c>
      <c r="O53" s="182">
        <v>15867.18</v>
      </c>
      <c r="P53" s="182"/>
      <c r="Q53" s="183"/>
    </row>
    <row r="54" spans="1:25" x14ac:dyDescent="0.25">
      <c r="A54" s="180"/>
      <c r="B54" s="181" t="s">
        <v>143</v>
      </c>
      <c r="D54" s="182">
        <v>15000</v>
      </c>
      <c r="E54" s="182">
        <v>15000</v>
      </c>
      <c r="F54" s="182">
        <v>15000</v>
      </c>
      <c r="G54" s="182">
        <v>15000</v>
      </c>
      <c r="H54" s="182">
        <v>15000</v>
      </c>
      <c r="I54" s="182">
        <v>15000</v>
      </c>
      <c r="J54" s="182">
        <v>15000</v>
      </c>
      <c r="K54" s="182">
        <v>15000</v>
      </c>
      <c r="L54" s="182">
        <v>15000</v>
      </c>
      <c r="M54" s="182">
        <v>15000</v>
      </c>
      <c r="N54" s="182">
        <v>15000</v>
      </c>
      <c r="O54" s="182">
        <v>15000</v>
      </c>
      <c r="P54" s="182"/>
      <c r="Q54" s="183"/>
    </row>
    <row r="55" spans="1:25" x14ac:dyDescent="0.25">
      <c r="A55" s="180"/>
      <c r="B55" s="181" t="s">
        <v>148</v>
      </c>
      <c r="D55" s="182">
        <f t="shared" ref="D55:O55" si="8">22400+500</f>
        <v>22900</v>
      </c>
      <c r="E55" s="182">
        <f t="shared" si="8"/>
        <v>22900</v>
      </c>
      <c r="F55" s="182">
        <f t="shared" si="8"/>
        <v>22900</v>
      </c>
      <c r="G55" s="182">
        <f t="shared" si="8"/>
        <v>22900</v>
      </c>
      <c r="H55" s="182">
        <f t="shared" si="8"/>
        <v>22900</v>
      </c>
      <c r="I55" s="182">
        <f t="shared" si="8"/>
        <v>22900</v>
      </c>
      <c r="J55" s="182">
        <f t="shared" si="8"/>
        <v>22900</v>
      </c>
      <c r="K55" s="182">
        <f t="shared" si="8"/>
        <v>22900</v>
      </c>
      <c r="L55" s="182">
        <f t="shared" si="8"/>
        <v>22900</v>
      </c>
      <c r="M55" s="182">
        <f t="shared" si="8"/>
        <v>22900</v>
      </c>
      <c r="N55" s="182">
        <f t="shared" si="8"/>
        <v>22900</v>
      </c>
      <c r="O55" s="182">
        <f t="shared" si="8"/>
        <v>22900</v>
      </c>
      <c r="P55" s="182"/>
      <c r="Q55" s="183"/>
    </row>
    <row r="56" spans="1:25" x14ac:dyDescent="0.25">
      <c r="A56" s="180"/>
      <c r="B56" s="181" t="s">
        <v>150</v>
      </c>
      <c r="D56" s="182">
        <v>3175</v>
      </c>
      <c r="E56" s="182">
        <v>3175</v>
      </c>
      <c r="F56" s="182">
        <v>3175</v>
      </c>
      <c r="G56" s="182">
        <v>3175</v>
      </c>
      <c r="H56" s="182">
        <v>3175</v>
      </c>
      <c r="I56" s="182">
        <v>3175</v>
      </c>
      <c r="J56" s="182">
        <v>3175</v>
      </c>
      <c r="K56" s="182">
        <v>3175</v>
      </c>
      <c r="L56" s="182">
        <v>3175</v>
      </c>
      <c r="M56" s="182">
        <v>3175</v>
      </c>
      <c r="N56" s="182">
        <v>3175</v>
      </c>
      <c r="O56" s="182">
        <v>3175</v>
      </c>
      <c r="P56" s="182"/>
      <c r="Q56" s="183"/>
    </row>
    <row r="57" spans="1:25" x14ac:dyDescent="0.25">
      <c r="A57" s="180"/>
      <c r="B57" s="181" t="s">
        <v>230</v>
      </c>
      <c r="D57" s="182">
        <f t="shared" ref="D57:O57" si="9">1610+1610</f>
        <v>3220</v>
      </c>
      <c r="E57" s="182">
        <f t="shared" si="9"/>
        <v>3220</v>
      </c>
      <c r="F57" s="182">
        <f t="shared" si="9"/>
        <v>3220</v>
      </c>
      <c r="G57" s="182">
        <f t="shared" si="9"/>
        <v>3220</v>
      </c>
      <c r="H57" s="182">
        <f t="shared" si="9"/>
        <v>3220</v>
      </c>
      <c r="I57" s="182">
        <f t="shared" si="9"/>
        <v>3220</v>
      </c>
      <c r="J57" s="182">
        <f t="shared" si="9"/>
        <v>3220</v>
      </c>
      <c r="K57" s="182">
        <f t="shared" si="9"/>
        <v>3220</v>
      </c>
      <c r="L57" s="182">
        <f t="shared" si="9"/>
        <v>3220</v>
      </c>
      <c r="M57" s="182">
        <f t="shared" si="9"/>
        <v>3220</v>
      </c>
      <c r="N57" s="182">
        <f t="shared" si="9"/>
        <v>3220</v>
      </c>
      <c r="O57" s="182">
        <f t="shared" si="9"/>
        <v>3220</v>
      </c>
      <c r="P57" s="182"/>
      <c r="Q57" s="183"/>
    </row>
    <row r="58" spans="1:25" x14ac:dyDescent="0.25">
      <c r="A58" s="180"/>
      <c r="B58" s="192" t="s">
        <v>231</v>
      </c>
      <c r="D58" s="182">
        <v>5050.51</v>
      </c>
      <c r="E58" s="182">
        <v>5050.51</v>
      </c>
      <c r="F58" s="182">
        <v>5050.51</v>
      </c>
      <c r="G58" s="182">
        <v>5050.51</v>
      </c>
      <c r="H58" s="182">
        <v>5050.51</v>
      </c>
      <c r="I58" s="182">
        <v>5050.51</v>
      </c>
      <c r="J58" s="182">
        <v>5050.51</v>
      </c>
      <c r="K58" s="182">
        <v>5050.51</v>
      </c>
      <c r="L58" s="182">
        <v>5050.51</v>
      </c>
      <c r="M58" s="182">
        <v>5050.51</v>
      </c>
      <c r="N58" s="182">
        <v>5050.51</v>
      </c>
      <c r="O58" s="182">
        <v>5050.51</v>
      </c>
      <c r="P58" s="182"/>
      <c r="Q58" s="183"/>
    </row>
    <row r="59" spans="1:25" x14ac:dyDescent="0.25">
      <c r="A59" s="180"/>
      <c r="B59" s="181" t="s">
        <v>4</v>
      </c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3"/>
    </row>
    <row r="60" spans="1:25" x14ac:dyDescent="0.25">
      <c r="A60" s="180"/>
      <c r="B60" s="181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3"/>
    </row>
    <row r="61" spans="1:25" s="179" customFormat="1" ht="18.75" x14ac:dyDescent="0.25">
      <c r="A61" s="173"/>
      <c r="B61" s="174" t="s">
        <v>129</v>
      </c>
      <c r="C61" s="175"/>
      <c r="D61" s="176">
        <f>SUM(D62:D66)</f>
        <v>128000</v>
      </c>
      <c r="E61" s="176">
        <f t="shared" ref="E61:O61" si="10">SUM(E62:E66)</f>
        <v>128000</v>
      </c>
      <c r="F61" s="176">
        <f t="shared" si="10"/>
        <v>128000</v>
      </c>
      <c r="G61" s="176">
        <f t="shared" si="10"/>
        <v>128000</v>
      </c>
      <c r="H61" s="176">
        <f t="shared" si="10"/>
        <v>128000</v>
      </c>
      <c r="I61" s="176">
        <f t="shared" si="10"/>
        <v>128000</v>
      </c>
      <c r="J61" s="176">
        <f t="shared" si="10"/>
        <v>128000</v>
      </c>
      <c r="K61" s="176">
        <f t="shared" si="10"/>
        <v>128000</v>
      </c>
      <c r="L61" s="176">
        <f t="shared" si="10"/>
        <v>128000</v>
      </c>
      <c r="M61" s="176">
        <f t="shared" si="10"/>
        <v>128000</v>
      </c>
      <c r="N61" s="176">
        <f t="shared" si="10"/>
        <v>128000</v>
      </c>
      <c r="O61" s="176">
        <f t="shared" si="10"/>
        <v>128000</v>
      </c>
      <c r="P61" s="176">
        <f>SUM(P62:P64)</f>
        <v>1536000</v>
      </c>
      <c r="Q61" s="177"/>
      <c r="R61" s="178"/>
      <c r="S61" s="178"/>
      <c r="T61" s="178"/>
      <c r="U61" s="178"/>
      <c r="V61" s="178"/>
      <c r="W61" s="178"/>
      <c r="X61" s="178"/>
      <c r="Y61" s="178"/>
    </row>
    <row r="62" spans="1:25" x14ac:dyDescent="0.25">
      <c r="A62" s="180"/>
      <c r="B62" s="181" t="s">
        <v>86</v>
      </c>
      <c r="D62" s="182">
        <v>53000</v>
      </c>
      <c r="E62" s="182">
        <v>53000</v>
      </c>
      <c r="F62" s="182">
        <v>53000</v>
      </c>
      <c r="G62" s="182">
        <v>53000</v>
      </c>
      <c r="H62" s="182">
        <v>53000</v>
      </c>
      <c r="I62" s="182">
        <v>53000</v>
      </c>
      <c r="J62" s="182">
        <v>53000</v>
      </c>
      <c r="K62" s="182">
        <v>53000</v>
      </c>
      <c r="L62" s="182">
        <v>53000</v>
      </c>
      <c r="M62" s="182">
        <v>53000</v>
      </c>
      <c r="N62" s="182">
        <v>53000</v>
      </c>
      <c r="O62" s="182">
        <v>53000</v>
      </c>
      <c r="P62" s="182">
        <f>SUM(D62:O62)</f>
        <v>636000</v>
      </c>
      <c r="Q62" s="183"/>
    </row>
    <row r="63" spans="1:25" x14ac:dyDescent="0.25">
      <c r="A63" s="180"/>
      <c r="B63" s="181" t="s">
        <v>87</v>
      </c>
      <c r="D63" s="182">
        <v>40000</v>
      </c>
      <c r="E63" s="182">
        <v>40000</v>
      </c>
      <c r="F63" s="182">
        <v>40000</v>
      </c>
      <c r="G63" s="182">
        <v>40000</v>
      </c>
      <c r="H63" s="182">
        <v>40000</v>
      </c>
      <c r="I63" s="182">
        <v>40000</v>
      </c>
      <c r="J63" s="182">
        <v>40000</v>
      </c>
      <c r="K63" s="182">
        <v>40000</v>
      </c>
      <c r="L63" s="182">
        <v>40000</v>
      </c>
      <c r="M63" s="182">
        <v>40000</v>
      </c>
      <c r="N63" s="182">
        <v>40000</v>
      </c>
      <c r="O63" s="182">
        <v>40000</v>
      </c>
      <c r="P63" s="182">
        <f>SUM(D63:O63)</f>
        <v>480000</v>
      </c>
      <c r="Q63" s="183"/>
    </row>
    <row r="64" spans="1:25" x14ac:dyDescent="0.25">
      <c r="A64" s="180"/>
      <c r="B64" s="181" t="s">
        <v>141</v>
      </c>
      <c r="D64" s="182">
        <v>35000</v>
      </c>
      <c r="E64" s="182">
        <v>35000</v>
      </c>
      <c r="F64" s="182">
        <v>35000</v>
      </c>
      <c r="G64" s="182">
        <v>35000</v>
      </c>
      <c r="H64" s="182">
        <v>35000</v>
      </c>
      <c r="I64" s="182">
        <v>35000</v>
      </c>
      <c r="J64" s="182">
        <v>35000</v>
      </c>
      <c r="K64" s="182">
        <v>35000</v>
      </c>
      <c r="L64" s="182">
        <v>35000</v>
      </c>
      <c r="M64" s="182">
        <v>35000</v>
      </c>
      <c r="N64" s="182">
        <v>35000</v>
      </c>
      <c r="O64" s="182">
        <v>35000</v>
      </c>
      <c r="P64" s="182">
        <f>SUM(D64:O64)</f>
        <v>420000</v>
      </c>
      <c r="Q64" s="183"/>
    </row>
    <row r="65" spans="1:25" x14ac:dyDescent="0.25">
      <c r="A65" s="180"/>
      <c r="B65" s="181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3"/>
    </row>
    <row r="66" spans="1:25" x14ac:dyDescent="0.25">
      <c r="A66" s="180"/>
      <c r="B66" s="181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3"/>
    </row>
    <row r="67" spans="1:25" s="179" customFormat="1" ht="18.75" x14ac:dyDescent="0.25">
      <c r="A67" s="173"/>
      <c r="B67" s="174" t="s">
        <v>128</v>
      </c>
      <c r="C67" s="175"/>
      <c r="D67" s="176">
        <f>SUM(D68:D73)</f>
        <v>55000</v>
      </c>
      <c r="E67" s="176">
        <f t="shared" ref="E67:O67" si="11">SUM(E68:E73)</f>
        <v>55000</v>
      </c>
      <c r="F67" s="176">
        <f t="shared" si="11"/>
        <v>55000</v>
      </c>
      <c r="G67" s="176">
        <f t="shared" si="11"/>
        <v>55000</v>
      </c>
      <c r="H67" s="176">
        <f t="shared" si="11"/>
        <v>55000</v>
      </c>
      <c r="I67" s="176">
        <f t="shared" si="11"/>
        <v>55000</v>
      </c>
      <c r="J67" s="176">
        <f t="shared" si="11"/>
        <v>55000</v>
      </c>
      <c r="K67" s="176">
        <f t="shared" si="11"/>
        <v>55000</v>
      </c>
      <c r="L67" s="176">
        <f t="shared" si="11"/>
        <v>55000</v>
      </c>
      <c r="M67" s="176">
        <f t="shared" si="11"/>
        <v>55000</v>
      </c>
      <c r="N67" s="176">
        <f t="shared" si="11"/>
        <v>55000</v>
      </c>
      <c r="O67" s="176">
        <f t="shared" si="11"/>
        <v>55000</v>
      </c>
      <c r="P67" s="176">
        <f>SUM(P68:P70)</f>
        <v>660000</v>
      </c>
      <c r="Q67" s="177"/>
      <c r="R67" s="178"/>
      <c r="S67" s="178"/>
      <c r="T67" s="178"/>
      <c r="U67" s="178"/>
      <c r="V67" s="178"/>
      <c r="W67" s="178"/>
      <c r="X67" s="178"/>
      <c r="Y67" s="178"/>
    </row>
    <row r="68" spans="1:25" x14ac:dyDescent="0.25">
      <c r="A68" s="180"/>
      <c r="B68" s="181" t="s">
        <v>88</v>
      </c>
      <c r="D68" s="182">
        <v>15000</v>
      </c>
      <c r="E68" s="182">
        <v>15000</v>
      </c>
      <c r="F68" s="182">
        <v>15000</v>
      </c>
      <c r="G68" s="182">
        <v>15000</v>
      </c>
      <c r="H68" s="182">
        <v>15000</v>
      </c>
      <c r="I68" s="182">
        <v>15000</v>
      </c>
      <c r="J68" s="182">
        <v>15000</v>
      </c>
      <c r="K68" s="182">
        <v>15000</v>
      </c>
      <c r="L68" s="182">
        <v>15000</v>
      </c>
      <c r="M68" s="182">
        <v>15000</v>
      </c>
      <c r="N68" s="182">
        <v>15000</v>
      </c>
      <c r="O68" s="182">
        <v>15000</v>
      </c>
      <c r="P68" s="182">
        <f>SUM(D68:O68)</f>
        <v>180000</v>
      </c>
      <c r="Q68" s="183"/>
    </row>
    <row r="69" spans="1:25" x14ac:dyDescent="0.25">
      <c r="A69" s="180"/>
      <c r="B69" s="181" t="s">
        <v>89</v>
      </c>
      <c r="D69" s="182">
        <v>15000</v>
      </c>
      <c r="E69" s="182">
        <v>15000</v>
      </c>
      <c r="F69" s="182">
        <v>15000</v>
      </c>
      <c r="G69" s="182">
        <v>15000</v>
      </c>
      <c r="H69" s="182">
        <v>15000</v>
      </c>
      <c r="I69" s="182">
        <v>15000</v>
      </c>
      <c r="J69" s="182">
        <v>15000</v>
      </c>
      <c r="K69" s="182">
        <v>15000</v>
      </c>
      <c r="L69" s="182">
        <v>15000</v>
      </c>
      <c r="M69" s="182">
        <v>15000</v>
      </c>
      <c r="N69" s="182">
        <v>15000</v>
      </c>
      <c r="O69" s="182">
        <v>15000</v>
      </c>
      <c r="P69" s="182">
        <f>SUM(D69:O69)</f>
        <v>180000</v>
      </c>
      <c r="Q69" s="183"/>
    </row>
    <row r="70" spans="1:25" x14ac:dyDescent="0.25">
      <c r="A70" s="180"/>
      <c r="B70" s="184" t="s">
        <v>207</v>
      </c>
      <c r="C70" s="185"/>
      <c r="D70" s="182">
        <v>25000</v>
      </c>
      <c r="E70" s="182">
        <v>25000</v>
      </c>
      <c r="F70" s="182">
        <v>25000</v>
      </c>
      <c r="G70" s="182">
        <v>25000</v>
      </c>
      <c r="H70" s="182">
        <v>25000</v>
      </c>
      <c r="I70" s="182">
        <v>25000</v>
      </c>
      <c r="J70" s="182">
        <v>25000</v>
      </c>
      <c r="K70" s="182">
        <v>25000</v>
      </c>
      <c r="L70" s="182">
        <v>25000</v>
      </c>
      <c r="M70" s="182">
        <v>25000</v>
      </c>
      <c r="N70" s="182">
        <v>25000</v>
      </c>
      <c r="O70" s="182">
        <v>25000</v>
      </c>
      <c r="P70" s="182">
        <f>SUM(D70:O70)</f>
        <v>300000</v>
      </c>
      <c r="Q70" s="183"/>
    </row>
    <row r="71" spans="1:25" x14ac:dyDescent="0.25">
      <c r="A71" s="180"/>
      <c r="B71" s="184"/>
      <c r="C71" s="185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3"/>
    </row>
    <row r="72" spans="1:25" x14ac:dyDescent="0.25">
      <c r="A72" s="180"/>
      <c r="B72" s="184"/>
      <c r="C72" s="185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3"/>
    </row>
    <row r="73" spans="1:25" x14ac:dyDescent="0.25">
      <c r="A73" s="180"/>
      <c r="B73" s="181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3"/>
    </row>
    <row r="74" spans="1:25" s="179" customFormat="1" ht="18.75" x14ac:dyDescent="0.25">
      <c r="A74" s="173"/>
      <c r="B74" s="174" t="s">
        <v>130</v>
      </c>
      <c r="C74" s="175"/>
      <c r="D74" s="176">
        <f t="shared" ref="D74:P74" si="12">SUM(D75:D150)</f>
        <v>953425</v>
      </c>
      <c r="E74" s="176">
        <f t="shared" si="12"/>
        <v>953425</v>
      </c>
      <c r="F74" s="176">
        <f t="shared" si="12"/>
        <v>953425</v>
      </c>
      <c r="G74" s="176">
        <f t="shared" si="12"/>
        <v>953425</v>
      </c>
      <c r="H74" s="176">
        <f t="shared" si="12"/>
        <v>938425</v>
      </c>
      <c r="I74" s="176">
        <f t="shared" si="12"/>
        <v>938425</v>
      </c>
      <c r="J74" s="176">
        <f t="shared" si="12"/>
        <v>938425</v>
      </c>
      <c r="K74" s="176">
        <f t="shared" si="12"/>
        <v>938425</v>
      </c>
      <c r="L74" s="176">
        <f t="shared" si="12"/>
        <v>938425</v>
      </c>
      <c r="M74" s="176">
        <f t="shared" si="12"/>
        <v>938425</v>
      </c>
      <c r="N74" s="176">
        <f t="shared" si="12"/>
        <v>938425</v>
      </c>
      <c r="O74" s="176">
        <f t="shared" si="12"/>
        <v>938425</v>
      </c>
      <c r="P74" s="176">
        <f t="shared" si="12"/>
        <v>11321100</v>
      </c>
      <c r="Q74" s="177"/>
      <c r="R74" s="178"/>
      <c r="S74" s="178"/>
      <c r="T74" s="178"/>
      <c r="U74" s="178"/>
      <c r="V74" s="178"/>
      <c r="W74" s="178"/>
      <c r="X74" s="178"/>
      <c r="Y74" s="178"/>
    </row>
    <row r="75" spans="1:25" x14ac:dyDescent="0.25">
      <c r="A75" s="180"/>
      <c r="B75" s="193" t="s">
        <v>90</v>
      </c>
      <c r="D75" s="194"/>
      <c r="E75" s="195"/>
      <c r="F75" s="196"/>
      <c r="G75" s="195"/>
      <c r="H75" s="195"/>
      <c r="I75" s="195"/>
      <c r="J75" s="197"/>
      <c r="K75" s="197"/>
      <c r="L75" s="196"/>
      <c r="M75" s="197"/>
      <c r="N75" s="197"/>
      <c r="O75" s="196"/>
      <c r="P75" s="196"/>
      <c r="Q75" s="198"/>
      <c r="R75" s="199"/>
      <c r="S75" s="199"/>
      <c r="T75" s="199"/>
      <c r="U75" s="199"/>
      <c r="V75" s="199"/>
      <c r="W75" s="199"/>
      <c r="X75" s="199"/>
      <c r="Y75" s="199"/>
    </row>
    <row r="76" spans="1:25" x14ac:dyDescent="0.25">
      <c r="A76" s="180"/>
      <c r="B76" s="186" t="s">
        <v>189</v>
      </c>
      <c r="C76" s="200"/>
      <c r="D76" s="182">
        <v>24000</v>
      </c>
      <c r="E76" s="182">
        <v>24000</v>
      </c>
      <c r="F76" s="182">
        <v>24000</v>
      </c>
      <c r="G76" s="182">
        <v>24000</v>
      </c>
      <c r="H76" s="182">
        <v>24000</v>
      </c>
      <c r="I76" s="182">
        <v>24000</v>
      </c>
      <c r="J76" s="182">
        <v>24000</v>
      </c>
      <c r="K76" s="182">
        <v>24000</v>
      </c>
      <c r="L76" s="182">
        <v>24000</v>
      </c>
      <c r="M76" s="182">
        <v>24000</v>
      </c>
      <c r="N76" s="182">
        <v>24000</v>
      </c>
      <c r="O76" s="182">
        <v>24000</v>
      </c>
      <c r="P76" s="182">
        <f t="shared" ref="P76:P144" si="13">SUM(D76:O76)</f>
        <v>288000</v>
      </c>
      <c r="Q76" s="189"/>
      <c r="R76" s="190"/>
      <c r="S76" s="190"/>
      <c r="T76" s="190"/>
      <c r="U76" s="190"/>
      <c r="V76" s="190"/>
      <c r="W76" s="190"/>
      <c r="X76" s="190"/>
      <c r="Y76" s="190"/>
    </row>
    <row r="77" spans="1:25" x14ac:dyDescent="0.25">
      <c r="A77" s="180"/>
      <c r="B77" s="186" t="s">
        <v>187</v>
      </c>
      <c r="C77" s="200"/>
      <c r="D77" s="182">
        <v>15000</v>
      </c>
      <c r="E77" s="182">
        <v>15000</v>
      </c>
      <c r="F77" s="182">
        <v>15000</v>
      </c>
      <c r="G77" s="182">
        <v>15000</v>
      </c>
      <c r="H77" s="182">
        <v>15000</v>
      </c>
      <c r="I77" s="182">
        <v>15000</v>
      </c>
      <c r="J77" s="182">
        <v>15000</v>
      </c>
      <c r="K77" s="182">
        <v>15000</v>
      </c>
      <c r="L77" s="182">
        <v>15000</v>
      </c>
      <c r="M77" s="182">
        <v>15000</v>
      </c>
      <c r="N77" s="182">
        <v>15000</v>
      </c>
      <c r="O77" s="182">
        <v>15000</v>
      </c>
      <c r="P77" s="182">
        <f t="shared" si="13"/>
        <v>180000</v>
      </c>
      <c r="Q77" s="189"/>
      <c r="R77" s="190"/>
      <c r="S77" s="190"/>
      <c r="T77" s="190"/>
      <c r="U77" s="190"/>
      <c r="V77" s="190"/>
      <c r="W77" s="190"/>
      <c r="X77" s="190"/>
      <c r="Y77" s="190"/>
    </row>
    <row r="78" spans="1:25" x14ac:dyDescent="0.25">
      <c r="A78" s="180"/>
      <c r="B78" s="186" t="s">
        <v>102</v>
      </c>
      <c r="C78" s="200"/>
      <c r="D78" s="182">
        <v>11500</v>
      </c>
      <c r="E78" s="182">
        <v>11500</v>
      </c>
      <c r="F78" s="182">
        <v>11500</v>
      </c>
      <c r="G78" s="182">
        <v>11500</v>
      </c>
      <c r="H78" s="182">
        <v>11500</v>
      </c>
      <c r="I78" s="182">
        <v>11500</v>
      </c>
      <c r="J78" s="182">
        <v>11500</v>
      </c>
      <c r="K78" s="182">
        <v>11500</v>
      </c>
      <c r="L78" s="182">
        <v>11500</v>
      </c>
      <c r="M78" s="182">
        <v>11500</v>
      </c>
      <c r="N78" s="182">
        <v>11500</v>
      </c>
      <c r="O78" s="182">
        <v>11500</v>
      </c>
      <c r="P78" s="182">
        <f t="shared" si="13"/>
        <v>138000</v>
      </c>
      <c r="Q78" s="189"/>
      <c r="R78" s="190"/>
      <c r="S78" s="190"/>
      <c r="T78" s="190"/>
      <c r="U78" s="190"/>
      <c r="V78" s="190"/>
      <c r="W78" s="190"/>
      <c r="X78" s="190"/>
      <c r="Y78" s="190"/>
    </row>
    <row r="79" spans="1:25" x14ac:dyDescent="0.25">
      <c r="A79" s="180"/>
      <c r="B79" s="201" t="s">
        <v>196</v>
      </c>
      <c r="C79" s="200"/>
      <c r="D79" s="182">
        <v>11500</v>
      </c>
      <c r="E79" s="182">
        <v>11500</v>
      </c>
      <c r="F79" s="182">
        <v>11500</v>
      </c>
      <c r="G79" s="182">
        <v>11500</v>
      </c>
      <c r="H79" s="182">
        <v>11500</v>
      </c>
      <c r="I79" s="182">
        <v>11500</v>
      </c>
      <c r="J79" s="182">
        <v>11500</v>
      </c>
      <c r="K79" s="182">
        <v>11500</v>
      </c>
      <c r="L79" s="182">
        <v>11500</v>
      </c>
      <c r="M79" s="182">
        <v>11500</v>
      </c>
      <c r="N79" s="182">
        <v>11500</v>
      </c>
      <c r="O79" s="182">
        <v>11500</v>
      </c>
      <c r="P79" s="182">
        <f t="shared" si="13"/>
        <v>138000</v>
      </c>
      <c r="Q79" s="189"/>
      <c r="R79" s="190"/>
      <c r="S79" s="190"/>
      <c r="T79" s="190"/>
      <c r="U79" s="190"/>
      <c r="V79" s="190"/>
      <c r="W79" s="190"/>
      <c r="X79" s="190"/>
      <c r="Y79" s="190"/>
    </row>
    <row r="80" spans="1:25" x14ac:dyDescent="0.25">
      <c r="A80" s="180"/>
      <c r="B80" s="193" t="s">
        <v>91</v>
      </c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82">
        <f t="shared" si="13"/>
        <v>0</v>
      </c>
      <c r="Q80" s="198"/>
      <c r="R80" s="199"/>
      <c r="S80" s="199"/>
      <c r="T80" s="199"/>
      <c r="U80" s="199"/>
      <c r="V80" s="199"/>
      <c r="W80" s="199"/>
      <c r="X80" s="199"/>
      <c r="Y80" s="199"/>
    </row>
    <row r="81" spans="1:25" x14ac:dyDescent="0.25">
      <c r="A81" s="180"/>
      <c r="B81" s="186" t="s">
        <v>190</v>
      </c>
      <c r="C81" s="200"/>
      <c r="D81" s="182">
        <v>39000</v>
      </c>
      <c r="E81" s="182">
        <v>39000</v>
      </c>
      <c r="F81" s="182">
        <v>39000</v>
      </c>
      <c r="G81" s="182">
        <v>39000</v>
      </c>
      <c r="H81" s="182">
        <v>39000</v>
      </c>
      <c r="I81" s="182">
        <v>39000</v>
      </c>
      <c r="J81" s="182">
        <v>39000</v>
      </c>
      <c r="K81" s="182">
        <v>39000</v>
      </c>
      <c r="L81" s="182">
        <v>39000</v>
      </c>
      <c r="M81" s="182">
        <v>39000</v>
      </c>
      <c r="N81" s="182">
        <v>39000</v>
      </c>
      <c r="O81" s="182">
        <v>39000</v>
      </c>
      <c r="P81" s="182">
        <f t="shared" si="13"/>
        <v>468000</v>
      </c>
      <c r="Q81" s="189"/>
      <c r="R81" s="190"/>
      <c r="S81" s="190"/>
      <c r="T81" s="190"/>
      <c r="U81" s="190"/>
      <c r="V81" s="190"/>
      <c r="W81" s="190"/>
      <c r="X81" s="190"/>
      <c r="Y81" s="190"/>
    </row>
    <row r="82" spans="1:25" x14ac:dyDescent="0.25">
      <c r="A82" s="180"/>
      <c r="B82" s="186" t="s">
        <v>191</v>
      </c>
      <c r="C82" s="200"/>
      <c r="D82" s="182">
        <v>18000</v>
      </c>
      <c r="E82" s="182">
        <v>18000</v>
      </c>
      <c r="F82" s="182">
        <v>18000</v>
      </c>
      <c r="G82" s="182">
        <v>18000</v>
      </c>
      <c r="H82" s="182">
        <v>18000</v>
      </c>
      <c r="I82" s="182">
        <v>18000</v>
      </c>
      <c r="J82" s="182">
        <v>18000</v>
      </c>
      <c r="K82" s="182">
        <v>18000</v>
      </c>
      <c r="L82" s="182">
        <v>18000</v>
      </c>
      <c r="M82" s="182">
        <v>18000</v>
      </c>
      <c r="N82" s="182">
        <v>18000</v>
      </c>
      <c r="O82" s="182">
        <v>18000</v>
      </c>
      <c r="P82" s="182">
        <f t="shared" si="13"/>
        <v>216000</v>
      </c>
      <c r="Q82" s="189"/>
      <c r="R82" s="190"/>
      <c r="S82" s="190"/>
      <c r="T82" s="190"/>
      <c r="U82" s="190"/>
      <c r="V82" s="190"/>
      <c r="W82" s="190"/>
      <c r="X82" s="190"/>
      <c r="Y82" s="190"/>
    </row>
    <row r="83" spans="1:25" x14ac:dyDescent="0.25">
      <c r="A83" s="180"/>
      <c r="B83" s="186" t="s">
        <v>192</v>
      </c>
      <c r="C83" s="200"/>
      <c r="D83" s="182">
        <v>9000</v>
      </c>
      <c r="E83" s="182">
        <v>9000</v>
      </c>
      <c r="F83" s="182">
        <v>9000</v>
      </c>
      <c r="G83" s="182">
        <v>9000</v>
      </c>
      <c r="H83" s="182">
        <v>9000</v>
      </c>
      <c r="I83" s="182">
        <v>9000</v>
      </c>
      <c r="J83" s="182">
        <v>9000</v>
      </c>
      <c r="K83" s="182">
        <v>9000</v>
      </c>
      <c r="L83" s="182">
        <v>9000</v>
      </c>
      <c r="M83" s="182">
        <v>9000</v>
      </c>
      <c r="N83" s="182">
        <v>9000</v>
      </c>
      <c r="O83" s="182">
        <v>9000</v>
      </c>
      <c r="P83" s="182">
        <f t="shared" si="13"/>
        <v>108000</v>
      </c>
      <c r="Q83" s="189"/>
      <c r="R83" s="190"/>
      <c r="S83" s="190"/>
      <c r="T83" s="190"/>
      <c r="U83" s="190"/>
      <c r="V83" s="190"/>
      <c r="W83" s="190"/>
      <c r="X83" s="190"/>
      <c r="Y83" s="190"/>
    </row>
    <row r="84" spans="1:25" x14ac:dyDescent="0.25">
      <c r="A84" s="180"/>
      <c r="B84" s="193" t="s">
        <v>92</v>
      </c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82">
        <f t="shared" si="13"/>
        <v>0</v>
      </c>
      <c r="Q84" s="198"/>
      <c r="R84" s="199"/>
      <c r="S84" s="199"/>
      <c r="T84" s="199"/>
      <c r="U84" s="199"/>
      <c r="V84" s="199"/>
      <c r="W84" s="199"/>
      <c r="X84" s="199"/>
      <c r="Y84" s="199"/>
    </row>
    <row r="85" spans="1:25" x14ac:dyDescent="0.25">
      <c r="A85" s="180"/>
      <c r="B85" s="186" t="s">
        <v>193</v>
      </c>
      <c r="C85" s="200"/>
      <c r="D85" s="182">
        <v>24000</v>
      </c>
      <c r="E85" s="182">
        <v>24000</v>
      </c>
      <c r="F85" s="182">
        <v>24000</v>
      </c>
      <c r="G85" s="182">
        <v>24000</v>
      </c>
      <c r="H85" s="182">
        <v>24000</v>
      </c>
      <c r="I85" s="182">
        <v>24000</v>
      </c>
      <c r="J85" s="182">
        <v>24000</v>
      </c>
      <c r="K85" s="182">
        <v>24000</v>
      </c>
      <c r="L85" s="182">
        <v>24000</v>
      </c>
      <c r="M85" s="182">
        <v>24000</v>
      </c>
      <c r="N85" s="182">
        <v>24000</v>
      </c>
      <c r="O85" s="182">
        <v>24000</v>
      </c>
      <c r="P85" s="182">
        <f t="shared" si="13"/>
        <v>288000</v>
      </c>
      <c r="Q85" s="189"/>
      <c r="R85" s="190"/>
      <c r="S85" s="190"/>
      <c r="T85" s="190"/>
      <c r="U85" s="190"/>
      <c r="V85" s="190"/>
      <c r="W85" s="190"/>
      <c r="X85" s="190"/>
      <c r="Y85" s="190"/>
    </row>
    <row r="86" spans="1:25" x14ac:dyDescent="0.25">
      <c r="A86" s="180"/>
      <c r="B86" s="186" t="s">
        <v>194</v>
      </c>
      <c r="C86" s="200"/>
      <c r="D86" s="182">
        <v>18000</v>
      </c>
      <c r="E86" s="182">
        <v>18000</v>
      </c>
      <c r="F86" s="182">
        <v>18000</v>
      </c>
      <c r="G86" s="182">
        <v>18000</v>
      </c>
      <c r="H86" s="182">
        <v>18000</v>
      </c>
      <c r="I86" s="182">
        <v>18000</v>
      </c>
      <c r="J86" s="182">
        <v>18000</v>
      </c>
      <c r="K86" s="182">
        <v>18000</v>
      </c>
      <c r="L86" s="182">
        <v>18000</v>
      </c>
      <c r="M86" s="182">
        <v>18000</v>
      </c>
      <c r="N86" s="182">
        <v>18000</v>
      </c>
      <c r="O86" s="182">
        <v>18000</v>
      </c>
      <c r="P86" s="182">
        <f t="shared" si="13"/>
        <v>216000</v>
      </c>
      <c r="Q86" s="189"/>
      <c r="R86" s="190"/>
      <c r="S86" s="190"/>
      <c r="T86" s="190"/>
      <c r="U86" s="190"/>
      <c r="V86" s="190"/>
      <c r="W86" s="190"/>
      <c r="X86" s="190"/>
      <c r="Y86" s="190"/>
    </row>
    <row r="87" spans="1:25" x14ac:dyDescent="0.25">
      <c r="A87" s="180"/>
      <c r="B87" s="186" t="s">
        <v>195</v>
      </c>
      <c r="C87" s="200"/>
      <c r="D87" s="182">
        <v>9350</v>
      </c>
      <c r="E87" s="182">
        <v>9350</v>
      </c>
      <c r="F87" s="182">
        <v>9350</v>
      </c>
      <c r="G87" s="182">
        <v>9350</v>
      </c>
      <c r="H87" s="182">
        <v>9350</v>
      </c>
      <c r="I87" s="182">
        <v>9350</v>
      </c>
      <c r="J87" s="182">
        <v>9350</v>
      </c>
      <c r="K87" s="182">
        <v>9350</v>
      </c>
      <c r="L87" s="182">
        <v>9350</v>
      </c>
      <c r="M87" s="182">
        <v>9350</v>
      </c>
      <c r="N87" s="182">
        <v>9350</v>
      </c>
      <c r="O87" s="182">
        <v>9350</v>
      </c>
      <c r="P87" s="182">
        <f t="shared" si="13"/>
        <v>112200</v>
      </c>
      <c r="Q87" s="189"/>
      <c r="R87" s="190"/>
      <c r="S87" s="190"/>
      <c r="T87" s="190"/>
      <c r="U87" s="190"/>
      <c r="V87" s="190"/>
      <c r="W87" s="190"/>
      <c r="X87" s="190"/>
      <c r="Y87" s="190"/>
    </row>
    <row r="88" spans="1:25" x14ac:dyDescent="0.25">
      <c r="A88" s="180"/>
      <c r="B88" s="193" t="s">
        <v>93</v>
      </c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82">
        <f t="shared" si="13"/>
        <v>0</v>
      </c>
      <c r="Q88" s="198"/>
      <c r="R88" s="199"/>
      <c r="S88" s="199"/>
      <c r="T88" s="199"/>
      <c r="U88" s="199"/>
      <c r="V88" s="199"/>
      <c r="W88" s="199"/>
      <c r="X88" s="199"/>
      <c r="Y88" s="199"/>
    </row>
    <row r="89" spans="1:25" x14ac:dyDescent="0.25">
      <c r="A89" s="180"/>
      <c r="B89" s="184" t="s">
        <v>38</v>
      </c>
      <c r="C89" s="200"/>
      <c r="D89" s="182">
        <v>19445</v>
      </c>
      <c r="E89" s="182">
        <v>19445</v>
      </c>
      <c r="F89" s="182">
        <v>19445</v>
      </c>
      <c r="G89" s="182">
        <v>19445</v>
      </c>
      <c r="H89" s="182">
        <v>19445</v>
      </c>
      <c r="I89" s="182">
        <v>19445</v>
      </c>
      <c r="J89" s="182">
        <v>19445</v>
      </c>
      <c r="K89" s="182">
        <v>19445</v>
      </c>
      <c r="L89" s="182">
        <v>19445</v>
      </c>
      <c r="M89" s="182">
        <v>19445</v>
      </c>
      <c r="N89" s="182">
        <v>19445</v>
      </c>
      <c r="O89" s="182">
        <v>19445</v>
      </c>
      <c r="P89" s="182">
        <f t="shared" si="13"/>
        <v>233340</v>
      </c>
      <c r="Q89" s="198"/>
      <c r="R89" s="199"/>
      <c r="S89" s="199"/>
      <c r="T89" s="199"/>
      <c r="U89" s="199"/>
      <c r="V89" s="199"/>
      <c r="W89" s="199"/>
      <c r="X89" s="199"/>
      <c r="Y89" s="199"/>
    </row>
    <row r="90" spans="1:25" x14ac:dyDescent="0.25">
      <c r="A90" s="180"/>
      <c r="B90" s="192" t="s">
        <v>144</v>
      </c>
      <c r="C90" s="200"/>
      <c r="D90" s="182">
        <v>17000</v>
      </c>
      <c r="E90" s="182">
        <v>17000</v>
      </c>
      <c r="F90" s="182">
        <v>17000</v>
      </c>
      <c r="G90" s="182">
        <v>17000</v>
      </c>
      <c r="H90" s="182">
        <v>17000</v>
      </c>
      <c r="I90" s="182">
        <v>17000</v>
      </c>
      <c r="J90" s="182">
        <v>17000</v>
      </c>
      <c r="K90" s="182">
        <v>17000</v>
      </c>
      <c r="L90" s="182">
        <v>17000</v>
      </c>
      <c r="M90" s="182">
        <v>17000</v>
      </c>
      <c r="N90" s="182">
        <v>17000</v>
      </c>
      <c r="O90" s="182">
        <v>17000</v>
      </c>
      <c r="P90" s="182">
        <f t="shared" si="13"/>
        <v>204000</v>
      </c>
      <c r="Q90" s="198"/>
      <c r="R90" s="199"/>
      <c r="S90" s="199"/>
      <c r="T90" s="199"/>
      <c r="U90" s="199"/>
      <c r="V90" s="199"/>
      <c r="W90" s="199"/>
      <c r="X90" s="199"/>
      <c r="Y90" s="199"/>
    </row>
    <row r="91" spans="1:25" x14ac:dyDescent="0.25">
      <c r="A91" s="180"/>
      <c r="B91" s="192" t="s">
        <v>153</v>
      </c>
      <c r="C91" s="200"/>
      <c r="D91" s="182">
        <v>9500</v>
      </c>
      <c r="E91" s="182">
        <v>9500</v>
      </c>
      <c r="F91" s="182">
        <v>9500</v>
      </c>
      <c r="G91" s="182">
        <v>9500</v>
      </c>
      <c r="H91" s="182">
        <v>9500</v>
      </c>
      <c r="I91" s="182">
        <v>9500</v>
      </c>
      <c r="J91" s="182">
        <v>9500</v>
      </c>
      <c r="K91" s="182">
        <v>9500</v>
      </c>
      <c r="L91" s="182">
        <v>9500</v>
      </c>
      <c r="M91" s="182">
        <v>9500</v>
      </c>
      <c r="N91" s="182">
        <v>9500</v>
      </c>
      <c r="O91" s="182">
        <v>9500</v>
      </c>
      <c r="P91" s="182">
        <f t="shared" si="13"/>
        <v>114000</v>
      </c>
      <c r="Q91" s="198"/>
      <c r="R91" s="199"/>
      <c r="S91" s="199"/>
      <c r="T91" s="199"/>
      <c r="U91" s="199"/>
      <c r="V91" s="199"/>
      <c r="W91" s="199"/>
      <c r="X91" s="199"/>
      <c r="Y91" s="199"/>
    </row>
    <row r="92" spans="1:25" x14ac:dyDescent="0.25">
      <c r="A92" s="180"/>
      <c r="B92" s="201" t="s">
        <v>154</v>
      </c>
      <c r="C92" s="200"/>
      <c r="D92" s="182">
        <v>14000</v>
      </c>
      <c r="E92" s="182">
        <v>14000</v>
      </c>
      <c r="F92" s="182">
        <v>14000</v>
      </c>
      <c r="G92" s="182">
        <v>14000</v>
      </c>
      <c r="H92" s="182">
        <v>14000</v>
      </c>
      <c r="I92" s="182">
        <v>14000</v>
      </c>
      <c r="J92" s="182">
        <v>14000</v>
      </c>
      <c r="K92" s="182">
        <v>14000</v>
      </c>
      <c r="L92" s="182">
        <v>14000</v>
      </c>
      <c r="M92" s="182">
        <v>14000</v>
      </c>
      <c r="N92" s="182">
        <v>14000</v>
      </c>
      <c r="O92" s="182">
        <v>14000</v>
      </c>
      <c r="P92" s="182">
        <f t="shared" si="13"/>
        <v>168000</v>
      </c>
      <c r="Q92" s="198"/>
      <c r="R92" s="199"/>
      <c r="S92" s="199"/>
      <c r="T92" s="199"/>
      <c r="U92" s="199"/>
      <c r="V92" s="199"/>
      <c r="W92" s="199"/>
      <c r="X92" s="199"/>
      <c r="Y92" s="199"/>
    </row>
    <row r="93" spans="1:25" x14ac:dyDescent="0.25">
      <c r="A93" s="180"/>
      <c r="B93" s="193" t="s">
        <v>94</v>
      </c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82">
        <f t="shared" si="13"/>
        <v>0</v>
      </c>
      <c r="Q93" s="183"/>
      <c r="R93" s="202"/>
      <c r="S93" s="202"/>
      <c r="T93" s="202"/>
      <c r="U93" s="202"/>
      <c r="V93" s="202"/>
      <c r="W93" s="202"/>
      <c r="X93" s="202"/>
      <c r="Y93" s="202"/>
    </row>
    <row r="94" spans="1:25" x14ac:dyDescent="0.25">
      <c r="A94" s="180"/>
      <c r="B94" s="192" t="s">
        <v>139</v>
      </c>
      <c r="C94" s="200"/>
      <c r="D94" s="182">
        <v>20600</v>
      </c>
      <c r="E94" s="182">
        <v>20600</v>
      </c>
      <c r="F94" s="182">
        <v>20600</v>
      </c>
      <c r="G94" s="182">
        <v>20600</v>
      </c>
      <c r="H94" s="182">
        <v>20600</v>
      </c>
      <c r="I94" s="182">
        <v>20600</v>
      </c>
      <c r="J94" s="182">
        <v>20600</v>
      </c>
      <c r="K94" s="182">
        <v>20600</v>
      </c>
      <c r="L94" s="182">
        <v>20600</v>
      </c>
      <c r="M94" s="182">
        <v>20600</v>
      </c>
      <c r="N94" s="182">
        <v>20600</v>
      </c>
      <c r="O94" s="182">
        <v>20600</v>
      </c>
      <c r="P94" s="182">
        <f t="shared" si="13"/>
        <v>247200</v>
      </c>
      <c r="Q94" s="198"/>
      <c r="R94" s="199"/>
      <c r="S94" s="199"/>
      <c r="T94" s="199"/>
      <c r="U94" s="199"/>
      <c r="V94" s="199"/>
      <c r="W94" s="199"/>
      <c r="X94" s="199"/>
      <c r="Y94" s="199"/>
    </row>
    <row r="95" spans="1:25" x14ac:dyDescent="0.25">
      <c r="A95" s="180"/>
      <c r="B95" s="203" t="s">
        <v>95</v>
      </c>
      <c r="C95" s="200"/>
      <c r="D95" s="182">
        <v>15000</v>
      </c>
      <c r="E95" s="182">
        <v>15000</v>
      </c>
      <c r="F95" s="182">
        <v>15000</v>
      </c>
      <c r="G95" s="182">
        <v>15000</v>
      </c>
      <c r="H95" s="182">
        <v>15000</v>
      </c>
      <c r="I95" s="182">
        <v>15000</v>
      </c>
      <c r="J95" s="182">
        <v>15000</v>
      </c>
      <c r="K95" s="182">
        <v>15000</v>
      </c>
      <c r="L95" s="182">
        <v>15000</v>
      </c>
      <c r="M95" s="182">
        <v>15000</v>
      </c>
      <c r="N95" s="182">
        <v>15000</v>
      </c>
      <c r="O95" s="182">
        <v>15000</v>
      </c>
      <c r="P95" s="182">
        <f t="shared" si="13"/>
        <v>180000</v>
      </c>
      <c r="Q95" s="198"/>
      <c r="R95" s="199"/>
      <c r="S95" s="199"/>
      <c r="T95" s="199"/>
      <c r="U95" s="199"/>
      <c r="V95" s="199"/>
      <c r="W95" s="199"/>
      <c r="X95" s="199"/>
      <c r="Y95" s="199"/>
    </row>
    <row r="96" spans="1:25" x14ac:dyDescent="0.25">
      <c r="A96" s="180"/>
      <c r="B96" s="203" t="s">
        <v>96</v>
      </c>
      <c r="C96" s="200"/>
      <c r="D96" s="182">
        <v>10000</v>
      </c>
      <c r="E96" s="182">
        <v>10000</v>
      </c>
      <c r="F96" s="182">
        <v>10000</v>
      </c>
      <c r="G96" s="182">
        <v>10000</v>
      </c>
      <c r="H96" s="182">
        <v>10000</v>
      </c>
      <c r="I96" s="182">
        <v>10000</v>
      </c>
      <c r="J96" s="182">
        <v>10000</v>
      </c>
      <c r="K96" s="182">
        <v>10000</v>
      </c>
      <c r="L96" s="182">
        <v>10000</v>
      </c>
      <c r="M96" s="182">
        <v>10000</v>
      </c>
      <c r="N96" s="182">
        <v>10000</v>
      </c>
      <c r="O96" s="182">
        <v>10000</v>
      </c>
      <c r="P96" s="182">
        <f t="shared" si="13"/>
        <v>120000</v>
      </c>
      <c r="Q96" s="198"/>
      <c r="R96" s="199"/>
      <c r="S96" s="199"/>
      <c r="T96" s="199"/>
      <c r="U96" s="199"/>
      <c r="V96" s="199"/>
      <c r="W96" s="199"/>
      <c r="X96" s="199"/>
      <c r="Y96" s="199"/>
    </row>
    <row r="97" spans="1:25" x14ac:dyDescent="0.25">
      <c r="A97" s="180"/>
      <c r="B97" s="204" t="s">
        <v>155</v>
      </c>
      <c r="C97" s="200"/>
      <c r="D97" s="205">
        <v>10000</v>
      </c>
      <c r="E97" s="205">
        <v>10000</v>
      </c>
      <c r="F97" s="205">
        <v>10000</v>
      </c>
      <c r="G97" s="205">
        <v>10000</v>
      </c>
      <c r="H97" s="205">
        <v>10000</v>
      </c>
      <c r="I97" s="205">
        <v>10000</v>
      </c>
      <c r="J97" s="205">
        <v>10000</v>
      </c>
      <c r="K97" s="205">
        <v>10000</v>
      </c>
      <c r="L97" s="205">
        <v>10000</v>
      </c>
      <c r="M97" s="205">
        <v>10000</v>
      </c>
      <c r="N97" s="205">
        <v>10000</v>
      </c>
      <c r="O97" s="205">
        <v>10000</v>
      </c>
      <c r="P97" s="182">
        <f t="shared" si="13"/>
        <v>120000</v>
      </c>
      <c r="Q97" s="198"/>
      <c r="R97" s="199"/>
      <c r="S97" s="199"/>
      <c r="T97" s="199"/>
      <c r="U97" s="199"/>
      <c r="V97" s="199"/>
      <c r="W97" s="199"/>
      <c r="X97" s="199"/>
      <c r="Y97" s="199"/>
    </row>
    <row r="98" spans="1:25" x14ac:dyDescent="0.25">
      <c r="A98" s="180"/>
      <c r="B98" s="193" t="s">
        <v>97</v>
      </c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82">
        <f t="shared" si="13"/>
        <v>0</v>
      </c>
      <c r="Q98" s="183"/>
      <c r="R98" s="202"/>
      <c r="S98" s="202"/>
      <c r="T98" s="202"/>
      <c r="U98" s="202"/>
      <c r="V98" s="202"/>
      <c r="W98" s="202"/>
      <c r="X98" s="202"/>
      <c r="Y98" s="202"/>
    </row>
    <row r="99" spans="1:25" x14ac:dyDescent="0.25">
      <c r="A99" s="180"/>
      <c r="B99" s="203" t="s">
        <v>98</v>
      </c>
      <c r="C99" s="200"/>
      <c r="D99" s="182">
        <v>23000</v>
      </c>
      <c r="E99" s="182">
        <v>23000</v>
      </c>
      <c r="F99" s="182">
        <v>23000</v>
      </c>
      <c r="G99" s="182">
        <v>23000</v>
      </c>
      <c r="H99" s="182">
        <v>23000</v>
      </c>
      <c r="I99" s="182">
        <v>23000</v>
      </c>
      <c r="J99" s="182">
        <v>23000</v>
      </c>
      <c r="K99" s="182">
        <v>23000</v>
      </c>
      <c r="L99" s="182">
        <v>23000</v>
      </c>
      <c r="M99" s="182">
        <v>23000</v>
      </c>
      <c r="N99" s="182">
        <v>23000</v>
      </c>
      <c r="O99" s="182">
        <v>23000</v>
      </c>
      <c r="P99" s="182">
        <f t="shared" si="13"/>
        <v>276000</v>
      </c>
      <c r="Q99" s="198"/>
      <c r="R99" s="199"/>
      <c r="S99" s="199"/>
      <c r="T99" s="199"/>
      <c r="U99" s="199"/>
      <c r="V99" s="199"/>
      <c r="W99" s="199"/>
      <c r="X99" s="199"/>
      <c r="Y99" s="199"/>
    </row>
    <row r="100" spans="1:25" x14ac:dyDescent="0.25">
      <c r="A100" s="180"/>
      <c r="B100" s="203" t="s">
        <v>99</v>
      </c>
      <c r="C100" s="200"/>
      <c r="D100" s="182">
        <v>15000</v>
      </c>
      <c r="E100" s="182">
        <v>15000</v>
      </c>
      <c r="F100" s="182">
        <v>15000</v>
      </c>
      <c r="G100" s="182">
        <v>15000</v>
      </c>
      <c r="H100" s="182">
        <v>15000</v>
      </c>
      <c r="I100" s="182">
        <v>15000</v>
      </c>
      <c r="J100" s="182">
        <v>15000</v>
      </c>
      <c r="K100" s="182">
        <v>15000</v>
      </c>
      <c r="L100" s="182">
        <v>15000</v>
      </c>
      <c r="M100" s="182">
        <v>15000</v>
      </c>
      <c r="N100" s="182">
        <v>15000</v>
      </c>
      <c r="O100" s="182">
        <v>15000</v>
      </c>
      <c r="P100" s="182">
        <f t="shared" si="13"/>
        <v>180000</v>
      </c>
      <c r="Q100" s="198"/>
      <c r="R100" s="199"/>
      <c r="S100" s="199"/>
      <c r="T100" s="199"/>
      <c r="U100" s="199"/>
      <c r="V100" s="199"/>
      <c r="W100" s="199"/>
      <c r="X100" s="199"/>
      <c r="Y100" s="199"/>
    </row>
    <row r="101" spans="1:25" x14ac:dyDescent="0.25">
      <c r="A101" s="180"/>
      <c r="B101" s="203" t="s">
        <v>197</v>
      </c>
      <c r="C101" s="200"/>
      <c r="D101" s="182">
        <v>10000</v>
      </c>
      <c r="E101" s="182">
        <v>10000</v>
      </c>
      <c r="F101" s="182">
        <v>10000</v>
      </c>
      <c r="G101" s="182">
        <v>10000</v>
      </c>
      <c r="H101" s="182">
        <v>10000</v>
      </c>
      <c r="I101" s="182">
        <v>10000</v>
      </c>
      <c r="J101" s="182">
        <v>10000</v>
      </c>
      <c r="K101" s="182">
        <v>10000</v>
      </c>
      <c r="L101" s="182">
        <v>10000</v>
      </c>
      <c r="M101" s="182">
        <v>10000</v>
      </c>
      <c r="N101" s="182">
        <v>10000</v>
      </c>
      <c r="O101" s="182">
        <v>10000</v>
      </c>
      <c r="P101" s="182">
        <f t="shared" si="13"/>
        <v>120000</v>
      </c>
      <c r="Q101" s="198"/>
      <c r="R101" s="199"/>
      <c r="S101" s="199"/>
      <c r="T101" s="199"/>
      <c r="U101" s="199"/>
      <c r="V101" s="199"/>
      <c r="W101" s="199"/>
      <c r="X101" s="199"/>
      <c r="Y101" s="199"/>
    </row>
    <row r="102" spans="1:25" x14ac:dyDescent="0.25">
      <c r="A102" s="180"/>
      <c r="B102" s="193" t="s">
        <v>100</v>
      </c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82">
        <f t="shared" si="13"/>
        <v>0</v>
      </c>
      <c r="Q102" s="183"/>
      <c r="R102" s="202"/>
      <c r="S102" s="202"/>
      <c r="T102" s="202"/>
      <c r="U102" s="202"/>
      <c r="V102" s="202"/>
      <c r="W102" s="202"/>
      <c r="X102" s="202"/>
      <c r="Y102" s="202"/>
    </row>
    <row r="103" spans="1:25" x14ac:dyDescent="0.25">
      <c r="A103" s="180"/>
      <c r="B103" s="192" t="s">
        <v>142</v>
      </c>
      <c r="C103" s="200"/>
      <c r="D103" s="182">
        <v>22365</v>
      </c>
      <c r="E103" s="182">
        <v>22365</v>
      </c>
      <c r="F103" s="182">
        <v>22365</v>
      </c>
      <c r="G103" s="182">
        <v>22365</v>
      </c>
      <c r="H103" s="182">
        <v>22365</v>
      </c>
      <c r="I103" s="182">
        <v>22365</v>
      </c>
      <c r="J103" s="182">
        <v>22365</v>
      </c>
      <c r="K103" s="182">
        <v>22365</v>
      </c>
      <c r="L103" s="182">
        <v>22365</v>
      </c>
      <c r="M103" s="182">
        <v>22365</v>
      </c>
      <c r="N103" s="182">
        <v>22365</v>
      </c>
      <c r="O103" s="182">
        <v>22365</v>
      </c>
      <c r="P103" s="182">
        <f t="shared" si="13"/>
        <v>268380</v>
      </c>
      <c r="Q103" s="198"/>
      <c r="R103" s="199"/>
      <c r="S103" s="199"/>
      <c r="T103" s="199"/>
      <c r="U103" s="199"/>
      <c r="V103" s="199"/>
      <c r="W103" s="199"/>
      <c r="X103" s="199"/>
      <c r="Y103" s="199"/>
    </row>
    <row r="104" spans="1:25" x14ac:dyDescent="0.25">
      <c r="A104" s="180"/>
      <c r="B104" s="192" t="s">
        <v>198</v>
      </c>
      <c r="C104" s="200"/>
      <c r="D104" s="182">
        <v>21000</v>
      </c>
      <c r="E104" s="182">
        <v>21000</v>
      </c>
      <c r="F104" s="182">
        <v>21000</v>
      </c>
      <c r="G104" s="182">
        <v>21000</v>
      </c>
      <c r="H104" s="182">
        <v>21000</v>
      </c>
      <c r="I104" s="182">
        <v>21000</v>
      </c>
      <c r="J104" s="182">
        <v>21000</v>
      </c>
      <c r="K104" s="182">
        <v>21000</v>
      </c>
      <c r="L104" s="182">
        <v>21000</v>
      </c>
      <c r="M104" s="182">
        <v>21000</v>
      </c>
      <c r="N104" s="182">
        <v>21000</v>
      </c>
      <c r="O104" s="182">
        <v>21000</v>
      </c>
      <c r="P104" s="182">
        <f t="shared" si="13"/>
        <v>252000</v>
      </c>
      <c r="Q104" s="198"/>
      <c r="R104" s="199"/>
      <c r="S104" s="199"/>
      <c r="T104" s="199"/>
      <c r="U104" s="199"/>
      <c r="V104" s="199"/>
      <c r="W104" s="199"/>
      <c r="X104" s="199"/>
      <c r="Y104" s="199"/>
    </row>
    <row r="105" spans="1:25" x14ac:dyDescent="0.25">
      <c r="A105" s="180"/>
      <c r="B105" s="192" t="s">
        <v>145</v>
      </c>
      <c r="C105" s="200"/>
      <c r="D105" s="182">
        <v>9300</v>
      </c>
      <c r="E105" s="182">
        <v>9300</v>
      </c>
      <c r="F105" s="182">
        <v>9300</v>
      </c>
      <c r="G105" s="182">
        <v>9300</v>
      </c>
      <c r="H105" s="182">
        <v>9300</v>
      </c>
      <c r="I105" s="182">
        <v>9300</v>
      </c>
      <c r="J105" s="182">
        <v>9300</v>
      </c>
      <c r="K105" s="182">
        <v>9300</v>
      </c>
      <c r="L105" s="182">
        <v>9300</v>
      </c>
      <c r="M105" s="182">
        <v>9300</v>
      </c>
      <c r="N105" s="182">
        <v>9300</v>
      </c>
      <c r="O105" s="182">
        <v>9300</v>
      </c>
      <c r="P105" s="182">
        <f t="shared" si="13"/>
        <v>111600</v>
      </c>
      <c r="Q105" s="198"/>
      <c r="R105" s="199"/>
      <c r="S105" s="199"/>
      <c r="T105" s="199"/>
      <c r="U105" s="199"/>
      <c r="V105" s="199"/>
      <c r="W105" s="199"/>
      <c r="X105" s="199"/>
      <c r="Y105" s="199"/>
    </row>
    <row r="106" spans="1:25" x14ac:dyDescent="0.25">
      <c r="A106" s="180"/>
      <c r="B106" s="193" t="s">
        <v>101</v>
      </c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82">
        <f t="shared" si="13"/>
        <v>0</v>
      </c>
      <c r="Q106" s="183"/>
      <c r="R106" s="202"/>
      <c r="S106" s="202"/>
      <c r="T106" s="202"/>
      <c r="U106" s="202"/>
      <c r="V106" s="202"/>
      <c r="W106" s="202"/>
      <c r="X106" s="202"/>
      <c r="Y106" s="202"/>
    </row>
    <row r="107" spans="1:25" x14ac:dyDescent="0.25">
      <c r="A107" s="180"/>
      <c r="B107" s="203" t="s">
        <v>199</v>
      </c>
      <c r="C107" s="200"/>
      <c r="D107" s="182">
        <v>23000</v>
      </c>
      <c r="E107" s="182">
        <v>23000</v>
      </c>
      <c r="F107" s="182">
        <v>23000</v>
      </c>
      <c r="G107" s="182">
        <v>23000</v>
      </c>
      <c r="H107" s="182">
        <v>23000</v>
      </c>
      <c r="I107" s="182">
        <v>23000</v>
      </c>
      <c r="J107" s="182">
        <v>23000</v>
      </c>
      <c r="K107" s="182">
        <v>23000</v>
      </c>
      <c r="L107" s="182">
        <v>23000</v>
      </c>
      <c r="M107" s="182">
        <v>23000</v>
      </c>
      <c r="N107" s="182">
        <v>23000</v>
      </c>
      <c r="O107" s="182">
        <v>23000</v>
      </c>
      <c r="P107" s="182">
        <f t="shared" si="13"/>
        <v>276000</v>
      </c>
      <c r="Q107" s="198"/>
      <c r="R107" s="199"/>
      <c r="S107" s="199"/>
      <c r="T107" s="199"/>
      <c r="U107" s="199"/>
      <c r="V107" s="199"/>
      <c r="W107" s="199"/>
      <c r="X107" s="199"/>
      <c r="Y107" s="199"/>
    </row>
    <row r="108" spans="1:25" x14ac:dyDescent="0.25">
      <c r="A108" s="180"/>
      <c r="B108" s="203" t="s">
        <v>151</v>
      </c>
      <c r="C108" s="200"/>
      <c r="D108" s="182">
        <v>16000</v>
      </c>
      <c r="E108" s="182">
        <v>16000</v>
      </c>
      <c r="F108" s="182">
        <v>16000</v>
      </c>
      <c r="G108" s="182">
        <v>16000</v>
      </c>
      <c r="H108" s="182">
        <v>16000</v>
      </c>
      <c r="I108" s="182">
        <v>16000</v>
      </c>
      <c r="J108" s="182">
        <v>16000</v>
      </c>
      <c r="K108" s="182">
        <v>16000</v>
      </c>
      <c r="L108" s="182">
        <v>16000</v>
      </c>
      <c r="M108" s="182">
        <v>16000</v>
      </c>
      <c r="N108" s="182">
        <v>16000</v>
      </c>
      <c r="O108" s="182">
        <v>16000</v>
      </c>
      <c r="P108" s="182">
        <f t="shared" si="13"/>
        <v>192000</v>
      </c>
      <c r="Q108" s="198"/>
      <c r="R108" s="199"/>
      <c r="S108" s="199"/>
      <c r="T108" s="199"/>
      <c r="U108" s="199"/>
      <c r="V108" s="199"/>
      <c r="W108" s="199"/>
      <c r="X108" s="199"/>
      <c r="Y108" s="199"/>
    </row>
    <row r="109" spans="1:25" x14ac:dyDescent="0.25">
      <c r="A109" s="180"/>
      <c r="B109" s="203" t="s">
        <v>200</v>
      </c>
      <c r="C109" s="200"/>
      <c r="D109" s="182">
        <v>9350</v>
      </c>
      <c r="E109" s="182">
        <v>9350</v>
      </c>
      <c r="F109" s="182">
        <v>9350</v>
      </c>
      <c r="G109" s="182">
        <v>9350</v>
      </c>
      <c r="H109" s="182">
        <v>9350</v>
      </c>
      <c r="I109" s="182">
        <v>9350</v>
      </c>
      <c r="J109" s="182">
        <v>9350</v>
      </c>
      <c r="K109" s="182">
        <v>9350</v>
      </c>
      <c r="L109" s="182">
        <v>9350</v>
      </c>
      <c r="M109" s="182">
        <v>9350</v>
      </c>
      <c r="N109" s="182">
        <v>9350</v>
      </c>
      <c r="O109" s="182">
        <v>9350</v>
      </c>
      <c r="P109" s="182">
        <f t="shared" si="13"/>
        <v>112200</v>
      </c>
      <c r="Q109" s="198"/>
      <c r="R109" s="199"/>
      <c r="S109" s="199"/>
      <c r="T109" s="199"/>
      <c r="U109" s="199"/>
      <c r="V109" s="199"/>
      <c r="W109" s="199"/>
      <c r="X109" s="199"/>
      <c r="Y109" s="199"/>
    </row>
    <row r="110" spans="1:25" x14ac:dyDescent="0.25">
      <c r="A110" s="180"/>
      <c r="B110" s="204" t="s">
        <v>156</v>
      </c>
      <c r="C110" s="200"/>
      <c r="D110" s="205">
        <v>10250</v>
      </c>
      <c r="E110" s="205">
        <v>10250</v>
      </c>
      <c r="F110" s="205">
        <v>10250</v>
      </c>
      <c r="G110" s="205">
        <v>10250</v>
      </c>
      <c r="H110" s="205">
        <v>10250</v>
      </c>
      <c r="I110" s="205">
        <v>10250</v>
      </c>
      <c r="J110" s="205">
        <v>10250</v>
      </c>
      <c r="K110" s="205">
        <v>10250</v>
      </c>
      <c r="L110" s="205">
        <v>10250</v>
      </c>
      <c r="M110" s="205">
        <v>10250</v>
      </c>
      <c r="N110" s="205">
        <v>10250</v>
      </c>
      <c r="O110" s="205">
        <v>10250</v>
      </c>
      <c r="P110" s="182">
        <f t="shared" si="13"/>
        <v>123000</v>
      </c>
      <c r="Q110" s="198"/>
      <c r="R110" s="199"/>
      <c r="S110" s="199"/>
      <c r="T110" s="199"/>
      <c r="U110" s="199"/>
      <c r="V110" s="199"/>
      <c r="W110" s="199"/>
      <c r="X110" s="199"/>
      <c r="Y110" s="199"/>
    </row>
    <row r="111" spans="1:25" x14ac:dyDescent="0.25">
      <c r="A111" s="180"/>
      <c r="B111" s="193" t="s">
        <v>103</v>
      </c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82">
        <f t="shared" si="13"/>
        <v>0</v>
      </c>
      <c r="Q111" s="183"/>
      <c r="R111" s="202"/>
      <c r="S111" s="202"/>
      <c r="T111" s="202"/>
      <c r="U111" s="202"/>
      <c r="V111" s="202"/>
      <c r="W111" s="202"/>
      <c r="X111" s="202"/>
      <c r="Y111" s="202"/>
    </row>
    <row r="112" spans="1:25" x14ac:dyDescent="0.25">
      <c r="A112" s="180"/>
      <c r="B112" s="203" t="s">
        <v>104</v>
      </c>
      <c r="C112" s="200"/>
      <c r="D112" s="182">
        <v>23000</v>
      </c>
      <c r="E112" s="182">
        <v>23000</v>
      </c>
      <c r="F112" s="182">
        <v>23000</v>
      </c>
      <c r="G112" s="182">
        <v>23000</v>
      </c>
      <c r="H112" s="182">
        <v>23000</v>
      </c>
      <c r="I112" s="182">
        <v>23000</v>
      </c>
      <c r="J112" s="182">
        <v>23000</v>
      </c>
      <c r="K112" s="182">
        <v>23000</v>
      </c>
      <c r="L112" s="182">
        <v>23000</v>
      </c>
      <c r="M112" s="182">
        <v>23000</v>
      </c>
      <c r="N112" s="182">
        <v>23000</v>
      </c>
      <c r="O112" s="182">
        <v>23000</v>
      </c>
      <c r="P112" s="182">
        <f t="shared" si="13"/>
        <v>276000</v>
      </c>
      <c r="Q112" s="198"/>
      <c r="R112" s="199"/>
      <c r="S112" s="199"/>
      <c r="T112" s="199"/>
      <c r="U112" s="199"/>
      <c r="V112" s="199"/>
      <c r="W112" s="199"/>
      <c r="X112" s="199"/>
      <c r="Y112" s="199"/>
    </row>
    <row r="113" spans="1:25" x14ac:dyDescent="0.25">
      <c r="A113" s="180"/>
      <c r="B113" s="184" t="s">
        <v>152</v>
      </c>
      <c r="C113" s="200"/>
      <c r="D113" s="182">
        <v>15000</v>
      </c>
      <c r="E113" s="182">
        <v>15000</v>
      </c>
      <c r="F113" s="182">
        <v>15000</v>
      </c>
      <c r="G113" s="182">
        <v>15000</v>
      </c>
      <c r="H113" s="182">
        <v>15000</v>
      </c>
      <c r="I113" s="182">
        <v>15000</v>
      </c>
      <c r="J113" s="182">
        <v>15000</v>
      </c>
      <c r="K113" s="182">
        <v>15000</v>
      </c>
      <c r="L113" s="182">
        <v>15000</v>
      </c>
      <c r="M113" s="182">
        <v>15000</v>
      </c>
      <c r="N113" s="182">
        <v>15000</v>
      </c>
      <c r="O113" s="182">
        <v>15000</v>
      </c>
      <c r="P113" s="182">
        <f t="shared" si="13"/>
        <v>180000</v>
      </c>
      <c r="Q113" s="198"/>
      <c r="R113" s="199"/>
      <c r="S113" s="199"/>
      <c r="T113" s="199"/>
      <c r="U113" s="199"/>
      <c r="V113" s="199"/>
      <c r="W113" s="199"/>
      <c r="X113" s="199"/>
      <c r="Y113" s="199"/>
    </row>
    <row r="114" spans="1:25" x14ac:dyDescent="0.25">
      <c r="A114" s="180"/>
      <c r="B114" s="203" t="s">
        <v>105</v>
      </c>
      <c r="C114" s="200"/>
      <c r="D114" s="182">
        <v>9350</v>
      </c>
      <c r="E114" s="182">
        <v>9350</v>
      </c>
      <c r="F114" s="182">
        <v>9350</v>
      </c>
      <c r="G114" s="182">
        <v>9350</v>
      </c>
      <c r="H114" s="182">
        <v>9350</v>
      </c>
      <c r="I114" s="182">
        <v>9350</v>
      </c>
      <c r="J114" s="182">
        <v>9350</v>
      </c>
      <c r="K114" s="182">
        <v>9350</v>
      </c>
      <c r="L114" s="182">
        <v>9350</v>
      </c>
      <c r="M114" s="182">
        <v>9350</v>
      </c>
      <c r="N114" s="182">
        <v>9350</v>
      </c>
      <c r="O114" s="182">
        <v>9350</v>
      </c>
      <c r="P114" s="182">
        <f t="shared" si="13"/>
        <v>112200</v>
      </c>
      <c r="Q114" s="198"/>
      <c r="R114" s="199"/>
      <c r="S114" s="199"/>
      <c r="T114" s="199"/>
      <c r="U114" s="199"/>
      <c r="V114" s="199"/>
      <c r="W114" s="199"/>
      <c r="X114" s="199"/>
      <c r="Y114" s="199"/>
    </row>
    <row r="115" spans="1:25" x14ac:dyDescent="0.25">
      <c r="A115" s="180"/>
      <c r="B115" s="193" t="s">
        <v>106</v>
      </c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82">
        <f t="shared" si="13"/>
        <v>0</v>
      </c>
      <c r="Q115" s="183"/>
    </row>
    <row r="116" spans="1:25" x14ac:dyDescent="0.25">
      <c r="A116" s="180"/>
      <c r="B116" s="192" t="s">
        <v>107</v>
      </c>
      <c r="C116" s="200"/>
      <c r="D116" s="182">
        <v>23000</v>
      </c>
      <c r="E116" s="182">
        <v>23000</v>
      </c>
      <c r="F116" s="182">
        <v>23000</v>
      </c>
      <c r="G116" s="182">
        <v>23000</v>
      </c>
      <c r="H116" s="182">
        <v>23000</v>
      </c>
      <c r="I116" s="182">
        <v>23000</v>
      </c>
      <c r="J116" s="182">
        <v>23000</v>
      </c>
      <c r="K116" s="182">
        <v>23000</v>
      </c>
      <c r="L116" s="182">
        <v>23000</v>
      </c>
      <c r="M116" s="182">
        <v>23000</v>
      </c>
      <c r="N116" s="182">
        <v>23000</v>
      </c>
      <c r="O116" s="182">
        <v>23000</v>
      </c>
      <c r="P116" s="182">
        <f t="shared" si="13"/>
        <v>276000</v>
      </c>
      <c r="Q116" s="198"/>
      <c r="R116" s="199"/>
      <c r="S116" s="199"/>
      <c r="T116" s="199"/>
      <c r="U116" s="199"/>
      <c r="V116" s="199"/>
      <c r="W116" s="199"/>
      <c r="X116" s="199"/>
      <c r="Y116" s="199"/>
    </row>
    <row r="117" spans="1:25" x14ac:dyDescent="0.25">
      <c r="A117" s="180"/>
      <c r="B117" s="192" t="s">
        <v>108</v>
      </c>
      <c r="C117" s="200"/>
      <c r="D117" s="182">
        <v>18500</v>
      </c>
      <c r="E117" s="182">
        <v>18500</v>
      </c>
      <c r="F117" s="182">
        <v>18500</v>
      </c>
      <c r="G117" s="182">
        <v>18500</v>
      </c>
      <c r="H117" s="182">
        <v>18500</v>
      </c>
      <c r="I117" s="182">
        <v>18500</v>
      </c>
      <c r="J117" s="182">
        <v>18500</v>
      </c>
      <c r="K117" s="182">
        <v>18500</v>
      </c>
      <c r="L117" s="182">
        <v>18500</v>
      </c>
      <c r="M117" s="182">
        <v>18500</v>
      </c>
      <c r="N117" s="182">
        <v>18500</v>
      </c>
      <c r="O117" s="182">
        <v>18500</v>
      </c>
      <c r="P117" s="182">
        <f t="shared" si="13"/>
        <v>222000</v>
      </c>
      <c r="Q117" s="198"/>
      <c r="R117" s="199"/>
      <c r="S117" s="199"/>
      <c r="T117" s="199"/>
      <c r="U117" s="199"/>
      <c r="V117" s="199"/>
      <c r="W117" s="199"/>
      <c r="X117" s="199"/>
      <c r="Y117" s="199"/>
    </row>
    <row r="118" spans="1:25" x14ac:dyDescent="0.25">
      <c r="A118" s="180"/>
      <c r="B118" s="192" t="s">
        <v>109</v>
      </c>
      <c r="C118" s="200"/>
      <c r="D118" s="182">
        <v>10220</v>
      </c>
      <c r="E118" s="182">
        <v>10220</v>
      </c>
      <c r="F118" s="182">
        <v>10220</v>
      </c>
      <c r="G118" s="182">
        <v>10220</v>
      </c>
      <c r="H118" s="182">
        <v>10220</v>
      </c>
      <c r="I118" s="182">
        <v>10220</v>
      </c>
      <c r="J118" s="182">
        <v>10220</v>
      </c>
      <c r="K118" s="182">
        <v>10220</v>
      </c>
      <c r="L118" s="182">
        <v>10220</v>
      </c>
      <c r="M118" s="182">
        <v>10220</v>
      </c>
      <c r="N118" s="182">
        <v>10220</v>
      </c>
      <c r="O118" s="182">
        <v>10220</v>
      </c>
      <c r="P118" s="182">
        <f t="shared" si="13"/>
        <v>122640</v>
      </c>
      <c r="Q118" s="198"/>
      <c r="R118" s="199"/>
      <c r="S118" s="199"/>
      <c r="T118" s="199"/>
      <c r="U118" s="199"/>
      <c r="V118" s="199"/>
      <c r="W118" s="199"/>
      <c r="X118" s="199"/>
      <c r="Y118" s="199"/>
    </row>
    <row r="119" spans="1:25" x14ac:dyDescent="0.25">
      <c r="A119" s="180"/>
      <c r="B119" s="193" t="s">
        <v>110</v>
      </c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82">
        <f t="shared" si="13"/>
        <v>0</v>
      </c>
      <c r="Q119" s="183"/>
      <c r="R119" s="202"/>
      <c r="S119" s="202"/>
      <c r="T119" s="202"/>
      <c r="U119" s="202"/>
      <c r="V119" s="202"/>
      <c r="W119" s="202"/>
      <c r="X119" s="202"/>
      <c r="Y119" s="202"/>
    </row>
    <row r="120" spans="1:25" x14ac:dyDescent="0.25">
      <c r="A120" s="180"/>
      <c r="B120" s="192" t="s">
        <v>140</v>
      </c>
      <c r="C120" s="200"/>
      <c r="D120" s="182">
        <v>30000</v>
      </c>
      <c r="E120" s="182">
        <v>30000</v>
      </c>
      <c r="F120" s="182">
        <v>30000</v>
      </c>
      <c r="G120" s="182">
        <v>30000</v>
      </c>
      <c r="H120" s="182">
        <v>30000</v>
      </c>
      <c r="I120" s="182">
        <v>30000</v>
      </c>
      <c r="J120" s="182">
        <v>30000</v>
      </c>
      <c r="K120" s="182">
        <v>30000</v>
      </c>
      <c r="L120" s="182">
        <v>30000</v>
      </c>
      <c r="M120" s="182">
        <v>30000</v>
      </c>
      <c r="N120" s="182">
        <v>30000</v>
      </c>
      <c r="O120" s="182">
        <v>30000</v>
      </c>
      <c r="P120" s="182">
        <f t="shared" si="13"/>
        <v>360000</v>
      </c>
      <c r="Q120" s="198"/>
      <c r="R120" s="199"/>
      <c r="S120" s="199"/>
      <c r="T120" s="199"/>
      <c r="U120" s="199"/>
      <c r="V120" s="199"/>
      <c r="W120" s="199"/>
      <c r="X120" s="199"/>
      <c r="Y120" s="199"/>
    </row>
    <row r="121" spans="1:25" x14ac:dyDescent="0.25">
      <c r="A121" s="180"/>
      <c r="B121" s="192" t="s">
        <v>111</v>
      </c>
      <c r="C121" s="200"/>
      <c r="D121" s="182">
        <v>12000</v>
      </c>
      <c r="E121" s="182">
        <v>12000</v>
      </c>
      <c r="F121" s="182">
        <v>12000</v>
      </c>
      <c r="G121" s="182">
        <v>12000</v>
      </c>
      <c r="H121" s="182">
        <v>12000</v>
      </c>
      <c r="I121" s="182">
        <v>12000</v>
      </c>
      <c r="J121" s="182">
        <v>12000</v>
      </c>
      <c r="K121" s="182">
        <v>12000</v>
      </c>
      <c r="L121" s="182">
        <v>12000</v>
      </c>
      <c r="M121" s="182">
        <v>12000</v>
      </c>
      <c r="N121" s="182">
        <v>12000</v>
      </c>
      <c r="O121" s="182">
        <v>12000</v>
      </c>
      <c r="P121" s="182">
        <f t="shared" si="13"/>
        <v>144000</v>
      </c>
      <c r="Q121" s="198"/>
      <c r="R121" s="199"/>
      <c r="S121" s="199"/>
      <c r="T121" s="199"/>
      <c r="U121" s="199"/>
      <c r="V121" s="199"/>
      <c r="W121" s="199"/>
      <c r="X121" s="199"/>
      <c r="Y121" s="199"/>
    </row>
    <row r="122" spans="1:25" x14ac:dyDescent="0.25">
      <c r="A122" s="180"/>
      <c r="B122" s="206" t="s">
        <v>112</v>
      </c>
      <c r="C122" s="200"/>
      <c r="D122" s="182">
        <v>9350</v>
      </c>
      <c r="E122" s="182">
        <v>9350</v>
      </c>
      <c r="F122" s="182">
        <v>9350</v>
      </c>
      <c r="G122" s="182">
        <v>9350</v>
      </c>
      <c r="H122" s="182">
        <v>9350</v>
      </c>
      <c r="I122" s="182">
        <v>9350</v>
      </c>
      <c r="J122" s="182">
        <v>9350</v>
      </c>
      <c r="K122" s="182">
        <v>9350</v>
      </c>
      <c r="L122" s="182">
        <v>9350</v>
      </c>
      <c r="M122" s="182">
        <v>9350</v>
      </c>
      <c r="N122" s="182">
        <v>9350</v>
      </c>
      <c r="O122" s="182">
        <v>9350</v>
      </c>
      <c r="P122" s="182">
        <f t="shared" si="13"/>
        <v>112200</v>
      </c>
      <c r="Q122" s="198"/>
      <c r="R122" s="199"/>
      <c r="S122" s="199"/>
      <c r="T122" s="199"/>
      <c r="U122" s="199"/>
      <c r="V122" s="199"/>
      <c r="W122" s="199"/>
      <c r="X122" s="199"/>
      <c r="Y122" s="199"/>
    </row>
    <row r="123" spans="1:25" x14ac:dyDescent="0.25">
      <c r="A123" s="180"/>
      <c r="B123" s="192" t="s">
        <v>137</v>
      </c>
      <c r="C123" s="200"/>
      <c r="D123" s="182">
        <v>11000</v>
      </c>
      <c r="E123" s="182">
        <v>11000</v>
      </c>
      <c r="F123" s="182">
        <v>11000</v>
      </c>
      <c r="G123" s="182">
        <v>11000</v>
      </c>
      <c r="H123" s="182">
        <v>11000</v>
      </c>
      <c r="I123" s="182">
        <v>11000</v>
      </c>
      <c r="J123" s="182">
        <v>11000</v>
      </c>
      <c r="K123" s="182">
        <v>11000</v>
      </c>
      <c r="L123" s="182">
        <v>11000</v>
      </c>
      <c r="M123" s="182">
        <v>11000</v>
      </c>
      <c r="N123" s="182">
        <v>11000</v>
      </c>
      <c r="O123" s="182">
        <v>11000</v>
      </c>
      <c r="P123" s="182">
        <f t="shared" si="13"/>
        <v>132000</v>
      </c>
      <c r="Q123" s="198"/>
      <c r="R123" s="199"/>
      <c r="S123" s="199"/>
      <c r="T123" s="199"/>
      <c r="U123" s="199"/>
      <c r="V123" s="199"/>
      <c r="W123" s="199"/>
      <c r="X123" s="199"/>
      <c r="Y123" s="199"/>
    </row>
    <row r="124" spans="1:25" x14ac:dyDescent="0.25">
      <c r="A124" s="180"/>
      <c r="B124" s="193" t="s">
        <v>113</v>
      </c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82">
        <f t="shared" si="13"/>
        <v>0</v>
      </c>
      <c r="Q124" s="183"/>
      <c r="R124" s="202"/>
      <c r="S124" s="202"/>
      <c r="T124" s="202"/>
      <c r="U124" s="202"/>
      <c r="V124" s="202"/>
      <c r="W124" s="202"/>
      <c r="X124" s="202"/>
      <c r="Y124" s="202"/>
    </row>
    <row r="125" spans="1:25" x14ac:dyDescent="0.25">
      <c r="A125" s="180"/>
      <c r="B125" s="192" t="s">
        <v>138</v>
      </c>
      <c r="C125" s="200"/>
      <c r="D125" s="182">
        <v>32000</v>
      </c>
      <c r="E125" s="182">
        <v>32000</v>
      </c>
      <c r="F125" s="182">
        <v>32000</v>
      </c>
      <c r="G125" s="182">
        <v>32000</v>
      </c>
      <c r="H125" s="182">
        <v>32000</v>
      </c>
      <c r="I125" s="182">
        <v>32000</v>
      </c>
      <c r="J125" s="182">
        <v>32000</v>
      </c>
      <c r="K125" s="182">
        <v>32000</v>
      </c>
      <c r="L125" s="182">
        <v>32000</v>
      </c>
      <c r="M125" s="182">
        <v>32000</v>
      </c>
      <c r="N125" s="182">
        <v>32000</v>
      </c>
      <c r="O125" s="182">
        <v>32000</v>
      </c>
      <c r="P125" s="182">
        <f t="shared" si="13"/>
        <v>384000</v>
      </c>
      <c r="Q125" s="198"/>
      <c r="R125" s="199"/>
      <c r="S125" s="199"/>
      <c r="T125" s="199"/>
      <c r="U125" s="199"/>
      <c r="V125" s="199"/>
      <c r="W125" s="199"/>
      <c r="X125" s="199"/>
      <c r="Y125" s="199"/>
    </row>
    <row r="126" spans="1:25" x14ac:dyDescent="0.25">
      <c r="A126" s="180"/>
      <c r="B126" s="184" t="s">
        <v>114</v>
      </c>
      <c r="C126" s="200"/>
      <c r="D126" s="182">
        <v>20000</v>
      </c>
      <c r="E126" s="182">
        <v>20000</v>
      </c>
      <c r="F126" s="182">
        <v>20000</v>
      </c>
      <c r="G126" s="182">
        <v>20000</v>
      </c>
      <c r="H126" s="182">
        <v>20000</v>
      </c>
      <c r="I126" s="182">
        <v>20000</v>
      </c>
      <c r="J126" s="182">
        <v>20000</v>
      </c>
      <c r="K126" s="182">
        <v>20000</v>
      </c>
      <c r="L126" s="182">
        <v>20000</v>
      </c>
      <c r="M126" s="182">
        <v>20000</v>
      </c>
      <c r="N126" s="182">
        <v>20000</v>
      </c>
      <c r="O126" s="182">
        <v>20000</v>
      </c>
      <c r="P126" s="182">
        <f t="shared" si="13"/>
        <v>240000</v>
      </c>
      <c r="Q126" s="198"/>
      <c r="R126" s="199"/>
      <c r="S126" s="199"/>
      <c r="T126" s="199"/>
      <c r="U126" s="199"/>
      <c r="V126" s="199"/>
      <c r="W126" s="199"/>
      <c r="X126" s="199"/>
      <c r="Y126" s="199"/>
    </row>
    <row r="127" spans="1:25" x14ac:dyDescent="0.25">
      <c r="A127" s="180"/>
      <c r="B127" s="184" t="s">
        <v>201</v>
      </c>
      <c r="C127" s="200"/>
      <c r="D127" s="182">
        <v>12445</v>
      </c>
      <c r="E127" s="182">
        <v>12445</v>
      </c>
      <c r="F127" s="182">
        <v>12445</v>
      </c>
      <c r="G127" s="182">
        <v>12445</v>
      </c>
      <c r="H127" s="182">
        <v>12445</v>
      </c>
      <c r="I127" s="182">
        <v>12445</v>
      </c>
      <c r="J127" s="182">
        <v>12445</v>
      </c>
      <c r="K127" s="182">
        <v>12445</v>
      </c>
      <c r="L127" s="182">
        <v>12445</v>
      </c>
      <c r="M127" s="182">
        <v>12445</v>
      </c>
      <c r="N127" s="182">
        <v>12445</v>
      </c>
      <c r="O127" s="182">
        <v>12445</v>
      </c>
      <c r="P127" s="182">
        <f t="shared" si="13"/>
        <v>149340</v>
      </c>
      <c r="Q127" s="198"/>
      <c r="R127" s="199"/>
      <c r="S127" s="199"/>
      <c r="T127" s="199"/>
      <c r="U127" s="199"/>
      <c r="V127" s="199"/>
      <c r="W127" s="199"/>
      <c r="X127" s="199"/>
      <c r="Y127" s="199"/>
    </row>
    <row r="128" spans="1:25" x14ac:dyDescent="0.25">
      <c r="A128" s="180"/>
      <c r="B128" s="193" t="s">
        <v>202</v>
      </c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82">
        <f t="shared" si="13"/>
        <v>0</v>
      </c>
      <c r="Q128" s="183"/>
      <c r="R128" s="202"/>
      <c r="S128" s="202"/>
      <c r="T128" s="202"/>
      <c r="U128" s="202"/>
      <c r="V128" s="202"/>
      <c r="W128" s="202"/>
      <c r="X128" s="202"/>
      <c r="Y128" s="202"/>
    </row>
    <row r="129" spans="1:25" x14ac:dyDescent="0.25">
      <c r="A129" s="180"/>
      <c r="B129" s="203" t="s">
        <v>115</v>
      </c>
      <c r="C129" s="200"/>
      <c r="D129" s="182">
        <v>24000</v>
      </c>
      <c r="E129" s="182">
        <v>24000</v>
      </c>
      <c r="F129" s="182">
        <v>24000</v>
      </c>
      <c r="G129" s="182">
        <v>24000</v>
      </c>
      <c r="H129" s="182">
        <v>24000</v>
      </c>
      <c r="I129" s="182">
        <v>24000</v>
      </c>
      <c r="J129" s="182">
        <v>24000</v>
      </c>
      <c r="K129" s="182">
        <v>24000</v>
      </c>
      <c r="L129" s="182">
        <v>24000</v>
      </c>
      <c r="M129" s="182">
        <v>24000</v>
      </c>
      <c r="N129" s="182">
        <v>24000</v>
      </c>
      <c r="O129" s="182">
        <v>24000</v>
      </c>
      <c r="P129" s="182">
        <f t="shared" si="13"/>
        <v>288000</v>
      </c>
      <c r="Q129" s="198"/>
      <c r="R129" s="199"/>
      <c r="S129" s="199"/>
      <c r="T129" s="199"/>
      <c r="U129" s="199"/>
      <c r="V129" s="199"/>
      <c r="W129" s="199"/>
      <c r="X129" s="199"/>
      <c r="Y129" s="199"/>
    </row>
    <row r="130" spans="1:25" x14ac:dyDescent="0.25">
      <c r="A130" s="180"/>
      <c r="B130" s="192" t="s">
        <v>116</v>
      </c>
      <c r="C130" s="200"/>
      <c r="D130" s="182">
        <v>13750</v>
      </c>
      <c r="E130" s="182">
        <v>13750</v>
      </c>
      <c r="F130" s="182">
        <v>13750</v>
      </c>
      <c r="G130" s="182">
        <v>13750</v>
      </c>
      <c r="H130" s="182">
        <v>13750</v>
      </c>
      <c r="I130" s="182">
        <v>13750</v>
      </c>
      <c r="J130" s="182">
        <v>13750</v>
      </c>
      <c r="K130" s="182">
        <v>13750</v>
      </c>
      <c r="L130" s="182">
        <v>13750</v>
      </c>
      <c r="M130" s="182">
        <v>13750</v>
      </c>
      <c r="N130" s="182">
        <v>13750</v>
      </c>
      <c r="O130" s="182">
        <v>13750</v>
      </c>
      <c r="P130" s="182">
        <f t="shared" si="13"/>
        <v>165000</v>
      </c>
      <c r="Q130" s="198"/>
      <c r="R130" s="199"/>
      <c r="S130" s="199"/>
      <c r="T130" s="199"/>
      <c r="U130" s="199"/>
      <c r="V130" s="199"/>
      <c r="W130" s="199"/>
      <c r="X130" s="199"/>
      <c r="Y130" s="199"/>
    </row>
    <row r="131" spans="1:25" x14ac:dyDescent="0.25">
      <c r="A131" s="180"/>
      <c r="B131" s="207" t="s">
        <v>209</v>
      </c>
      <c r="D131" s="182">
        <v>9350</v>
      </c>
      <c r="E131" s="182">
        <v>9350</v>
      </c>
      <c r="F131" s="182">
        <v>9350</v>
      </c>
      <c r="G131" s="182">
        <v>9350</v>
      </c>
      <c r="H131" s="182">
        <v>9350</v>
      </c>
      <c r="I131" s="182">
        <v>9350</v>
      </c>
      <c r="J131" s="182">
        <v>9350</v>
      </c>
      <c r="K131" s="182">
        <v>9350</v>
      </c>
      <c r="L131" s="182">
        <v>9350</v>
      </c>
      <c r="M131" s="182">
        <v>9350</v>
      </c>
      <c r="N131" s="182">
        <v>9350</v>
      </c>
      <c r="O131" s="182">
        <v>9350</v>
      </c>
      <c r="P131" s="182">
        <f t="shared" si="13"/>
        <v>112200</v>
      </c>
      <c r="Q131" s="198"/>
    </row>
    <row r="132" spans="1:25" x14ac:dyDescent="0.25">
      <c r="A132" s="180"/>
      <c r="B132" s="208" t="s">
        <v>160</v>
      </c>
      <c r="C132" s="200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82">
        <f t="shared" si="13"/>
        <v>0</v>
      </c>
      <c r="Q132" s="183"/>
      <c r="R132" s="202"/>
      <c r="S132" s="202"/>
      <c r="T132" s="202"/>
      <c r="U132" s="202"/>
      <c r="V132" s="202"/>
      <c r="W132" s="202"/>
      <c r="X132" s="202"/>
      <c r="Y132" s="202"/>
    </row>
    <row r="133" spans="1:25" x14ac:dyDescent="0.25">
      <c r="A133" s="180"/>
      <c r="B133" s="192" t="s">
        <v>149</v>
      </c>
      <c r="D133" s="182">
        <v>27000</v>
      </c>
      <c r="E133" s="182">
        <v>27000</v>
      </c>
      <c r="F133" s="182">
        <v>27000</v>
      </c>
      <c r="G133" s="182">
        <v>27000</v>
      </c>
      <c r="H133" s="182">
        <v>27000</v>
      </c>
      <c r="I133" s="182">
        <v>27000</v>
      </c>
      <c r="J133" s="182">
        <v>27000</v>
      </c>
      <c r="K133" s="182">
        <v>27000</v>
      </c>
      <c r="L133" s="182">
        <v>27000</v>
      </c>
      <c r="M133" s="182">
        <v>27000</v>
      </c>
      <c r="N133" s="182">
        <v>27000</v>
      </c>
      <c r="O133" s="182">
        <v>27000</v>
      </c>
      <c r="P133" s="182">
        <f t="shared" si="13"/>
        <v>324000</v>
      </c>
      <c r="Q133" s="198"/>
      <c r="R133" s="199"/>
      <c r="S133" s="199"/>
      <c r="T133" s="199"/>
      <c r="U133" s="199"/>
      <c r="V133" s="199"/>
      <c r="W133" s="199"/>
      <c r="X133" s="199"/>
      <c r="Y133" s="199"/>
    </row>
    <row r="134" spans="1:25" x14ac:dyDescent="0.25">
      <c r="A134" s="180"/>
      <c r="B134" s="192" t="s">
        <v>37</v>
      </c>
      <c r="C134" s="200"/>
      <c r="D134" s="182">
        <v>16000</v>
      </c>
      <c r="E134" s="182">
        <v>16000</v>
      </c>
      <c r="F134" s="182">
        <v>16000</v>
      </c>
      <c r="G134" s="182">
        <v>16000</v>
      </c>
      <c r="H134" s="182">
        <v>16000</v>
      </c>
      <c r="I134" s="182">
        <v>16000</v>
      </c>
      <c r="J134" s="182">
        <v>16000</v>
      </c>
      <c r="K134" s="182">
        <v>16000</v>
      </c>
      <c r="L134" s="182">
        <v>16000</v>
      </c>
      <c r="M134" s="182">
        <v>16000</v>
      </c>
      <c r="N134" s="182">
        <v>16000</v>
      </c>
      <c r="O134" s="182">
        <v>16000</v>
      </c>
      <c r="P134" s="182">
        <f>SUM(D134:O134)</f>
        <v>192000</v>
      </c>
      <c r="Q134" s="198"/>
      <c r="R134" s="199"/>
      <c r="S134" s="199"/>
      <c r="T134" s="199"/>
      <c r="U134" s="199"/>
      <c r="V134" s="199"/>
      <c r="W134" s="199"/>
      <c r="X134" s="199"/>
      <c r="Y134" s="199"/>
    </row>
    <row r="135" spans="1:25" x14ac:dyDescent="0.25">
      <c r="A135" s="180"/>
      <c r="B135" s="192" t="s">
        <v>203</v>
      </c>
      <c r="D135" s="182">
        <v>10000</v>
      </c>
      <c r="E135" s="182">
        <v>10000</v>
      </c>
      <c r="F135" s="182">
        <v>10000</v>
      </c>
      <c r="G135" s="182">
        <v>10000</v>
      </c>
      <c r="H135" s="182">
        <v>10000</v>
      </c>
      <c r="I135" s="182">
        <v>10000</v>
      </c>
      <c r="J135" s="182">
        <v>10000</v>
      </c>
      <c r="K135" s="182">
        <v>10000</v>
      </c>
      <c r="L135" s="182">
        <v>10000</v>
      </c>
      <c r="M135" s="182">
        <v>10000</v>
      </c>
      <c r="N135" s="182">
        <v>10000</v>
      </c>
      <c r="O135" s="182">
        <v>10000</v>
      </c>
      <c r="P135" s="182">
        <f t="shared" si="13"/>
        <v>120000</v>
      </c>
      <c r="Q135" s="198"/>
      <c r="R135" s="199"/>
      <c r="S135" s="199"/>
      <c r="T135" s="199"/>
      <c r="U135" s="199"/>
      <c r="V135" s="199"/>
      <c r="W135" s="199"/>
      <c r="X135" s="199"/>
      <c r="Y135" s="199"/>
    </row>
    <row r="136" spans="1:25" x14ac:dyDescent="0.25">
      <c r="A136" s="180"/>
      <c r="B136" s="192" t="s">
        <v>204</v>
      </c>
      <c r="D136" s="182">
        <v>20000</v>
      </c>
      <c r="E136" s="182">
        <v>20000</v>
      </c>
      <c r="F136" s="182">
        <v>20000</v>
      </c>
      <c r="G136" s="182">
        <v>20000</v>
      </c>
      <c r="H136" s="182">
        <v>20000</v>
      </c>
      <c r="I136" s="182">
        <v>20000</v>
      </c>
      <c r="J136" s="182">
        <v>20000</v>
      </c>
      <c r="K136" s="182">
        <v>20000</v>
      </c>
      <c r="L136" s="182">
        <v>20000</v>
      </c>
      <c r="M136" s="182">
        <v>20000</v>
      </c>
      <c r="N136" s="182">
        <v>20000</v>
      </c>
      <c r="O136" s="182">
        <v>20000</v>
      </c>
      <c r="P136" s="182">
        <f t="shared" si="13"/>
        <v>240000</v>
      </c>
      <c r="Q136" s="198"/>
      <c r="R136" s="199"/>
      <c r="S136" s="199"/>
      <c r="T136" s="199"/>
      <c r="U136" s="199"/>
      <c r="V136" s="199"/>
      <c r="W136" s="199"/>
      <c r="X136" s="199"/>
      <c r="Y136" s="199"/>
    </row>
    <row r="137" spans="1:25" x14ac:dyDescent="0.25">
      <c r="A137" s="180"/>
      <c r="B137" s="192" t="s">
        <v>205</v>
      </c>
      <c r="D137" s="182">
        <v>11300</v>
      </c>
      <c r="E137" s="182">
        <v>11300</v>
      </c>
      <c r="F137" s="182">
        <v>11300</v>
      </c>
      <c r="G137" s="182">
        <v>11300</v>
      </c>
      <c r="H137" s="182">
        <v>11300</v>
      </c>
      <c r="I137" s="182">
        <v>11300</v>
      </c>
      <c r="J137" s="182">
        <v>11300</v>
      </c>
      <c r="K137" s="182">
        <v>11300</v>
      </c>
      <c r="L137" s="182">
        <v>11300</v>
      </c>
      <c r="M137" s="182">
        <v>11300</v>
      </c>
      <c r="N137" s="182">
        <v>11300</v>
      </c>
      <c r="O137" s="182">
        <v>11300</v>
      </c>
      <c r="P137" s="182">
        <f t="shared" si="13"/>
        <v>135600</v>
      </c>
      <c r="Q137" s="198"/>
      <c r="R137" s="199"/>
      <c r="S137" s="199"/>
      <c r="T137" s="199"/>
      <c r="U137" s="199"/>
      <c r="V137" s="199"/>
      <c r="W137" s="199"/>
      <c r="X137" s="199"/>
      <c r="Y137" s="199"/>
    </row>
    <row r="138" spans="1:25" x14ac:dyDescent="0.25">
      <c r="A138" s="180"/>
      <c r="B138" s="192" t="s">
        <v>206</v>
      </c>
      <c r="D138" s="182">
        <v>17000</v>
      </c>
      <c r="E138" s="182">
        <v>17000</v>
      </c>
      <c r="F138" s="182">
        <v>17000</v>
      </c>
      <c r="G138" s="182">
        <v>17000</v>
      </c>
      <c r="H138" s="182">
        <v>17000</v>
      </c>
      <c r="I138" s="182">
        <v>17000</v>
      </c>
      <c r="J138" s="182">
        <v>17000</v>
      </c>
      <c r="K138" s="182">
        <v>17000</v>
      </c>
      <c r="L138" s="182">
        <v>17000</v>
      </c>
      <c r="M138" s="182">
        <v>17000</v>
      </c>
      <c r="N138" s="182">
        <v>17000</v>
      </c>
      <c r="O138" s="182">
        <v>17000</v>
      </c>
      <c r="P138" s="182">
        <f t="shared" si="13"/>
        <v>204000</v>
      </c>
      <c r="Q138" s="198"/>
      <c r="R138" s="199"/>
      <c r="S138" s="199"/>
      <c r="T138" s="199"/>
      <c r="U138" s="199"/>
      <c r="V138" s="199"/>
      <c r="W138" s="199"/>
      <c r="X138" s="199"/>
      <c r="Y138" s="199"/>
    </row>
    <row r="139" spans="1:25" x14ac:dyDescent="0.25">
      <c r="A139" s="180"/>
      <c r="B139" s="19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98"/>
      <c r="R139" s="199"/>
      <c r="S139" s="199"/>
      <c r="T139" s="199"/>
      <c r="U139" s="199"/>
      <c r="V139" s="199"/>
      <c r="W139" s="199"/>
      <c r="X139" s="199"/>
      <c r="Y139" s="199"/>
    </row>
    <row r="140" spans="1:25" x14ac:dyDescent="0.25">
      <c r="A140" s="180"/>
      <c r="B140" s="209" t="s">
        <v>117</v>
      </c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98"/>
      <c r="R140" s="199"/>
      <c r="S140" s="199"/>
      <c r="T140" s="199"/>
      <c r="U140" s="199"/>
      <c r="V140" s="199"/>
      <c r="W140" s="199"/>
      <c r="X140" s="199"/>
      <c r="Y140" s="199"/>
    </row>
    <row r="141" spans="1:25" x14ac:dyDescent="0.25">
      <c r="A141" s="180"/>
      <c r="B141" s="210" t="s">
        <v>118</v>
      </c>
      <c r="D141" s="182">
        <v>15000</v>
      </c>
      <c r="E141" s="182">
        <v>15000</v>
      </c>
      <c r="F141" s="182">
        <v>15000</v>
      </c>
      <c r="G141" s="182">
        <v>15000</v>
      </c>
      <c r="H141" s="182">
        <v>0</v>
      </c>
      <c r="I141" s="182">
        <v>0</v>
      </c>
      <c r="J141" s="182">
        <v>0</v>
      </c>
      <c r="K141" s="182">
        <v>0</v>
      </c>
      <c r="L141" s="182">
        <v>0</v>
      </c>
      <c r="M141" s="182">
        <v>0</v>
      </c>
      <c r="N141" s="182">
        <v>0</v>
      </c>
      <c r="O141" s="182">
        <v>0</v>
      </c>
      <c r="P141" s="182">
        <f t="shared" si="13"/>
        <v>60000</v>
      </c>
      <c r="Q141" s="198"/>
      <c r="R141" s="199"/>
      <c r="S141" s="199"/>
      <c r="T141" s="199"/>
      <c r="U141" s="199"/>
      <c r="V141" s="199"/>
      <c r="W141" s="199"/>
      <c r="X141" s="199"/>
      <c r="Y141" s="199"/>
    </row>
    <row r="142" spans="1:25" x14ac:dyDescent="0.25">
      <c r="A142" s="180"/>
      <c r="B142" s="210" t="s">
        <v>119</v>
      </c>
      <c r="D142" s="182">
        <v>15000</v>
      </c>
      <c r="E142" s="182">
        <v>15000</v>
      </c>
      <c r="F142" s="182">
        <v>15000</v>
      </c>
      <c r="G142" s="182">
        <v>15000</v>
      </c>
      <c r="H142" s="182">
        <v>15000</v>
      </c>
      <c r="I142" s="182">
        <v>15000</v>
      </c>
      <c r="J142" s="182">
        <v>15000</v>
      </c>
      <c r="K142" s="182">
        <v>15000</v>
      </c>
      <c r="L142" s="182">
        <v>15000</v>
      </c>
      <c r="M142" s="182">
        <v>15000</v>
      </c>
      <c r="N142" s="182">
        <v>15000</v>
      </c>
      <c r="O142" s="182">
        <v>15000</v>
      </c>
      <c r="P142" s="182">
        <f t="shared" si="13"/>
        <v>180000</v>
      </c>
      <c r="Q142" s="198"/>
      <c r="R142" s="199"/>
      <c r="S142" s="199"/>
      <c r="T142" s="199"/>
      <c r="U142" s="199"/>
      <c r="V142" s="199"/>
      <c r="W142" s="199"/>
      <c r="X142" s="199"/>
      <c r="Y142" s="199"/>
    </row>
    <row r="143" spans="1:25" x14ac:dyDescent="0.25">
      <c r="A143" s="180"/>
      <c r="B143" s="210" t="s">
        <v>120</v>
      </c>
      <c r="D143" s="182">
        <v>15000</v>
      </c>
      <c r="E143" s="182">
        <v>15000</v>
      </c>
      <c r="F143" s="182">
        <v>15000</v>
      </c>
      <c r="G143" s="182">
        <v>15000</v>
      </c>
      <c r="H143" s="182">
        <v>15000</v>
      </c>
      <c r="I143" s="182">
        <v>15000</v>
      </c>
      <c r="J143" s="182">
        <v>15000</v>
      </c>
      <c r="K143" s="182">
        <v>15000</v>
      </c>
      <c r="L143" s="182">
        <v>15000</v>
      </c>
      <c r="M143" s="182">
        <v>15000</v>
      </c>
      <c r="N143" s="182">
        <v>15000</v>
      </c>
      <c r="O143" s="182">
        <v>15000</v>
      </c>
      <c r="P143" s="182">
        <f t="shared" si="13"/>
        <v>180000</v>
      </c>
      <c r="Q143" s="198"/>
      <c r="R143" s="199"/>
      <c r="S143" s="199"/>
      <c r="T143" s="199"/>
      <c r="U143" s="199"/>
      <c r="V143" s="199"/>
      <c r="W143" s="199"/>
      <c r="X143" s="199"/>
      <c r="Y143" s="199"/>
    </row>
    <row r="144" spans="1:25" x14ac:dyDescent="0.25">
      <c r="A144" s="180"/>
      <c r="B144" s="210" t="s">
        <v>121</v>
      </c>
      <c r="D144" s="182">
        <v>15000</v>
      </c>
      <c r="E144" s="182">
        <v>15000</v>
      </c>
      <c r="F144" s="182">
        <v>15000</v>
      </c>
      <c r="G144" s="182">
        <v>15000</v>
      </c>
      <c r="H144" s="182">
        <v>15000</v>
      </c>
      <c r="I144" s="182">
        <v>15000</v>
      </c>
      <c r="J144" s="182">
        <v>15000</v>
      </c>
      <c r="K144" s="182">
        <v>15000</v>
      </c>
      <c r="L144" s="182">
        <v>15000</v>
      </c>
      <c r="M144" s="182">
        <v>15000</v>
      </c>
      <c r="N144" s="182">
        <v>15000</v>
      </c>
      <c r="O144" s="182">
        <v>15000</v>
      </c>
      <c r="P144" s="182">
        <f t="shared" si="13"/>
        <v>180000</v>
      </c>
      <c r="Q144" s="211"/>
      <c r="R144" s="212"/>
      <c r="S144" s="212"/>
      <c r="T144" s="212"/>
      <c r="U144" s="212"/>
      <c r="V144" s="212"/>
      <c r="W144" s="212"/>
      <c r="X144" s="212"/>
      <c r="Y144" s="212"/>
    </row>
    <row r="145" spans="1:25" x14ac:dyDescent="0.25">
      <c r="A145" s="180"/>
      <c r="B145" s="213" t="s">
        <v>122</v>
      </c>
      <c r="D145" s="182">
        <v>12000</v>
      </c>
      <c r="E145" s="182">
        <v>12000</v>
      </c>
      <c r="F145" s="182">
        <v>12000</v>
      </c>
      <c r="G145" s="182">
        <v>12000</v>
      </c>
      <c r="H145" s="182">
        <v>12000</v>
      </c>
      <c r="I145" s="182">
        <v>12000</v>
      </c>
      <c r="J145" s="182">
        <v>12000</v>
      </c>
      <c r="K145" s="182">
        <v>12000</v>
      </c>
      <c r="L145" s="182">
        <v>12000</v>
      </c>
      <c r="M145" s="182">
        <v>12000</v>
      </c>
      <c r="N145" s="182">
        <v>12000</v>
      </c>
      <c r="O145" s="182">
        <v>12000</v>
      </c>
      <c r="P145" s="182">
        <f>SUM(D145:O145)</f>
        <v>144000</v>
      </c>
      <c r="Q145" s="189"/>
      <c r="R145" s="190"/>
      <c r="S145" s="190"/>
      <c r="T145" s="190"/>
      <c r="U145" s="190"/>
      <c r="V145" s="190"/>
      <c r="W145" s="190"/>
      <c r="X145" s="190"/>
      <c r="Y145" s="190"/>
    </row>
    <row r="146" spans="1:25" x14ac:dyDescent="0.25">
      <c r="A146" s="180"/>
      <c r="B146" s="213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  <c r="P146" s="214"/>
      <c r="Q146" s="189"/>
      <c r="R146" s="190"/>
      <c r="S146" s="190"/>
      <c r="T146" s="190"/>
      <c r="U146" s="190"/>
      <c r="V146" s="190"/>
      <c r="W146" s="190"/>
      <c r="X146" s="190"/>
      <c r="Y146" s="190"/>
    </row>
    <row r="147" spans="1:25" x14ac:dyDescent="0.25">
      <c r="A147" s="180"/>
      <c r="B147" s="184" t="s">
        <v>208</v>
      </c>
      <c r="C147" s="185"/>
      <c r="D147" s="182">
        <v>53000</v>
      </c>
      <c r="E147" s="182">
        <v>53000</v>
      </c>
      <c r="F147" s="182">
        <v>53000</v>
      </c>
      <c r="G147" s="182">
        <v>53000</v>
      </c>
      <c r="H147" s="182">
        <v>53000</v>
      </c>
      <c r="I147" s="182">
        <v>53000</v>
      </c>
      <c r="J147" s="182">
        <v>53000</v>
      </c>
      <c r="K147" s="182">
        <v>53000</v>
      </c>
      <c r="L147" s="182">
        <v>53000</v>
      </c>
      <c r="M147" s="182">
        <v>53000</v>
      </c>
      <c r="N147" s="182">
        <v>53000</v>
      </c>
      <c r="O147" s="182">
        <v>53000</v>
      </c>
      <c r="P147" s="182">
        <f>SUM(D147:O147)</f>
        <v>636000</v>
      </c>
      <c r="Q147" s="183"/>
    </row>
    <row r="148" spans="1:25" x14ac:dyDescent="0.25">
      <c r="A148" s="180"/>
      <c r="B148" s="192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214"/>
      <c r="Q148" s="189"/>
      <c r="R148" s="190"/>
      <c r="S148" s="190"/>
      <c r="T148" s="190"/>
      <c r="U148" s="190"/>
      <c r="V148" s="190"/>
      <c r="W148" s="190"/>
      <c r="X148" s="190"/>
      <c r="Y148" s="190"/>
    </row>
    <row r="149" spans="1:25" x14ac:dyDescent="0.25">
      <c r="A149" s="180"/>
      <c r="B149" s="192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214"/>
      <c r="Q149" s="189"/>
      <c r="R149" s="190"/>
      <c r="S149" s="190"/>
      <c r="T149" s="190"/>
      <c r="U149" s="190"/>
      <c r="V149" s="190"/>
      <c r="W149" s="190"/>
      <c r="X149" s="190"/>
      <c r="Y149" s="190"/>
    </row>
    <row r="150" spans="1:25" x14ac:dyDescent="0.25">
      <c r="A150" s="180"/>
      <c r="B150" s="209"/>
      <c r="D150" s="215"/>
      <c r="E150" s="216"/>
      <c r="F150" s="196"/>
      <c r="G150" s="216"/>
      <c r="H150" s="216"/>
      <c r="I150" s="216"/>
      <c r="J150" s="217"/>
      <c r="K150" s="217"/>
      <c r="L150" s="217"/>
      <c r="M150" s="218"/>
      <c r="N150" s="197"/>
      <c r="O150" s="217"/>
      <c r="P150" s="217"/>
      <c r="Q150" s="183"/>
      <c r="R150" s="202"/>
      <c r="S150" s="202"/>
      <c r="T150" s="202"/>
      <c r="U150" s="202"/>
      <c r="V150" s="202"/>
      <c r="W150" s="202"/>
      <c r="X150" s="202"/>
      <c r="Y150" s="202"/>
    </row>
    <row r="151" spans="1:25" ht="18.75" x14ac:dyDescent="0.25">
      <c r="A151" s="180"/>
      <c r="B151" s="174" t="s">
        <v>133</v>
      </c>
      <c r="C151" s="175"/>
      <c r="D151" s="219">
        <f>SUM(D152:D153)</f>
        <v>110000</v>
      </c>
      <c r="E151" s="219">
        <f>SUM(E152:E153)</f>
        <v>110000</v>
      </c>
      <c r="F151" s="219">
        <f t="shared" ref="F151:P151" si="14">SUM(F152:F153)</f>
        <v>110000</v>
      </c>
      <c r="G151" s="219">
        <f t="shared" si="14"/>
        <v>110000</v>
      </c>
      <c r="H151" s="219">
        <f t="shared" si="14"/>
        <v>110000</v>
      </c>
      <c r="I151" s="219">
        <f t="shared" si="14"/>
        <v>110000</v>
      </c>
      <c r="J151" s="219">
        <f t="shared" si="14"/>
        <v>110000</v>
      </c>
      <c r="K151" s="219">
        <f t="shared" si="14"/>
        <v>110000</v>
      </c>
      <c r="L151" s="219">
        <f t="shared" si="14"/>
        <v>110000</v>
      </c>
      <c r="M151" s="219">
        <f t="shared" si="14"/>
        <v>110000</v>
      </c>
      <c r="N151" s="219">
        <f t="shared" si="14"/>
        <v>110000</v>
      </c>
      <c r="O151" s="219">
        <f t="shared" si="14"/>
        <v>110000</v>
      </c>
      <c r="P151" s="219">
        <f t="shared" si="14"/>
        <v>1320000</v>
      </c>
      <c r="Q151" s="198"/>
      <c r="R151" s="199"/>
      <c r="S151" s="199"/>
      <c r="T151" s="199"/>
      <c r="U151" s="199"/>
      <c r="V151" s="199"/>
      <c r="W151" s="199"/>
      <c r="X151" s="199"/>
      <c r="Y151" s="199"/>
    </row>
    <row r="152" spans="1:25" x14ac:dyDescent="0.25">
      <c r="A152" s="180"/>
      <c r="B152" s="220" t="s">
        <v>124</v>
      </c>
      <c r="C152" s="221"/>
      <c r="D152" s="182">
        <v>65000</v>
      </c>
      <c r="E152" s="182">
        <v>65000</v>
      </c>
      <c r="F152" s="182">
        <v>65000</v>
      </c>
      <c r="G152" s="182">
        <v>65000</v>
      </c>
      <c r="H152" s="182">
        <v>65000</v>
      </c>
      <c r="I152" s="182">
        <v>65000</v>
      </c>
      <c r="J152" s="182">
        <v>65000</v>
      </c>
      <c r="K152" s="182">
        <v>65000</v>
      </c>
      <c r="L152" s="182">
        <v>65000</v>
      </c>
      <c r="M152" s="182">
        <v>65000</v>
      </c>
      <c r="N152" s="182">
        <v>65000</v>
      </c>
      <c r="O152" s="182">
        <v>65000</v>
      </c>
      <c r="P152" s="182">
        <f>SUM(D152:O152)</f>
        <v>780000</v>
      </c>
      <c r="Q152" s="189"/>
      <c r="R152" s="190"/>
      <c r="S152" s="190"/>
      <c r="T152" s="190"/>
      <c r="U152" s="190"/>
      <c r="V152" s="190"/>
      <c r="W152" s="190"/>
      <c r="X152" s="190"/>
      <c r="Y152" s="190"/>
    </row>
    <row r="153" spans="1:25" x14ac:dyDescent="0.25">
      <c r="A153" s="180"/>
      <c r="B153" s="220" t="s">
        <v>125</v>
      </c>
      <c r="C153" s="221"/>
      <c r="D153" s="182">
        <v>45000</v>
      </c>
      <c r="E153" s="182">
        <v>45000</v>
      </c>
      <c r="F153" s="182">
        <v>45000</v>
      </c>
      <c r="G153" s="182">
        <v>45000</v>
      </c>
      <c r="H153" s="182">
        <v>45000</v>
      </c>
      <c r="I153" s="182">
        <v>45000</v>
      </c>
      <c r="J153" s="182">
        <v>45000</v>
      </c>
      <c r="K153" s="182">
        <v>45000</v>
      </c>
      <c r="L153" s="182">
        <v>45000</v>
      </c>
      <c r="M153" s="182">
        <v>45000</v>
      </c>
      <c r="N153" s="182">
        <v>45000</v>
      </c>
      <c r="O153" s="182">
        <v>45000</v>
      </c>
      <c r="P153" s="182">
        <f>SUM(D153:O153)</f>
        <v>540000</v>
      </c>
      <c r="Q153" s="211"/>
      <c r="R153" s="212"/>
      <c r="S153" s="212"/>
      <c r="T153" s="212"/>
      <c r="U153" s="212"/>
      <c r="V153" s="212"/>
      <c r="W153" s="212"/>
      <c r="X153" s="212"/>
      <c r="Y153" s="212"/>
    </row>
    <row r="154" spans="1:25" x14ac:dyDescent="0.25">
      <c r="A154" s="180"/>
      <c r="B154" s="220"/>
      <c r="C154" s="221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222"/>
      <c r="Q154" s="211"/>
      <c r="R154" s="212"/>
      <c r="S154" s="212"/>
      <c r="T154" s="212"/>
      <c r="U154" s="212"/>
      <c r="V154" s="212"/>
      <c r="W154" s="212"/>
      <c r="X154" s="212"/>
      <c r="Y154" s="212"/>
    </row>
    <row r="155" spans="1:25" ht="18.75" x14ac:dyDescent="0.25">
      <c r="A155" s="180"/>
      <c r="B155" s="174" t="s">
        <v>132</v>
      </c>
      <c r="C155" s="175"/>
      <c r="D155" s="219">
        <f>SUM(D156:D162)</f>
        <v>85500</v>
      </c>
      <c r="E155" s="219">
        <f t="shared" ref="E155:P155" si="15">SUM(E156:E162)</f>
        <v>85500</v>
      </c>
      <c r="F155" s="219">
        <f t="shared" si="15"/>
        <v>85500</v>
      </c>
      <c r="G155" s="219">
        <f t="shared" si="15"/>
        <v>85500</v>
      </c>
      <c r="H155" s="219">
        <f t="shared" si="15"/>
        <v>85500</v>
      </c>
      <c r="I155" s="219">
        <f t="shared" si="15"/>
        <v>85500</v>
      </c>
      <c r="J155" s="219">
        <f t="shared" si="15"/>
        <v>85500</v>
      </c>
      <c r="K155" s="219">
        <f t="shared" si="15"/>
        <v>85500</v>
      </c>
      <c r="L155" s="219">
        <f t="shared" si="15"/>
        <v>85500</v>
      </c>
      <c r="M155" s="219">
        <f t="shared" si="15"/>
        <v>85500</v>
      </c>
      <c r="N155" s="219">
        <f t="shared" si="15"/>
        <v>85500</v>
      </c>
      <c r="O155" s="219">
        <f t="shared" si="15"/>
        <v>85500</v>
      </c>
      <c r="P155" s="219">
        <f t="shared" si="15"/>
        <v>1026000</v>
      </c>
      <c r="Q155" s="198"/>
      <c r="R155" s="199"/>
      <c r="S155" s="199"/>
      <c r="T155" s="199"/>
      <c r="U155" s="199"/>
      <c r="V155" s="199"/>
      <c r="W155" s="199"/>
      <c r="X155" s="199"/>
      <c r="Y155" s="199"/>
    </row>
    <row r="156" spans="1:25" x14ac:dyDescent="0.25">
      <c r="A156" s="180"/>
      <c r="B156" s="203"/>
      <c r="C156" s="179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182"/>
      <c r="Q156" s="198"/>
      <c r="R156" s="199"/>
      <c r="S156" s="199"/>
      <c r="T156" s="199"/>
      <c r="U156" s="199"/>
      <c r="V156" s="199"/>
      <c r="W156" s="199"/>
      <c r="X156" s="199"/>
      <c r="Y156" s="199"/>
    </row>
    <row r="157" spans="1:25" x14ac:dyDescent="0.25">
      <c r="A157" s="180"/>
      <c r="B157" s="203" t="s">
        <v>210</v>
      </c>
      <c r="C157" s="179"/>
      <c r="D157" s="223">
        <v>25000</v>
      </c>
      <c r="E157" s="223">
        <v>25000</v>
      </c>
      <c r="F157" s="223">
        <v>25000</v>
      </c>
      <c r="G157" s="223">
        <v>25000</v>
      </c>
      <c r="H157" s="223">
        <v>25000</v>
      </c>
      <c r="I157" s="223">
        <v>25000</v>
      </c>
      <c r="J157" s="223">
        <v>25000</v>
      </c>
      <c r="K157" s="223">
        <v>25000</v>
      </c>
      <c r="L157" s="223">
        <v>25000</v>
      </c>
      <c r="M157" s="223">
        <v>25000</v>
      </c>
      <c r="N157" s="223">
        <v>25000</v>
      </c>
      <c r="O157" s="223">
        <v>25000</v>
      </c>
      <c r="P157" s="182">
        <f t="shared" ref="P157:P165" si="16">SUM(D157:O157)</f>
        <v>300000</v>
      </c>
      <c r="Q157" s="198"/>
      <c r="R157" s="199"/>
      <c r="S157" s="199"/>
      <c r="T157" s="199"/>
      <c r="U157" s="199"/>
      <c r="V157" s="199"/>
      <c r="W157" s="199"/>
      <c r="X157" s="199"/>
      <c r="Y157" s="199"/>
    </row>
    <row r="158" spans="1:25" x14ac:dyDescent="0.25">
      <c r="A158" s="180"/>
      <c r="B158" s="203" t="s">
        <v>135</v>
      </c>
      <c r="C158" s="179"/>
      <c r="D158" s="182">
        <v>17000</v>
      </c>
      <c r="E158" s="182">
        <v>17000</v>
      </c>
      <c r="F158" s="182">
        <v>17000</v>
      </c>
      <c r="G158" s="182">
        <v>17000</v>
      </c>
      <c r="H158" s="182">
        <v>17000</v>
      </c>
      <c r="I158" s="182">
        <v>17000</v>
      </c>
      <c r="J158" s="182">
        <v>17000</v>
      </c>
      <c r="K158" s="182">
        <v>17000</v>
      </c>
      <c r="L158" s="182">
        <v>17000</v>
      </c>
      <c r="M158" s="182">
        <v>17000</v>
      </c>
      <c r="N158" s="182">
        <v>17000</v>
      </c>
      <c r="O158" s="182">
        <v>17000</v>
      </c>
      <c r="P158" s="182">
        <f t="shared" si="16"/>
        <v>204000</v>
      </c>
      <c r="Q158" s="198"/>
      <c r="R158" s="199"/>
      <c r="S158" s="199"/>
      <c r="T158" s="199"/>
      <c r="U158" s="199"/>
      <c r="V158" s="199"/>
      <c r="W158" s="199"/>
      <c r="X158" s="199"/>
      <c r="Y158" s="199"/>
    </row>
    <row r="159" spans="1:25" x14ac:dyDescent="0.25">
      <c r="A159" s="180"/>
      <c r="B159" s="203" t="s">
        <v>147</v>
      </c>
      <c r="C159" s="179"/>
      <c r="D159" s="182">
        <v>8500</v>
      </c>
      <c r="E159" s="182">
        <v>8500</v>
      </c>
      <c r="F159" s="182">
        <v>8500</v>
      </c>
      <c r="G159" s="182">
        <v>8500</v>
      </c>
      <c r="H159" s="182">
        <v>8500</v>
      </c>
      <c r="I159" s="182">
        <v>8500</v>
      </c>
      <c r="J159" s="182">
        <v>8500</v>
      </c>
      <c r="K159" s="182">
        <v>8500</v>
      </c>
      <c r="L159" s="182">
        <v>8500</v>
      </c>
      <c r="M159" s="182">
        <v>8500</v>
      </c>
      <c r="N159" s="182">
        <v>8500</v>
      </c>
      <c r="O159" s="182">
        <v>8500</v>
      </c>
      <c r="P159" s="182">
        <f t="shared" si="16"/>
        <v>102000</v>
      </c>
      <c r="Q159" s="198"/>
      <c r="R159" s="199"/>
      <c r="S159" s="199"/>
      <c r="T159" s="199"/>
      <c r="U159" s="199"/>
      <c r="V159" s="199"/>
      <c r="W159" s="199"/>
      <c r="X159" s="199"/>
      <c r="Y159" s="199"/>
    </row>
    <row r="160" spans="1:25" x14ac:dyDescent="0.25">
      <c r="A160" s="180"/>
      <c r="B160" s="224" t="s">
        <v>233</v>
      </c>
      <c r="C160" s="225" t="s">
        <v>4</v>
      </c>
      <c r="D160" s="223">
        <v>35000</v>
      </c>
      <c r="E160" s="223">
        <v>35000</v>
      </c>
      <c r="F160" s="223">
        <v>35000</v>
      </c>
      <c r="G160" s="223">
        <v>35000</v>
      </c>
      <c r="H160" s="223">
        <v>35000</v>
      </c>
      <c r="I160" s="223">
        <v>35000</v>
      </c>
      <c r="J160" s="223">
        <v>35000</v>
      </c>
      <c r="K160" s="223">
        <v>35000</v>
      </c>
      <c r="L160" s="223">
        <v>35000</v>
      </c>
      <c r="M160" s="223">
        <v>35000</v>
      </c>
      <c r="N160" s="223">
        <v>35000</v>
      </c>
      <c r="O160" s="223">
        <v>35000</v>
      </c>
      <c r="P160" s="182">
        <f>SUM(D160:O160)</f>
        <v>420000</v>
      </c>
      <c r="Q160" s="183"/>
    </row>
    <row r="161" spans="1:25" x14ac:dyDescent="0.25">
      <c r="A161" s="180"/>
      <c r="B161" s="224"/>
      <c r="C161" s="225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182"/>
      <c r="Q161" s="183"/>
    </row>
    <row r="162" spans="1:25" x14ac:dyDescent="0.25">
      <c r="A162" s="180"/>
      <c r="B162" s="224"/>
      <c r="C162" s="225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182"/>
      <c r="Q162" s="183"/>
    </row>
    <row r="163" spans="1:25" ht="18.75" x14ac:dyDescent="0.25">
      <c r="A163" s="180"/>
      <c r="B163" s="174" t="s">
        <v>211</v>
      </c>
      <c r="C163" s="175"/>
      <c r="D163" s="219">
        <f>SUM(D164)</f>
        <v>20000</v>
      </c>
      <c r="E163" s="219">
        <f t="shared" ref="E163:O163" si="17">SUM(E164)</f>
        <v>20000</v>
      </c>
      <c r="F163" s="219">
        <f t="shared" si="17"/>
        <v>20000</v>
      </c>
      <c r="G163" s="219">
        <f t="shared" si="17"/>
        <v>20000</v>
      </c>
      <c r="H163" s="219">
        <f t="shared" si="17"/>
        <v>20000</v>
      </c>
      <c r="I163" s="219">
        <f t="shared" si="17"/>
        <v>20000</v>
      </c>
      <c r="J163" s="219">
        <f t="shared" si="17"/>
        <v>20000</v>
      </c>
      <c r="K163" s="219">
        <f t="shared" si="17"/>
        <v>20000</v>
      </c>
      <c r="L163" s="219">
        <f t="shared" si="17"/>
        <v>20000</v>
      </c>
      <c r="M163" s="219">
        <f t="shared" si="17"/>
        <v>20000</v>
      </c>
      <c r="N163" s="219">
        <f t="shared" si="17"/>
        <v>20000</v>
      </c>
      <c r="O163" s="219">
        <f t="shared" si="17"/>
        <v>20000</v>
      </c>
      <c r="P163" s="219">
        <f>SUM(D163:O163)</f>
        <v>240000</v>
      </c>
      <c r="Q163" s="198"/>
      <c r="R163" s="199"/>
      <c r="S163" s="199"/>
      <c r="T163" s="199"/>
      <c r="U163" s="199"/>
      <c r="V163" s="199"/>
      <c r="W163" s="199"/>
      <c r="X163" s="199"/>
      <c r="Y163" s="199"/>
    </row>
    <row r="164" spans="1:25" x14ac:dyDescent="0.25">
      <c r="A164" s="180"/>
      <c r="B164" s="186" t="s">
        <v>123</v>
      </c>
      <c r="C164" s="226"/>
      <c r="D164" s="182">
        <v>20000</v>
      </c>
      <c r="E164" s="188">
        <v>20000</v>
      </c>
      <c r="F164" s="188">
        <v>20000</v>
      </c>
      <c r="G164" s="188">
        <v>20000</v>
      </c>
      <c r="H164" s="188">
        <v>20000</v>
      </c>
      <c r="I164" s="188">
        <v>20000</v>
      </c>
      <c r="J164" s="188">
        <v>20000</v>
      </c>
      <c r="K164" s="188">
        <v>20000</v>
      </c>
      <c r="L164" s="188">
        <v>20000</v>
      </c>
      <c r="M164" s="188">
        <v>20000</v>
      </c>
      <c r="N164" s="188">
        <v>20000</v>
      </c>
      <c r="O164" s="188">
        <v>20000</v>
      </c>
      <c r="P164" s="182">
        <f t="shared" si="16"/>
        <v>240000</v>
      </c>
      <c r="Q164" s="198"/>
      <c r="R164" s="199"/>
      <c r="S164" s="199"/>
      <c r="T164" s="199"/>
      <c r="U164" s="199"/>
      <c r="V164" s="199"/>
      <c r="W164" s="199"/>
      <c r="X164" s="199"/>
      <c r="Y164" s="199"/>
    </row>
    <row r="165" spans="1:25" x14ac:dyDescent="0.25">
      <c r="A165" s="180"/>
      <c r="B165" s="186"/>
      <c r="C165" s="187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2">
        <f t="shared" si="16"/>
        <v>0</v>
      </c>
      <c r="Q165" s="189"/>
      <c r="R165" s="190"/>
      <c r="S165" s="190"/>
      <c r="T165" s="190"/>
      <c r="U165" s="190"/>
      <c r="V165" s="190"/>
      <c r="W165" s="190"/>
      <c r="X165" s="190"/>
      <c r="Y165" s="190"/>
    </row>
    <row r="166" spans="1:25" ht="15.75" thickBot="1" x14ac:dyDescent="0.3">
      <c r="A166" s="180"/>
      <c r="B166" s="186"/>
      <c r="C166" s="187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214"/>
      <c r="Q166" s="189"/>
      <c r="R166" s="190"/>
      <c r="S166" s="190"/>
      <c r="T166" s="190"/>
      <c r="U166" s="190"/>
      <c r="V166" s="190"/>
      <c r="W166" s="190"/>
      <c r="X166" s="190"/>
      <c r="Y166" s="190"/>
    </row>
    <row r="167" spans="1:25" s="233" customFormat="1" ht="17.25" thickTop="1" thickBot="1" x14ac:dyDescent="0.3">
      <c r="A167" s="227"/>
      <c r="B167" s="228" t="s">
        <v>134</v>
      </c>
      <c r="C167" s="229"/>
      <c r="D167" s="230">
        <f>D5+D15+D33+D46+D51+D61+D67+D74+D151+D155+D163</f>
        <v>2088519.69</v>
      </c>
      <c r="E167" s="230">
        <f t="shared" ref="E167:O167" si="18">E5+E15+E33+E46+E51+E61+E67+E74+E151+E155+E163</f>
        <v>2213230.69</v>
      </c>
      <c r="F167" s="230">
        <f t="shared" si="18"/>
        <v>2213230.69</v>
      </c>
      <c r="G167" s="230">
        <f t="shared" si="18"/>
        <v>2213230.69</v>
      </c>
      <c r="H167" s="230">
        <f t="shared" si="18"/>
        <v>2198230.69</v>
      </c>
      <c r="I167" s="230">
        <f t="shared" si="18"/>
        <v>2198230.69</v>
      </c>
      <c r="J167" s="230">
        <f t="shared" si="18"/>
        <v>2198230.69</v>
      </c>
      <c r="K167" s="230">
        <f t="shared" si="18"/>
        <v>2198230.69</v>
      </c>
      <c r="L167" s="230">
        <f t="shared" si="18"/>
        <v>2198230.69</v>
      </c>
      <c r="M167" s="230">
        <f t="shared" si="18"/>
        <v>2198230.69</v>
      </c>
      <c r="N167" s="230">
        <f t="shared" si="18"/>
        <v>2198230.69</v>
      </c>
      <c r="O167" s="230">
        <f t="shared" si="18"/>
        <v>2198230.69</v>
      </c>
      <c r="P167" s="230">
        <f>SUM(D167:O167)</f>
        <v>26314057.280000005</v>
      </c>
      <c r="Q167" s="231"/>
      <c r="R167" s="232"/>
      <c r="S167" s="232"/>
      <c r="T167" s="232"/>
      <c r="U167" s="232"/>
      <c r="V167" s="232"/>
      <c r="W167" s="232"/>
      <c r="X167" s="232"/>
      <c r="Y167" s="232"/>
    </row>
    <row r="168" spans="1:25" ht="15.75" thickTop="1" x14ac:dyDescent="0.25">
      <c r="A168" s="180"/>
      <c r="B168" s="234"/>
      <c r="C168" s="235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7"/>
      <c r="P168" s="238">
        <f>P5+P15+P33+P46+P51+P61+P67+P74+P151+P155+P163</f>
        <v>25531505</v>
      </c>
      <c r="Q168" s="183"/>
    </row>
    <row r="169" spans="1:25" ht="15.75" thickBot="1" x14ac:dyDescent="0.3">
      <c r="A169" s="239"/>
      <c r="B169" s="240"/>
      <c r="C169" s="241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3"/>
      <c r="P169" s="244"/>
      <c r="Q169" s="245"/>
    </row>
    <row r="170" spans="1:25" ht="15.75" thickTop="1" x14ac:dyDescent="0.25"/>
    <row r="171" spans="1:25" x14ac:dyDescent="0.25">
      <c r="D171" s="247" t="s">
        <v>4</v>
      </c>
    </row>
    <row r="173" spans="1:25" x14ac:dyDescent="0.25">
      <c r="B173" s="156"/>
      <c r="D173" s="250"/>
    </row>
    <row r="174" spans="1:25" x14ac:dyDescent="0.25">
      <c r="K174" s="247" t="s">
        <v>4</v>
      </c>
    </row>
  </sheetData>
  <sheetProtection selectLockedCells="1" selectUnlockedCells="1"/>
  <printOptions horizontalCentered="1" verticalCentered="1"/>
  <pageMargins left="0" right="0" top="0" bottom="0" header="0" footer="0"/>
  <pageSetup paperSize="9" scale="52" orientation="landscape" r:id="rId1"/>
  <rowBreaks count="2" manualBreakCount="2">
    <brk id="60" max="16" man="1"/>
    <brk id="110" max="1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3"/>
  <sheetViews>
    <sheetView workbookViewId="0">
      <selection activeCell="B1" sqref="B1:E1"/>
    </sheetView>
  </sheetViews>
  <sheetFormatPr defaultColWidth="9.140625" defaultRowHeight="15" x14ac:dyDescent="0.25"/>
  <cols>
    <col min="1" max="1" width="10.5703125" style="258" customWidth="1"/>
    <col min="2" max="48" width="13.5703125" style="258" customWidth="1"/>
    <col min="49" max="49" width="11" style="258" bestFit="1" customWidth="1"/>
    <col min="50" max="50" width="3.85546875" style="258" customWidth="1"/>
    <col min="51" max="51" width="13.7109375" style="258" bestFit="1" customWidth="1"/>
    <col min="52" max="52" width="9.140625" style="258"/>
    <col min="53" max="53" width="12.5703125" style="258" bestFit="1" customWidth="1"/>
    <col min="54" max="16384" width="9.140625" style="258"/>
  </cols>
  <sheetData>
    <row r="1" spans="1:51" ht="15.75" thickTop="1" x14ac:dyDescent="0.25">
      <c r="A1" s="309"/>
      <c r="B1" s="550" t="s">
        <v>285</v>
      </c>
      <c r="C1" s="551"/>
      <c r="D1" s="551"/>
      <c r="E1" s="552"/>
      <c r="F1" s="550" t="s">
        <v>46</v>
      </c>
      <c r="G1" s="551"/>
      <c r="H1" s="551"/>
      <c r="I1" s="552"/>
      <c r="J1" s="553" t="s">
        <v>286</v>
      </c>
      <c r="K1" s="553"/>
      <c r="L1" s="553"/>
      <c r="M1" s="553"/>
      <c r="N1" s="550" t="s">
        <v>287</v>
      </c>
      <c r="O1" s="551"/>
      <c r="P1" s="551"/>
      <c r="Q1" s="552"/>
      <c r="R1" s="550" t="s">
        <v>288</v>
      </c>
      <c r="S1" s="551"/>
      <c r="T1" s="551"/>
      <c r="U1" s="552"/>
      <c r="V1" s="550" t="s">
        <v>289</v>
      </c>
      <c r="W1" s="551"/>
      <c r="X1" s="551"/>
      <c r="Y1" s="552"/>
      <c r="Z1" s="547" t="s">
        <v>290</v>
      </c>
      <c r="AA1" s="548"/>
      <c r="AB1" s="548"/>
      <c r="AC1" s="549"/>
      <c r="AD1" s="547" t="s">
        <v>291</v>
      </c>
      <c r="AE1" s="548"/>
      <c r="AF1" s="548"/>
      <c r="AG1" s="549"/>
      <c r="AH1" s="547" t="s">
        <v>292</v>
      </c>
      <c r="AI1" s="548"/>
      <c r="AJ1" s="548"/>
      <c r="AK1" s="549"/>
      <c r="AL1" s="547" t="s">
        <v>293</v>
      </c>
      <c r="AM1" s="548"/>
      <c r="AN1" s="548"/>
      <c r="AO1" s="549"/>
      <c r="AP1" s="547" t="s">
        <v>294</v>
      </c>
      <c r="AQ1" s="548"/>
      <c r="AR1" s="548"/>
      <c r="AS1" s="549"/>
      <c r="AT1" s="547" t="s">
        <v>295</v>
      </c>
      <c r="AU1" s="548"/>
      <c r="AV1" s="548"/>
      <c r="AW1" s="549"/>
      <c r="AX1" s="310"/>
      <c r="AY1" s="311"/>
    </row>
    <row r="2" spans="1:51" x14ac:dyDescent="0.25">
      <c r="A2" s="312"/>
      <c r="B2" s="313" t="s">
        <v>296</v>
      </c>
      <c r="C2" s="314" t="s">
        <v>297</v>
      </c>
      <c r="D2" s="314" t="s">
        <v>298</v>
      </c>
      <c r="E2" s="315" t="s">
        <v>299</v>
      </c>
      <c r="F2" s="313" t="s">
        <v>296</v>
      </c>
      <c r="G2" s="314" t="s">
        <v>297</v>
      </c>
      <c r="H2" s="314" t="s">
        <v>298</v>
      </c>
      <c r="I2" s="315" t="s">
        <v>299</v>
      </c>
      <c r="J2" s="313" t="s">
        <v>296</v>
      </c>
      <c r="K2" s="314" t="s">
        <v>297</v>
      </c>
      <c r="L2" s="314" t="s">
        <v>298</v>
      </c>
      <c r="M2" s="315" t="s">
        <v>299</v>
      </c>
      <c r="N2" s="313" t="s">
        <v>296</v>
      </c>
      <c r="O2" s="314" t="s">
        <v>297</v>
      </c>
      <c r="P2" s="314" t="s">
        <v>298</v>
      </c>
      <c r="Q2" s="315" t="s">
        <v>299</v>
      </c>
      <c r="R2" s="313" t="s">
        <v>296</v>
      </c>
      <c r="S2" s="314" t="s">
        <v>297</v>
      </c>
      <c r="T2" s="314" t="s">
        <v>298</v>
      </c>
      <c r="U2" s="315" t="s">
        <v>299</v>
      </c>
      <c r="V2" s="313" t="s">
        <v>296</v>
      </c>
      <c r="W2" s="314" t="s">
        <v>297</v>
      </c>
      <c r="X2" s="314" t="s">
        <v>298</v>
      </c>
      <c r="Y2" s="315" t="s">
        <v>299</v>
      </c>
      <c r="Z2" s="316" t="s">
        <v>296</v>
      </c>
      <c r="AA2" s="317" t="s">
        <v>297</v>
      </c>
      <c r="AB2" s="317" t="s">
        <v>298</v>
      </c>
      <c r="AC2" s="318" t="s">
        <v>299</v>
      </c>
      <c r="AD2" s="316" t="s">
        <v>296</v>
      </c>
      <c r="AE2" s="317" t="s">
        <v>297</v>
      </c>
      <c r="AF2" s="317" t="s">
        <v>298</v>
      </c>
      <c r="AG2" s="318" t="s">
        <v>299</v>
      </c>
      <c r="AH2" s="316" t="s">
        <v>296</v>
      </c>
      <c r="AI2" s="317" t="s">
        <v>297</v>
      </c>
      <c r="AJ2" s="317" t="s">
        <v>298</v>
      </c>
      <c r="AK2" s="318" t="s">
        <v>299</v>
      </c>
      <c r="AL2" s="316" t="s">
        <v>296</v>
      </c>
      <c r="AM2" s="317" t="s">
        <v>297</v>
      </c>
      <c r="AN2" s="317" t="s">
        <v>298</v>
      </c>
      <c r="AO2" s="318" t="s">
        <v>299</v>
      </c>
      <c r="AP2" s="316" t="s">
        <v>296</v>
      </c>
      <c r="AQ2" s="317" t="s">
        <v>297</v>
      </c>
      <c r="AR2" s="317" t="s">
        <v>298</v>
      </c>
      <c r="AS2" s="318" t="s">
        <v>299</v>
      </c>
      <c r="AT2" s="316" t="s">
        <v>296</v>
      </c>
      <c r="AU2" s="317" t="s">
        <v>297</v>
      </c>
      <c r="AV2" s="317" t="s">
        <v>298</v>
      </c>
      <c r="AW2" s="318" t="s">
        <v>299</v>
      </c>
      <c r="AX2" s="319"/>
      <c r="AY2" s="320" t="s">
        <v>300</v>
      </c>
    </row>
    <row r="3" spans="1:51" x14ac:dyDescent="0.25">
      <c r="A3" s="321" t="s">
        <v>90</v>
      </c>
      <c r="B3" s="322"/>
      <c r="C3" s="323">
        <v>916</v>
      </c>
      <c r="D3" s="323">
        <v>220630</v>
      </c>
      <c r="E3" s="324">
        <v>51169</v>
      </c>
      <c r="F3" s="322"/>
      <c r="G3" s="323">
        <v>916</v>
      </c>
      <c r="H3" s="323">
        <v>220630</v>
      </c>
      <c r="I3" s="324">
        <v>51169</v>
      </c>
      <c r="J3" s="322"/>
      <c r="K3" s="323">
        <v>916</v>
      </c>
      <c r="L3" s="323">
        <v>220630</v>
      </c>
      <c r="M3" s="324">
        <v>51169</v>
      </c>
      <c r="N3" s="322"/>
      <c r="O3" s="323">
        <v>916</v>
      </c>
      <c r="P3" s="323">
        <v>220630</v>
      </c>
      <c r="Q3" s="324">
        <v>51169</v>
      </c>
      <c r="R3" s="322"/>
      <c r="S3" s="323">
        <v>916</v>
      </c>
      <c r="T3" s="323">
        <v>220630</v>
      </c>
      <c r="U3" s="324">
        <v>51169</v>
      </c>
      <c r="V3" s="322"/>
      <c r="W3" s="323">
        <v>916</v>
      </c>
      <c r="X3" s="323">
        <v>220630</v>
      </c>
      <c r="Y3" s="324">
        <v>51169</v>
      </c>
      <c r="Z3" s="325">
        <v>76107</v>
      </c>
      <c r="AA3" s="326">
        <v>1833</v>
      </c>
      <c r="AB3" s="326">
        <v>220630</v>
      </c>
      <c r="AC3" s="327">
        <v>51169</v>
      </c>
      <c r="AD3" s="325">
        <v>76107</v>
      </c>
      <c r="AE3" s="326">
        <v>1833</v>
      </c>
      <c r="AF3" s="326">
        <v>220630</v>
      </c>
      <c r="AG3" s="327">
        <v>51169</v>
      </c>
      <c r="AH3" s="325">
        <v>76107</v>
      </c>
      <c r="AI3" s="326">
        <v>1833</v>
      </c>
      <c r="AJ3" s="326">
        <v>220630</v>
      </c>
      <c r="AK3" s="327">
        <v>51169</v>
      </c>
      <c r="AL3" s="325">
        <v>76107</v>
      </c>
      <c r="AM3" s="326">
        <v>1833</v>
      </c>
      <c r="AN3" s="326">
        <v>220630</v>
      </c>
      <c r="AO3" s="327">
        <v>51169</v>
      </c>
      <c r="AP3" s="325">
        <v>76107</v>
      </c>
      <c r="AQ3" s="326">
        <v>1833</v>
      </c>
      <c r="AR3" s="326">
        <v>220630</v>
      </c>
      <c r="AS3" s="327">
        <v>51169</v>
      </c>
      <c r="AT3" s="325">
        <v>76107</v>
      </c>
      <c r="AU3" s="326">
        <v>1833</v>
      </c>
      <c r="AV3" s="326">
        <v>220630</v>
      </c>
      <c r="AW3" s="327">
        <v>51169</v>
      </c>
      <c r="AX3" s="256"/>
      <c r="AY3" s="328">
        <f>SUM(B3:AW3)</f>
        <v>3734724</v>
      </c>
    </row>
    <row r="4" spans="1:51" x14ac:dyDescent="0.25">
      <c r="A4" s="321"/>
      <c r="B4" s="322"/>
      <c r="C4" s="323"/>
      <c r="D4" s="323"/>
      <c r="E4" s="324"/>
      <c r="F4" s="322"/>
      <c r="G4" s="323"/>
      <c r="H4" s="323"/>
      <c r="I4" s="324"/>
      <c r="J4" s="322"/>
      <c r="K4" s="323"/>
      <c r="L4" s="323"/>
      <c r="M4" s="324"/>
      <c r="N4" s="322"/>
      <c r="O4" s="323"/>
      <c r="P4" s="323"/>
      <c r="Q4" s="324"/>
      <c r="R4" s="322"/>
      <c r="S4" s="323"/>
      <c r="T4" s="323"/>
      <c r="U4" s="324"/>
      <c r="V4" s="322"/>
      <c r="W4" s="323"/>
      <c r="X4" s="323"/>
      <c r="Y4" s="324"/>
      <c r="Z4" s="325"/>
      <c r="AA4" s="326"/>
      <c r="AB4" s="326"/>
      <c r="AC4" s="327"/>
      <c r="AD4" s="325"/>
      <c r="AE4" s="326"/>
      <c r="AF4" s="326"/>
      <c r="AG4" s="327"/>
      <c r="AH4" s="325"/>
      <c r="AI4" s="326"/>
      <c r="AJ4" s="326"/>
      <c r="AK4" s="327"/>
      <c r="AL4" s="325"/>
      <c r="AM4" s="326"/>
      <c r="AN4" s="326"/>
      <c r="AO4" s="327"/>
      <c r="AP4" s="325"/>
      <c r="AQ4" s="326"/>
      <c r="AR4" s="326"/>
      <c r="AS4" s="327"/>
      <c r="AT4" s="325"/>
      <c r="AU4" s="326"/>
      <c r="AV4" s="326"/>
      <c r="AW4" s="327"/>
      <c r="AX4" s="256"/>
      <c r="AY4" s="328"/>
    </row>
    <row r="5" spans="1:51" x14ac:dyDescent="0.25">
      <c r="A5" s="321" t="s">
        <v>91</v>
      </c>
      <c r="B5" s="322"/>
      <c r="C5" s="323">
        <v>916</v>
      </c>
      <c r="D5" s="323">
        <v>213473</v>
      </c>
      <c r="E5" s="324">
        <v>52415</v>
      </c>
      <c r="F5" s="322"/>
      <c r="G5" s="323">
        <v>916</v>
      </c>
      <c r="H5" s="323">
        <v>213473</v>
      </c>
      <c r="I5" s="324">
        <v>52415</v>
      </c>
      <c r="J5" s="322"/>
      <c r="K5" s="323">
        <v>916</v>
      </c>
      <c r="L5" s="323">
        <v>213473</v>
      </c>
      <c r="M5" s="324">
        <v>52415</v>
      </c>
      <c r="N5" s="322"/>
      <c r="O5" s="323">
        <v>916</v>
      </c>
      <c r="P5" s="323">
        <v>213473</v>
      </c>
      <c r="Q5" s="324">
        <v>52415</v>
      </c>
      <c r="R5" s="322"/>
      <c r="S5" s="323">
        <v>916</v>
      </c>
      <c r="T5" s="323">
        <v>213473</v>
      </c>
      <c r="U5" s="324">
        <v>52415</v>
      </c>
      <c r="V5" s="322"/>
      <c r="W5" s="323">
        <v>916</v>
      </c>
      <c r="X5" s="323">
        <v>213473</v>
      </c>
      <c r="Y5" s="324">
        <v>52415</v>
      </c>
      <c r="Z5" s="325">
        <v>73732</v>
      </c>
      <c r="AA5" s="326">
        <v>1833</v>
      </c>
      <c r="AB5" s="326">
        <v>213473</v>
      </c>
      <c r="AC5" s="327">
        <v>52415</v>
      </c>
      <c r="AD5" s="325">
        <v>73732</v>
      </c>
      <c r="AE5" s="326">
        <v>1833</v>
      </c>
      <c r="AF5" s="326">
        <v>213473</v>
      </c>
      <c r="AG5" s="327">
        <v>52415</v>
      </c>
      <c r="AH5" s="325">
        <v>73732</v>
      </c>
      <c r="AI5" s="326">
        <v>1833</v>
      </c>
      <c r="AJ5" s="326">
        <v>213473</v>
      </c>
      <c r="AK5" s="327">
        <v>52415</v>
      </c>
      <c r="AL5" s="325">
        <v>73732</v>
      </c>
      <c r="AM5" s="326">
        <v>1833</v>
      </c>
      <c r="AN5" s="326">
        <v>213473</v>
      </c>
      <c r="AO5" s="327">
        <v>52415</v>
      </c>
      <c r="AP5" s="325">
        <v>73732</v>
      </c>
      <c r="AQ5" s="326">
        <v>1833</v>
      </c>
      <c r="AR5" s="326">
        <v>213473</v>
      </c>
      <c r="AS5" s="327">
        <v>52415</v>
      </c>
      <c r="AT5" s="325">
        <v>73732</v>
      </c>
      <c r="AU5" s="326">
        <v>1833</v>
      </c>
      <c r="AV5" s="326">
        <v>213473</v>
      </c>
      <c r="AW5" s="327">
        <v>52415</v>
      </c>
      <c r="AX5" s="256"/>
      <c r="AY5" s="328">
        <f t="shared" ref="AY5:AY34" si="0">SUM(B5:AW5)</f>
        <v>3649542</v>
      </c>
    </row>
    <row r="6" spans="1:51" x14ac:dyDescent="0.25">
      <c r="A6" s="321"/>
      <c r="B6" s="322"/>
      <c r="C6" s="323"/>
      <c r="D6" s="323"/>
      <c r="E6" s="324"/>
      <c r="F6" s="322"/>
      <c r="G6" s="323"/>
      <c r="H6" s="323"/>
      <c r="I6" s="324"/>
      <c r="J6" s="322"/>
      <c r="K6" s="323"/>
      <c r="L6" s="323"/>
      <c r="M6" s="324"/>
      <c r="N6" s="322"/>
      <c r="O6" s="323"/>
      <c r="P6" s="323"/>
      <c r="Q6" s="324"/>
      <c r="R6" s="322"/>
      <c r="S6" s="323"/>
      <c r="T6" s="323"/>
      <c r="U6" s="324"/>
      <c r="V6" s="322"/>
      <c r="W6" s="323"/>
      <c r="X6" s="323"/>
      <c r="Y6" s="324"/>
      <c r="Z6" s="325"/>
      <c r="AA6" s="326"/>
      <c r="AB6" s="326"/>
      <c r="AC6" s="327"/>
      <c r="AD6" s="325"/>
      <c r="AE6" s="326"/>
      <c r="AF6" s="326"/>
      <c r="AG6" s="327"/>
      <c r="AH6" s="325"/>
      <c r="AI6" s="326"/>
      <c r="AJ6" s="326"/>
      <c r="AK6" s="327"/>
      <c r="AL6" s="325"/>
      <c r="AM6" s="326"/>
      <c r="AN6" s="326"/>
      <c r="AO6" s="327"/>
      <c r="AP6" s="325"/>
      <c r="AQ6" s="326"/>
      <c r="AR6" s="326"/>
      <c r="AS6" s="327"/>
      <c r="AT6" s="325"/>
      <c r="AU6" s="326"/>
      <c r="AV6" s="326"/>
      <c r="AW6" s="327"/>
      <c r="AX6" s="256"/>
      <c r="AY6" s="328">
        <f t="shared" si="0"/>
        <v>0</v>
      </c>
    </row>
    <row r="7" spans="1:51" x14ac:dyDescent="0.25">
      <c r="A7" s="321" t="s">
        <v>92</v>
      </c>
      <c r="B7" s="322"/>
      <c r="C7" s="323">
        <v>916</v>
      </c>
      <c r="D7" s="323">
        <v>210723</v>
      </c>
      <c r="E7" s="324">
        <v>47265</v>
      </c>
      <c r="F7" s="322"/>
      <c r="G7" s="323">
        <v>916</v>
      </c>
      <c r="H7" s="323">
        <v>210723</v>
      </c>
      <c r="I7" s="324">
        <v>47265</v>
      </c>
      <c r="J7" s="322"/>
      <c r="K7" s="323">
        <v>916</v>
      </c>
      <c r="L7" s="323">
        <v>210723</v>
      </c>
      <c r="M7" s="324">
        <v>47265</v>
      </c>
      <c r="N7" s="322"/>
      <c r="O7" s="323">
        <v>916</v>
      </c>
      <c r="P7" s="323">
        <v>210723</v>
      </c>
      <c r="Q7" s="324">
        <v>47265</v>
      </c>
      <c r="R7" s="322"/>
      <c r="S7" s="323">
        <v>916</v>
      </c>
      <c r="T7" s="323">
        <v>210723</v>
      </c>
      <c r="U7" s="324">
        <v>47265</v>
      </c>
      <c r="V7" s="322"/>
      <c r="W7" s="323">
        <v>916</v>
      </c>
      <c r="X7" s="323">
        <v>210723</v>
      </c>
      <c r="Y7" s="324">
        <v>47265</v>
      </c>
      <c r="Z7" s="325">
        <v>73153</v>
      </c>
      <c r="AA7" s="326">
        <v>1833</v>
      </c>
      <c r="AB7" s="326">
        <v>210723</v>
      </c>
      <c r="AC7" s="327">
        <v>47265</v>
      </c>
      <c r="AD7" s="325">
        <v>73153</v>
      </c>
      <c r="AE7" s="326">
        <v>1833</v>
      </c>
      <c r="AF7" s="326">
        <v>210723</v>
      </c>
      <c r="AG7" s="327">
        <v>47265</v>
      </c>
      <c r="AH7" s="325">
        <v>73153</v>
      </c>
      <c r="AI7" s="326">
        <v>1833</v>
      </c>
      <c r="AJ7" s="326">
        <v>210723</v>
      </c>
      <c r="AK7" s="327">
        <v>47265</v>
      </c>
      <c r="AL7" s="325">
        <v>73153</v>
      </c>
      <c r="AM7" s="326">
        <v>1833</v>
      </c>
      <c r="AN7" s="326">
        <v>210723</v>
      </c>
      <c r="AO7" s="327">
        <v>47265</v>
      </c>
      <c r="AP7" s="325">
        <v>73153</v>
      </c>
      <c r="AQ7" s="326">
        <v>1833</v>
      </c>
      <c r="AR7" s="326">
        <v>210723</v>
      </c>
      <c r="AS7" s="327">
        <v>47265</v>
      </c>
      <c r="AT7" s="325">
        <v>73153</v>
      </c>
      <c r="AU7" s="326">
        <v>1833</v>
      </c>
      <c r="AV7" s="326">
        <v>210723</v>
      </c>
      <c r="AW7" s="327">
        <v>47265</v>
      </c>
      <c r="AX7" s="256"/>
      <c r="AY7" s="328">
        <f t="shared" si="0"/>
        <v>3551268</v>
      </c>
    </row>
    <row r="8" spans="1:51" x14ac:dyDescent="0.25">
      <c r="A8" s="321"/>
      <c r="B8" s="322"/>
      <c r="C8" s="323"/>
      <c r="D8" s="323"/>
      <c r="E8" s="324"/>
      <c r="F8" s="322"/>
      <c r="G8" s="323"/>
      <c r="H8" s="323"/>
      <c r="I8" s="324"/>
      <c r="J8" s="322"/>
      <c r="K8" s="323"/>
      <c r="L8" s="323"/>
      <c r="M8" s="324"/>
      <c r="N8" s="322"/>
      <c r="O8" s="323"/>
      <c r="P8" s="323"/>
      <c r="Q8" s="324"/>
      <c r="R8" s="322"/>
      <c r="S8" s="323"/>
      <c r="T8" s="323"/>
      <c r="U8" s="324"/>
      <c r="V8" s="322"/>
      <c r="W8" s="323"/>
      <c r="X8" s="323"/>
      <c r="Y8" s="324"/>
      <c r="Z8" s="325"/>
      <c r="AA8" s="326"/>
      <c r="AB8" s="326"/>
      <c r="AC8" s="327"/>
      <c r="AD8" s="325"/>
      <c r="AE8" s="326"/>
      <c r="AF8" s="326"/>
      <c r="AG8" s="327"/>
      <c r="AH8" s="325"/>
      <c r="AI8" s="326"/>
      <c r="AJ8" s="326"/>
      <c r="AK8" s="327"/>
      <c r="AL8" s="325"/>
      <c r="AM8" s="326"/>
      <c r="AN8" s="326"/>
      <c r="AO8" s="327"/>
      <c r="AP8" s="325"/>
      <c r="AQ8" s="326"/>
      <c r="AR8" s="326"/>
      <c r="AS8" s="327"/>
      <c r="AT8" s="325"/>
      <c r="AU8" s="326"/>
      <c r="AV8" s="326"/>
      <c r="AW8" s="327"/>
      <c r="AX8" s="256"/>
      <c r="AY8" s="328">
        <f t="shared" si="0"/>
        <v>0</v>
      </c>
    </row>
    <row r="9" spans="1:51" x14ac:dyDescent="0.25">
      <c r="A9" s="321" t="s">
        <v>93</v>
      </c>
      <c r="B9" s="322"/>
      <c r="C9" s="323">
        <v>1833</v>
      </c>
      <c r="D9" s="323">
        <v>211435</v>
      </c>
      <c r="E9" s="324">
        <v>48854</v>
      </c>
      <c r="F9" s="322"/>
      <c r="G9" s="323">
        <v>1833</v>
      </c>
      <c r="H9" s="323">
        <v>211435</v>
      </c>
      <c r="I9" s="324">
        <v>48854</v>
      </c>
      <c r="J9" s="322"/>
      <c r="K9" s="323">
        <v>1833</v>
      </c>
      <c r="L9" s="323">
        <v>211435</v>
      </c>
      <c r="M9" s="324">
        <v>48854</v>
      </c>
      <c r="N9" s="322"/>
      <c r="O9" s="323">
        <v>1833</v>
      </c>
      <c r="P9" s="323">
        <v>211435</v>
      </c>
      <c r="Q9" s="324">
        <v>48854</v>
      </c>
      <c r="R9" s="322"/>
      <c r="S9" s="323">
        <v>1833</v>
      </c>
      <c r="T9" s="323">
        <v>211435</v>
      </c>
      <c r="U9" s="324">
        <v>48854</v>
      </c>
      <c r="V9" s="322"/>
      <c r="W9" s="323">
        <v>1833</v>
      </c>
      <c r="X9" s="323">
        <v>211435</v>
      </c>
      <c r="Y9" s="324">
        <v>48854</v>
      </c>
      <c r="Z9" s="325">
        <v>73486</v>
      </c>
      <c r="AA9" s="326">
        <v>2749</v>
      </c>
      <c r="AB9" s="326">
        <v>211435</v>
      </c>
      <c r="AC9" s="327">
        <v>48854</v>
      </c>
      <c r="AD9" s="325">
        <v>73486</v>
      </c>
      <c r="AE9" s="326">
        <v>2749</v>
      </c>
      <c r="AF9" s="326">
        <v>211435</v>
      </c>
      <c r="AG9" s="327">
        <v>48854</v>
      </c>
      <c r="AH9" s="325">
        <v>73486</v>
      </c>
      <c r="AI9" s="326">
        <v>2749</v>
      </c>
      <c r="AJ9" s="326">
        <v>211435</v>
      </c>
      <c r="AK9" s="327">
        <v>48854</v>
      </c>
      <c r="AL9" s="325">
        <v>73486</v>
      </c>
      <c r="AM9" s="326">
        <v>2749</v>
      </c>
      <c r="AN9" s="326">
        <v>211435</v>
      </c>
      <c r="AO9" s="327">
        <v>48854</v>
      </c>
      <c r="AP9" s="325">
        <v>73486</v>
      </c>
      <c r="AQ9" s="326">
        <v>2749</v>
      </c>
      <c r="AR9" s="326">
        <v>211435</v>
      </c>
      <c r="AS9" s="327">
        <v>48854</v>
      </c>
      <c r="AT9" s="325">
        <v>73486</v>
      </c>
      <c r="AU9" s="326">
        <v>2749</v>
      </c>
      <c r="AV9" s="326">
        <v>211435</v>
      </c>
      <c r="AW9" s="327">
        <v>48854</v>
      </c>
      <c r="AX9" s="256"/>
      <c r="AY9" s="328">
        <f t="shared" si="0"/>
        <v>3591876</v>
      </c>
    </row>
    <row r="10" spans="1:51" x14ac:dyDescent="0.25">
      <c r="A10" s="321"/>
      <c r="B10" s="322"/>
      <c r="C10" s="323"/>
      <c r="D10" s="323"/>
      <c r="E10" s="324"/>
      <c r="F10" s="322"/>
      <c r="G10" s="323"/>
      <c r="H10" s="323"/>
      <c r="I10" s="324"/>
      <c r="J10" s="322"/>
      <c r="K10" s="323"/>
      <c r="L10" s="323"/>
      <c r="M10" s="324"/>
      <c r="N10" s="322"/>
      <c r="O10" s="323"/>
      <c r="P10" s="323"/>
      <c r="Q10" s="324"/>
      <c r="R10" s="322"/>
      <c r="S10" s="323"/>
      <c r="T10" s="323"/>
      <c r="U10" s="324"/>
      <c r="V10" s="322"/>
      <c r="W10" s="323"/>
      <c r="X10" s="323"/>
      <c r="Y10" s="324"/>
      <c r="Z10" s="325"/>
      <c r="AA10" s="326"/>
      <c r="AB10" s="326"/>
      <c r="AC10" s="327"/>
      <c r="AD10" s="325"/>
      <c r="AE10" s="326"/>
      <c r="AF10" s="326"/>
      <c r="AG10" s="327"/>
      <c r="AH10" s="325"/>
      <c r="AI10" s="326"/>
      <c r="AJ10" s="326"/>
      <c r="AK10" s="327"/>
      <c r="AL10" s="325"/>
      <c r="AM10" s="326"/>
      <c r="AN10" s="326"/>
      <c r="AO10" s="327"/>
      <c r="AP10" s="325"/>
      <c r="AQ10" s="326"/>
      <c r="AR10" s="326"/>
      <c r="AS10" s="327"/>
      <c r="AT10" s="325"/>
      <c r="AU10" s="326"/>
      <c r="AV10" s="326"/>
      <c r="AW10" s="327"/>
      <c r="AX10" s="256"/>
      <c r="AY10" s="328">
        <f t="shared" si="0"/>
        <v>0</v>
      </c>
    </row>
    <row r="11" spans="1:51" x14ac:dyDescent="0.25">
      <c r="A11" s="321" t="s">
        <v>94</v>
      </c>
      <c r="B11" s="322"/>
      <c r="C11" s="323">
        <v>1833</v>
      </c>
      <c r="D11" s="323">
        <v>217902</v>
      </c>
      <c r="E11" s="324">
        <v>48321</v>
      </c>
      <c r="F11" s="322"/>
      <c r="G11" s="323">
        <v>1833</v>
      </c>
      <c r="H11" s="323">
        <v>217902</v>
      </c>
      <c r="I11" s="324">
        <v>48321</v>
      </c>
      <c r="J11" s="322"/>
      <c r="K11" s="323">
        <v>1833</v>
      </c>
      <c r="L11" s="323">
        <v>217902</v>
      </c>
      <c r="M11" s="324">
        <v>48321</v>
      </c>
      <c r="N11" s="322"/>
      <c r="O11" s="323">
        <v>1833</v>
      </c>
      <c r="P11" s="323">
        <v>217902</v>
      </c>
      <c r="Q11" s="324">
        <v>48321</v>
      </c>
      <c r="R11" s="322"/>
      <c r="S11" s="323">
        <v>1833</v>
      </c>
      <c r="T11" s="323">
        <v>217902</v>
      </c>
      <c r="U11" s="324">
        <v>48321</v>
      </c>
      <c r="V11" s="322"/>
      <c r="W11" s="323">
        <v>1833</v>
      </c>
      <c r="X11" s="323">
        <v>217902</v>
      </c>
      <c r="Y11" s="324">
        <v>48321</v>
      </c>
      <c r="Z11" s="325">
        <v>73025</v>
      </c>
      <c r="AA11" s="326">
        <v>2749</v>
      </c>
      <c r="AB11" s="326">
        <v>217902</v>
      </c>
      <c r="AC11" s="327">
        <v>48321</v>
      </c>
      <c r="AD11" s="325">
        <v>73025</v>
      </c>
      <c r="AE11" s="326">
        <v>2749</v>
      </c>
      <c r="AF11" s="326">
        <v>217902</v>
      </c>
      <c r="AG11" s="327">
        <v>48321</v>
      </c>
      <c r="AH11" s="325">
        <v>73025</v>
      </c>
      <c r="AI11" s="326">
        <v>2749</v>
      </c>
      <c r="AJ11" s="326">
        <v>217902</v>
      </c>
      <c r="AK11" s="327">
        <v>48321</v>
      </c>
      <c r="AL11" s="325">
        <v>73025</v>
      </c>
      <c r="AM11" s="326">
        <v>2749</v>
      </c>
      <c r="AN11" s="326">
        <v>217902</v>
      </c>
      <c r="AO11" s="327">
        <v>48321</v>
      </c>
      <c r="AP11" s="325">
        <v>73025</v>
      </c>
      <c r="AQ11" s="326">
        <v>2749</v>
      </c>
      <c r="AR11" s="326">
        <v>217902</v>
      </c>
      <c r="AS11" s="327">
        <v>48321</v>
      </c>
      <c r="AT11" s="325">
        <v>73025</v>
      </c>
      <c r="AU11" s="326">
        <v>2749</v>
      </c>
      <c r="AV11" s="326">
        <v>217902</v>
      </c>
      <c r="AW11" s="327">
        <v>48321</v>
      </c>
      <c r="AX11" s="256"/>
      <c r="AY11" s="328">
        <f t="shared" si="0"/>
        <v>3660318</v>
      </c>
    </row>
    <row r="12" spans="1:51" x14ac:dyDescent="0.25">
      <c r="A12" s="321"/>
      <c r="B12" s="322"/>
      <c r="C12" s="323"/>
      <c r="D12" s="323"/>
      <c r="E12" s="324"/>
      <c r="F12" s="322"/>
      <c r="G12" s="323"/>
      <c r="H12" s="323"/>
      <c r="I12" s="324"/>
      <c r="J12" s="322"/>
      <c r="K12" s="323"/>
      <c r="L12" s="323"/>
      <c r="M12" s="324"/>
      <c r="N12" s="322"/>
      <c r="O12" s="323"/>
      <c r="P12" s="323"/>
      <c r="Q12" s="324"/>
      <c r="R12" s="322"/>
      <c r="S12" s="323"/>
      <c r="T12" s="323"/>
      <c r="U12" s="324"/>
      <c r="V12" s="322"/>
      <c r="W12" s="323"/>
      <c r="X12" s="323"/>
      <c r="Y12" s="324"/>
      <c r="Z12" s="325"/>
      <c r="AA12" s="326"/>
      <c r="AB12" s="326"/>
      <c r="AC12" s="327"/>
      <c r="AD12" s="325"/>
      <c r="AE12" s="326"/>
      <c r="AF12" s="326"/>
      <c r="AG12" s="327"/>
      <c r="AH12" s="325"/>
      <c r="AI12" s="326"/>
      <c r="AJ12" s="326"/>
      <c r="AK12" s="327"/>
      <c r="AL12" s="325"/>
      <c r="AM12" s="326"/>
      <c r="AN12" s="326"/>
      <c r="AO12" s="327"/>
      <c r="AP12" s="325"/>
      <c r="AQ12" s="326"/>
      <c r="AR12" s="326"/>
      <c r="AS12" s="327"/>
      <c r="AT12" s="325"/>
      <c r="AU12" s="326"/>
      <c r="AV12" s="326"/>
      <c r="AW12" s="327"/>
      <c r="AX12" s="256"/>
      <c r="AY12" s="328">
        <f t="shared" si="0"/>
        <v>0</v>
      </c>
    </row>
    <row r="13" spans="1:51" x14ac:dyDescent="0.25">
      <c r="A13" s="321" t="s">
        <v>97</v>
      </c>
      <c r="B13" s="322"/>
      <c r="C13" s="323">
        <v>1833</v>
      </c>
      <c r="D13" s="323">
        <v>217902</v>
      </c>
      <c r="E13" s="324">
        <v>48321</v>
      </c>
      <c r="F13" s="322"/>
      <c r="G13" s="323">
        <v>1833</v>
      </c>
      <c r="H13" s="323">
        <v>217902</v>
      </c>
      <c r="I13" s="324">
        <v>48321</v>
      </c>
      <c r="J13" s="322"/>
      <c r="K13" s="323">
        <v>1833</v>
      </c>
      <c r="L13" s="323">
        <v>217902</v>
      </c>
      <c r="M13" s="324">
        <v>48321</v>
      </c>
      <c r="N13" s="322"/>
      <c r="O13" s="323">
        <v>1833</v>
      </c>
      <c r="P13" s="323">
        <v>217902</v>
      </c>
      <c r="Q13" s="324">
        <v>48321</v>
      </c>
      <c r="R13" s="322"/>
      <c r="S13" s="323">
        <v>1833</v>
      </c>
      <c r="T13" s="323">
        <v>217902</v>
      </c>
      <c r="U13" s="324">
        <v>48321</v>
      </c>
      <c r="V13" s="322"/>
      <c r="W13" s="323">
        <v>1833</v>
      </c>
      <c r="X13" s="323">
        <v>217902</v>
      </c>
      <c r="Y13" s="324">
        <v>48321</v>
      </c>
      <c r="Z13" s="325">
        <v>73025</v>
      </c>
      <c r="AA13" s="326">
        <v>2749</v>
      </c>
      <c r="AB13" s="326">
        <v>217902</v>
      </c>
      <c r="AC13" s="327">
        <v>48321</v>
      </c>
      <c r="AD13" s="325">
        <v>73025</v>
      </c>
      <c r="AE13" s="326">
        <v>2749</v>
      </c>
      <c r="AF13" s="326">
        <v>217902</v>
      </c>
      <c r="AG13" s="327">
        <v>48321</v>
      </c>
      <c r="AH13" s="325">
        <v>73025</v>
      </c>
      <c r="AI13" s="326">
        <v>2749</v>
      </c>
      <c r="AJ13" s="326">
        <v>217902</v>
      </c>
      <c r="AK13" s="327">
        <v>48321</v>
      </c>
      <c r="AL13" s="325">
        <v>73025</v>
      </c>
      <c r="AM13" s="326">
        <v>2749</v>
      </c>
      <c r="AN13" s="326">
        <v>217902</v>
      </c>
      <c r="AO13" s="327">
        <v>48321</v>
      </c>
      <c r="AP13" s="325">
        <v>73025</v>
      </c>
      <c r="AQ13" s="326">
        <v>2749</v>
      </c>
      <c r="AR13" s="326">
        <v>217902</v>
      </c>
      <c r="AS13" s="327">
        <v>48321</v>
      </c>
      <c r="AT13" s="325">
        <v>73025</v>
      </c>
      <c r="AU13" s="326">
        <v>2749</v>
      </c>
      <c r="AV13" s="326">
        <v>217902</v>
      </c>
      <c r="AW13" s="327">
        <v>48321</v>
      </c>
      <c r="AX13" s="256"/>
      <c r="AY13" s="328">
        <f t="shared" si="0"/>
        <v>3660318</v>
      </c>
    </row>
    <row r="14" spans="1:51" x14ac:dyDescent="0.25">
      <c r="A14" s="321"/>
      <c r="B14" s="322"/>
      <c r="C14" s="323"/>
      <c r="D14" s="323"/>
      <c r="E14" s="324"/>
      <c r="F14" s="322"/>
      <c r="G14" s="323"/>
      <c r="H14" s="323"/>
      <c r="I14" s="324"/>
      <c r="J14" s="322"/>
      <c r="K14" s="323"/>
      <c r="L14" s="323"/>
      <c r="M14" s="324"/>
      <c r="N14" s="322"/>
      <c r="O14" s="323"/>
      <c r="P14" s="323"/>
      <c r="Q14" s="324"/>
      <c r="R14" s="322"/>
      <c r="S14" s="323"/>
      <c r="T14" s="323"/>
      <c r="U14" s="324"/>
      <c r="V14" s="322"/>
      <c r="W14" s="323"/>
      <c r="X14" s="323"/>
      <c r="Y14" s="324"/>
      <c r="Z14" s="325"/>
      <c r="AA14" s="326"/>
      <c r="AB14" s="326"/>
      <c r="AC14" s="327"/>
      <c r="AD14" s="325"/>
      <c r="AE14" s="326"/>
      <c r="AF14" s="326"/>
      <c r="AG14" s="327"/>
      <c r="AH14" s="325"/>
      <c r="AI14" s="326"/>
      <c r="AJ14" s="326"/>
      <c r="AK14" s="327"/>
      <c r="AL14" s="325"/>
      <c r="AM14" s="326"/>
      <c r="AN14" s="326"/>
      <c r="AO14" s="327"/>
      <c r="AP14" s="325"/>
      <c r="AQ14" s="326"/>
      <c r="AR14" s="326"/>
      <c r="AS14" s="327"/>
      <c r="AT14" s="325"/>
      <c r="AU14" s="326"/>
      <c r="AV14" s="326"/>
      <c r="AW14" s="327"/>
      <c r="AX14" s="256"/>
      <c r="AY14" s="328">
        <f t="shared" si="0"/>
        <v>0</v>
      </c>
    </row>
    <row r="15" spans="1:51" x14ac:dyDescent="0.25">
      <c r="A15" s="321" t="s">
        <v>100</v>
      </c>
      <c r="B15" s="322"/>
      <c r="C15" s="323">
        <v>1833</v>
      </c>
      <c r="D15" s="323">
        <v>224375</v>
      </c>
      <c r="E15" s="324">
        <v>48895</v>
      </c>
      <c r="F15" s="322"/>
      <c r="G15" s="323">
        <v>1833</v>
      </c>
      <c r="H15" s="323">
        <v>224375</v>
      </c>
      <c r="I15" s="324">
        <v>48895</v>
      </c>
      <c r="J15" s="322"/>
      <c r="K15" s="323">
        <v>1833</v>
      </c>
      <c r="L15" s="323">
        <v>224375</v>
      </c>
      <c r="M15" s="324">
        <v>48895</v>
      </c>
      <c r="N15" s="322"/>
      <c r="O15" s="323">
        <v>1833</v>
      </c>
      <c r="P15" s="323">
        <v>224375</v>
      </c>
      <c r="Q15" s="324">
        <v>48895</v>
      </c>
      <c r="R15" s="322"/>
      <c r="S15" s="323">
        <v>1833</v>
      </c>
      <c r="T15" s="323">
        <v>224375</v>
      </c>
      <c r="U15" s="324">
        <v>48895</v>
      </c>
      <c r="V15" s="322"/>
      <c r="W15" s="323">
        <v>1833</v>
      </c>
      <c r="X15" s="323">
        <v>224375</v>
      </c>
      <c r="Y15" s="324">
        <v>48895</v>
      </c>
      <c r="Z15" s="325">
        <v>76843</v>
      </c>
      <c r="AA15" s="326">
        <v>2749</v>
      </c>
      <c r="AB15" s="326">
        <v>224375</v>
      </c>
      <c r="AC15" s="327">
        <v>48895</v>
      </c>
      <c r="AD15" s="325">
        <v>76843</v>
      </c>
      <c r="AE15" s="326">
        <v>2749</v>
      </c>
      <c r="AF15" s="326">
        <v>224375</v>
      </c>
      <c r="AG15" s="327">
        <v>48895</v>
      </c>
      <c r="AH15" s="325">
        <v>76843</v>
      </c>
      <c r="AI15" s="326">
        <v>2749</v>
      </c>
      <c r="AJ15" s="326">
        <v>224375</v>
      </c>
      <c r="AK15" s="327">
        <v>48895</v>
      </c>
      <c r="AL15" s="325">
        <v>76843</v>
      </c>
      <c r="AM15" s="326">
        <v>2749</v>
      </c>
      <c r="AN15" s="326">
        <v>224375</v>
      </c>
      <c r="AO15" s="327">
        <v>48895</v>
      </c>
      <c r="AP15" s="325">
        <v>76843</v>
      </c>
      <c r="AQ15" s="326">
        <v>2749</v>
      </c>
      <c r="AR15" s="326">
        <v>224375</v>
      </c>
      <c r="AS15" s="327">
        <v>48895</v>
      </c>
      <c r="AT15" s="325">
        <v>76843</v>
      </c>
      <c r="AU15" s="326">
        <v>2749</v>
      </c>
      <c r="AV15" s="326">
        <v>224375</v>
      </c>
      <c r="AW15" s="327">
        <v>48895</v>
      </c>
      <c r="AX15" s="256"/>
      <c r="AY15" s="328">
        <f t="shared" si="0"/>
        <v>3767790</v>
      </c>
    </row>
    <row r="16" spans="1:51" x14ac:dyDescent="0.25">
      <c r="A16" s="321"/>
      <c r="B16" s="322"/>
      <c r="C16" s="323"/>
      <c r="D16" s="323"/>
      <c r="E16" s="324"/>
      <c r="F16" s="322"/>
      <c r="G16" s="323"/>
      <c r="H16" s="323"/>
      <c r="I16" s="324"/>
      <c r="J16" s="322"/>
      <c r="K16" s="323"/>
      <c r="L16" s="323"/>
      <c r="M16" s="324"/>
      <c r="N16" s="322"/>
      <c r="O16" s="323"/>
      <c r="P16" s="323"/>
      <c r="Q16" s="324"/>
      <c r="R16" s="322"/>
      <c r="S16" s="323"/>
      <c r="T16" s="323"/>
      <c r="U16" s="324"/>
      <c r="V16" s="322"/>
      <c r="W16" s="323"/>
      <c r="X16" s="323"/>
      <c r="Y16" s="324"/>
      <c r="Z16" s="325"/>
      <c r="AA16" s="326"/>
      <c r="AB16" s="326"/>
      <c r="AC16" s="327"/>
      <c r="AD16" s="325"/>
      <c r="AE16" s="326"/>
      <c r="AF16" s="326"/>
      <c r="AG16" s="327"/>
      <c r="AH16" s="325"/>
      <c r="AI16" s="326"/>
      <c r="AJ16" s="326"/>
      <c r="AK16" s="327"/>
      <c r="AL16" s="325"/>
      <c r="AM16" s="326"/>
      <c r="AN16" s="326"/>
      <c r="AO16" s="327"/>
      <c r="AP16" s="325"/>
      <c r="AQ16" s="326"/>
      <c r="AR16" s="326"/>
      <c r="AS16" s="327"/>
      <c r="AT16" s="325"/>
      <c r="AU16" s="326"/>
      <c r="AV16" s="326"/>
      <c r="AW16" s="327"/>
      <c r="AX16" s="256"/>
      <c r="AY16" s="328">
        <f t="shared" si="0"/>
        <v>0</v>
      </c>
    </row>
    <row r="17" spans="1:51" x14ac:dyDescent="0.25">
      <c r="A17" s="321" t="s">
        <v>101</v>
      </c>
      <c r="B17" s="322"/>
      <c r="C17" s="323">
        <v>1833</v>
      </c>
      <c r="D17" s="323">
        <v>207489</v>
      </c>
      <c r="E17" s="324">
        <v>48675</v>
      </c>
      <c r="F17" s="322"/>
      <c r="G17" s="323">
        <v>1833</v>
      </c>
      <c r="H17" s="323">
        <v>207489</v>
      </c>
      <c r="I17" s="324">
        <v>48675</v>
      </c>
      <c r="J17" s="322"/>
      <c r="K17" s="323">
        <v>1833</v>
      </c>
      <c r="L17" s="323">
        <v>207489</v>
      </c>
      <c r="M17" s="324">
        <v>48675</v>
      </c>
      <c r="N17" s="322"/>
      <c r="O17" s="323">
        <v>1833</v>
      </c>
      <c r="P17" s="323">
        <v>207489</v>
      </c>
      <c r="Q17" s="324">
        <v>48675</v>
      </c>
      <c r="R17" s="322"/>
      <c r="S17" s="323">
        <v>1833</v>
      </c>
      <c r="T17" s="323">
        <v>207489</v>
      </c>
      <c r="U17" s="324">
        <v>48675</v>
      </c>
      <c r="V17" s="322"/>
      <c r="W17" s="323">
        <v>1833</v>
      </c>
      <c r="X17" s="323">
        <v>207489</v>
      </c>
      <c r="Y17" s="324">
        <v>48675</v>
      </c>
      <c r="Z17" s="325">
        <v>71554</v>
      </c>
      <c r="AA17" s="326">
        <v>2749</v>
      </c>
      <c r="AB17" s="326">
        <v>207489</v>
      </c>
      <c r="AC17" s="327">
        <v>48675</v>
      </c>
      <c r="AD17" s="325">
        <v>71554</v>
      </c>
      <c r="AE17" s="326">
        <v>2749</v>
      </c>
      <c r="AF17" s="326">
        <v>207489</v>
      </c>
      <c r="AG17" s="327">
        <v>48675</v>
      </c>
      <c r="AH17" s="325">
        <v>71554</v>
      </c>
      <c r="AI17" s="326">
        <v>2749</v>
      </c>
      <c r="AJ17" s="326">
        <v>207489</v>
      </c>
      <c r="AK17" s="327">
        <v>48675</v>
      </c>
      <c r="AL17" s="325">
        <v>71554</v>
      </c>
      <c r="AM17" s="326">
        <v>2749</v>
      </c>
      <c r="AN17" s="326">
        <v>207489</v>
      </c>
      <c r="AO17" s="327">
        <v>48675</v>
      </c>
      <c r="AP17" s="325">
        <v>71554</v>
      </c>
      <c r="AQ17" s="326">
        <v>2749</v>
      </c>
      <c r="AR17" s="326">
        <v>207489</v>
      </c>
      <c r="AS17" s="327">
        <v>48675</v>
      </c>
      <c r="AT17" s="325">
        <v>71554</v>
      </c>
      <c r="AU17" s="326">
        <v>2749</v>
      </c>
      <c r="AV17" s="326">
        <v>207489</v>
      </c>
      <c r="AW17" s="327">
        <v>48675</v>
      </c>
      <c r="AX17" s="256"/>
      <c r="AY17" s="328">
        <f t="shared" si="0"/>
        <v>3530784</v>
      </c>
    </row>
    <row r="18" spans="1:51" x14ac:dyDescent="0.25">
      <c r="A18" s="321"/>
      <c r="B18" s="322"/>
      <c r="C18" s="323"/>
      <c r="D18" s="323"/>
      <c r="E18" s="324"/>
      <c r="F18" s="322"/>
      <c r="G18" s="323"/>
      <c r="H18" s="323"/>
      <c r="I18" s="324"/>
      <c r="J18" s="322"/>
      <c r="K18" s="323"/>
      <c r="L18" s="323"/>
      <c r="M18" s="324"/>
      <c r="N18" s="322"/>
      <c r="O18" s="323"/>
      <c r="P18" s="323"/>
      <c r="Q18" s="324"/>
      <c r="R18" s="322"/>
      <c r="S18" s="323"/>
      <c r="T18" s="323"/>
      <c r="U18" s="324"/>
      <c r="V18" s="322"/>
      <c r="W18" s="323"/>
      <c r="X18" s="323"/>
      <c r="Y18" s="324"/>
      <c r="Z18" s="325"/>
      <c r="AA18" s="326"/>
      <c r="AB18" s="326"/>
      <c r="AC18" s="327"/>
      <c r="AD18" s="325"/>
      <c r="AE18" s="326"/>
      <c r="AF18" s="326"/>
      <c r="AG18" s="327"/>
      <c r="AH18" s="325"/>
      <c r="AI18" s="326"/>
      <c r="AJ18" s="326"/>
      <c r="AK18" s="327"/>
      <c r="AL18" s="325"/>
      <c r="AM18" s="326"/>
      <c r="AN18" s="326"/>
      <c r="AO18" s="327"/>
      <c r="AP18" s="325"/>
      <c r="AQ18" s="326"/>
      <c r="AR18" s="326"/>
      <c r="AS18" s="327"/>
      <c r="AT18" s="325"/>
      <c r="AU18" s="326"/>
      <c r="AV18" s="326"/>
      <c r="AW18" s="327"/>
      <c r="AX18" s="256"/>
      <c r="AY18" s="328">
        <f t="shared" si="0"/>
        <v>0</v>
      </c>
    </row>
    <row r="19" spans="1:51" x14ac:dyDescent="0.25">
      <c r="A19" s="321" t="s">
        <v>301</v>
      </c>
      <c r="B19" s="322"/>
      <c r="C19" s="323">
        <v>916</v>
      </c>
      <c r="D19" s="323">
        <v>217121</v>
      </c>
      <c r="E19" s="324">
        <v>47833</v>
      </c>
      <c r="F19" s="322"/>
      <c r="G19" s="323">
        <v>916</v>
      </c>
      <c r="H19" s="323">
        <v>217121</v>
      </c>
      <c r="I19" s="324">
        <v>47833</v>
      </c>
      <c r="J19" s="322"/>
      <c r="K19" s="323">
        <v>916</v>
      </c>
      <c r="L19" s="323">
        <v>217121</v>
      </c>
      <c r="M19" s="324">
        <v>47833</v>
      </c>
      <c r="N19" s="322"/>
      <c r="O19" s="323">
        <v>916</v>
      </c>
      <c r="P19" s="323">
        <v>217121</v>
      </c>
      <c r="Q19" s="324">
        <v>47833</v>
      </c>
      <c r="R19" s="322"/>
      <c r="S19" s="323">
        <v>916</v>
      </c>
      <c r="T19" s="323">
        <v>217121</v>
      </c>
      <c r="U19" s="324">
        <v>47833</v>
      </c>
      <c r="V19" s="322"/>
      <c r="W19" s="323">
        <v>916</v>
      </c>
      <c r="X19" s="323">
        <v>217121</v>
      </c>
      <c r="Y19" s="324">
        <v>47833</v>
      </c>
      <c r="Z19" s="325">
        <v>73013</v>
      </c>
      <c r="AA19" s="326">
        <v>1833</v>
      </c>
      <c r="AB19" s="326">
        <v>217121</v>
      </c>
      <c r="AC19" s="327">
        <v>47833</v>
      </c>
      <c r="AD19" s="325">
        <v>73013</v>
      </c>
      <c r="AE19" s="326">
        <v>1833</v>
      </c>
      <c r="AF19" s="326">
        <v>217121</v>
      </c>
      <c r="AG19" s="327">
        <v>47833</v>
      </c>
      <c r="AH19" s="325">
        <v>73013</v>
      </c>
      <c r="AI19" s="326">
        <v>1833</v>
      </c>
      <c r="AJ19" s="326">
        <v>217121</v>
      </c>
      <c r="AK19" s="327">
        <v>47833</v>
      </c>
      <c r="AL19" s="325">
        <v>73013</v>
      </c>
      <c r="AM19" s="326">
        <v>1833</v>
      </c>
      <c r="AN19" s="326">
        <v>217121</v>
      </c>
      <c r="AO19" s="327">
        <v>47833</v>
      </c>
      <c r="AP19" s="325">
        <v>73013</v>
      </c>
      <c r="AQ19" s="326">
        <v>1833</v>
      </c>
      <c r="AR19" s="326">
        <v>217121</v>
      </c>
      <c r="AS19" s="327">
        <v>47833</v>
      </c>
      <c r="AT19" s="325">
        <v>73013</v>
      </c>
      <c r="AU19" s="326">
        <v>1833</v>
      </c>
      <c r="AV19" s="326">
        <v>217121</v>
      </c>
      <c r="AW19" s="327">
        <v>47833</v>
      </c>
      <c r="AX19" s="256"/>
      <c r="AY19" s="328">
        <f t="shared" si="0"/>
        <v>3634020</v>
      </c>
    </row>
    <row r="20" spans="1:51" x14ac:dyDescent="0.25">
      <c r="A20" s="321"/>
      <c r="B20" s="322"/>
      <c r="C20" s="323"/>
      <c r="D20" s="323"/>
      <c r="E20" s="324"/>
      <c r="F20" s="322"/>
      <c r="G20" s="323"/>
      <c r="H20" s="323"/>
      <c r="I20" s="324"/>
      <c r="J20" s="322"/>
      <c r="K20" s="323"/>
      <c r="L20" s="323"/>
      <c r="M20" s="324"/>
      <c r="N20" s="322"/>
      <c r="O20" s="323"/>
      <c r="P20" s="323"/>
      <c r="Q20" s="324"/>
      <c r="R20" s="322"/>
      <c r="S20" s="323"/>
      <c r="T20" s="323"/>
      <c r="U20" s="324"/>
      <c r="V20" s="322"/>
      <c r="W20" s="323"/>
      <c r="X20" s="323"/>
      <c r="Y20" s="324"/>
      <c r="Z20" s="325"/>
      <c r="AA20" s="326"/>
      <c r="AB20" s="326"/>
      <c r="AC20" s="327"/>
      <c r="AD20" s="325"/>
      <c r="AE20" s="326"/>
      <c r="AF20" s="326"/>
      <c r="AG20" s="327"/>
      <c r="AH20" s="325"/>
      <c r="AI20" s="326"/>
      <c r="AJ20" s="326"/>
      <c r="AK20" s="327"/>
      <c r="AL20" s="325"/>
      <c r="AM20" s="326"/>
      <c r="AN20" s="326"/>
      <c r="AO20" s="327"/>
      <c r="AP20" s="325"/>
      <c r="AQ20" s="326"/>
      <c r="AR20" s="326"/>
      <c r="AS20" s="327"/>
      <c r="AT20" s="325"/>
      <c r="AU20" s="326"/>
      <c r="AV20" s="326"/>
      <c r="AW20" s="327"/>
      <c r="AX20" s="256"/>
      <c r="AY20" s="328">
        <f t="shared" si="0"/>
        <v>0</v>
      </c>
    </row>
    <row r="21" spans="1:51" x14ac:dyDescent="0.25">
      <c r="A21" s="321" t="s">
        <v>106</v>
      </c>
      <c r="B21" s="322"/>
      <c r="C21" s="323">
        <v>2749</v>
      </c>
      <c r="D21" s="323">
        <v>216733</v>
      </c>
      <c r="E21" s="324">
        <v>46446</v>
      </c>
      <c r="F21" s="322"/>
      <c r="G21" s="323">
        <v>2749</v>
      </c>
      <c r="H21" s="323">
        <v>216733</v>
      </c>
      <c r="I21" s="324">
        <v>46446</v>
      </c>
      <c r="J21" s="322"/>
      <c r="K21" s="323">
        <v>2749</v>
      </c>
      <c r="L21" s="323">
        <v>216733</v>
      </c>
      <c r="M21" s="324">
        <v>46446</v>
      </c>
      <c r="N21" s="322"/>
      <c r="O21" s="323">
        <v>2749</v>
      </c>
      <c r="P21" s="323">
        <v>216733</v>
      </c>
      <c r="Q21" s="324">
        <v>46446</v>
      </c>
      <c r="R21" s="322"/>
      <c r="S21" s="323">
        <v>2749</v>
      </c>
      <c r="T21" s="323">
        <v>216733</v>
      </c>
      <c r="U21" s="324">
        <v>46446</v>
      </c>
      <c r="V21" s="322"/>
      <c r="W21" s="323">
        <v>2749</v>
      </c>
      <c r="X21" s="323">
        <v>216733</v>
      </c>
      <c r="Y21" s="324">
        <v>46446</v>
      </c>
      <c r="Z21" s="325"/>
      <c r="AA21" s="326">
        <v>2749</v>
      </c>
      <c r="AB21" s="326">
        <v>216733</v>
      </c>
      <c r="AC21" s="327">
        <v>46446</v>
      </c>
      <c r="AD21" s="325"/>
      <c r="AE21" s="326">
        <v>2749</v>
      </c>
      <c r="AF21" s="326">
        <v>216733</v>
      </c>
      <c r="AG21" s="327">
        <v>46446</v>
      </c>
      <c r="AH21" s="325"/>
      <c r="AI21" s="326">
        <v>2749</v>
      </c>
      <c r="AJ21" s="326">
        <v>216733</v>
      </c>
      <c r="AK21" s="327">
        <v>46446</v>
      </c>
      <c r="AL21" s="325"/>
      <c r="AM21" s="326">
        <v>2749</v>
      </c>
      <c r="AN21" s="326">
        <v>216733</v>
      </c>
      <c r="AO21" s="327">
        <v>46446</v>
      </c>
      <c r="AP21" s="325"/>
      <c r="AQ21" s="326">
        <v>2749</v>
      </c>
      <c r="AR21" s="326">
        <v>216733</v>
      </c>
      <c r="AS21" s="327">
        <v>46446</v>
      </c>
      <c r="AT21" s="325"/>
      <c r="AU21" s="326">
        <v>2749</v>
      </c>
      <c r="AV21" s="326">
        <v>216733</v>
      </c>
      <c r="AW21" s="327">
        <v>46446</v>
      </c>
      <c r="AX21" s="256"/>
      <c r="AY21" s="328">
        <f t="shared" si="0"/>
        <v>3191136</v>
      </c>
    </row>
    <row r="22" spans="1:51" x14ac:dyDescent="0.25">
      <c r="A22" s="321"/>
      <c r="B22" s="322"/>
      <c r="C22" s="323"/>
      <c r="D22" s="323"/>
      <c r="E22" s="324"/>
      <c r="F22" s="322"/>
      <c r="G22" s="323"/>
      <c r="H22" s="323"/>
      <c r="I22" s="324"/>
      <c r="J22" s="322"/>
      <c r="K22" s="323"/>
      <c r="L22" s="323"/>
      <c r="M22" s="324"/>
      <c r="N22" s="322"/>
      <c r="O22" s="323"/>
      <c r="P22" s="323"/>
      <c r="Q22" s="324"/>
      <c r="R22" s="322"/>
      <c r="S22" s="323"/>
      <c r="T22" s="323"/>
      <c r="U22" s="324"/>
      <c r="V22" s="322"/>
      <c r="W22" s="323"/>
      <c r="X22" s="323"/>
      <c r="Y22" s="324"/>
      <c r="Z22" s="325"/>
      <c r="AA22" s="326"/>
      <c r="AB22" s="326"/>
      <c r="AC22" s="327"/>
      <c r="AD22" s="325"/>
      <c r="AE22" s="326"/>
      <c r="AF22" s="326"/>
      <c r="AG22" s="327"/>
      <c r="AH22" s="325"/>
      <c r="AI22" s="326"/>
      <c r="AJ22" s="326"/>
      <c r="AK22" s="327"/>
      <c r="AL22" s="325"/>
      <c r="AM22" s="326"/>
      <c r="AN22" s="326"/>
      <c r="AO22" s="327"/>
      <c r="AP22" s="325"/>
      <c r="AQ22" s="326"/>
      <c r="AR22" s="326"/>
      <c r="AS22" s="327"/>
      <c r="AT22" s="325"/>
      <c r="AU22" s="326"/>
      <c r="AV22" s="326"/>
      <c r="AW22" s="327"/>
      <c r="AX22" s="256"/>
      <c r="AY22" s="328">
        <f t="shared" si="0"/>
        <v>0</v>
      </c>
    </row>
    <row r="23" spans="1:51" x14ac:dyDescent="0.25">
      <c r="A23" s="321" t="s">
        <v>110</v>
      </c>
      <c r="B23" s="322"/>
      <c r="C23" s="323">
        <v>2749</v>
      </c>
      <c r="D23" s="323">
        <v>219254</v>
      </c>
      <c r="E23" s="324">
        <v>48022</v>
      </c>
      <c r="F23" s="322"/>
      <c r="G23" s="323">
        <v>2749</v>
      </c>
      <c r="H23" s="323">
        <v>219254</v>
      </c>
      <c r="I23" s="324">
        <v>48022</v>
      </c>
      <c r="J23" s="322"/>
      <c r="K23" s="323">
        <v>2749</v>
      </c>
      <c r="L23" s="323">
        <v>219254</v>
      </c>
      <c r="M23" s="324">
        <v>48022</v>
      </c>
      <c r="N23" s="322"/>
      <c r="O23" s="323">
        <v>2749</v>
      </c>
      <c r="P23" s="323">
        <v>219254</v>
      </c>
      <c r="Q23" s="324">
        <v>48022</v>
      </c>
      <c r="R23" s="322"/>
      <c r="S23" s="323">
        <v>2749</v>
      </c>
      <c r="T23" s="323">
        <v>219254</v>
      </c>
      <c r="U23" s="324">
        <v>48022</v>
      </c>
      <c r="V23" s="322"/>
      <c r="W23" s="323">
        <v>2749</v>
      </c>
      <c r="X23" s="323">
        <v>219254</v>
      </c>
      <c r="Y23" s="324">
        <v>48022</v>
      </c>
      <c r="Z23" s="325"/>
      <c r="AA23" s="326">
        <v>2749</v>
      </c>
      <c r="AB23" s="326">
        <v>219254</v>
      </c>
      <c r="AC23" s="327">
        <v>48022</v>
      </c>
      <c r="AD23" s="325"/>
      <c r="AE23" s="326">
        <v>2749</v>
      </c>
      <c r="AF23" s="326">
        <v>219254</v>
      </c>
      <c r="AG23" s="327">
        <v>48022</v>
      </c>
      <c r="AH23" s="325"/>
      <c r="AI23" s="326">
        <v>2749</v>
      </c>
      <c r="AJ23" s="326">
        <v>219254</v>
      </c>
      <c r="AK23" s="327">
        <v>48022</v>
      </c>
      <c r="AL23" s="325"/>
      <c r="AM23" s="326">
        <v>2749</v>
      </c>
      <c r="AN23" s="326">
        <v>219254</v>
      </c>
      <c r="AO23" s="327">
        <v>48022</v>
      </c>
      <c r="AP23" s="325"/>
      <c r="AQ23" s="326">
        <v>2749</v>
      </c>
      <c r="AR23" s="326">
        <v>219254</v>
      </c>
      <c r="AS23" s="327">
        <v>48022</v>
      </c>
      <c r="AT23" s="325"/>
      <c r="AU23" s="326">
        <v>2749</v>
      </c>
      <c r="AV23" s="326">
        <v>219254</v>
      </c>
      <c r="AW23" s="327">
        <v>48022</v>
      </c>
      <c r="AX23" s="256"/>
      <c r="AY23" s="328">
        <f t="shared" si="0"/>
        <v>3240300</v>
      </c>
    </row>
    <row r="24" spans="1:51" x14ac:dyDescent="0.25">
      <c r="A24" s="321"/>
      <c r="B24" s="322"/>
      <c r="C24" s="323"/>
      <c r="D24" s="323"/>
      <c r="E24" s="324"/>
      <c r="F24" s="322"/>
      <c r="G24" s="323"/>
      <c r="H24" s="323"/>
      <c r="I24" s="324"/>
      <c r="J24" s="322"/>
      <c r="K24" s="323"/>
      <c r="L24" s="323"/>
      <c r="M24" s="324"/>
      <c r="N24" s="322"/>
      <c r="O24" s="323"/>
      <c r="P24" s="323"/>
      <c r="Q24" s="324"/>
      <c r="R24" s="322"/>
      <c r="S24" s="323"/>
      <c r="T24" s="323"/>
      <c r="U24" s="324"/>
      <c r="V24" s="322"/>
      <c r="W24" s="323"/>
      <c r="X24" s="323"/>
      <c r="Y24" s="324"/>
      <c r="Z24" s="325"/>
      <c r="AA24" s="326"/>
      <c r="AB24" s="326"/>
      <c r="AC24" s="327"/>
      <c r="AD24" s="325"/>
      <c r="AE24" s="326"/>
      <c r="AF24" s="326"/>
      <c r="AG24" s="327"/>
      <c r="AH24" s="325"/>
      <c r="AI24" s="326"/>
      <c r="AJ24" s="326"/>
      <c r="AK24" s="327"/>
      <c r="AL24" s="325"/>
      <c r="AM24" s="326"/>
      <c r="AN24" s="326"/>
      <c r="AO24" s="327"/>
      <c r="AP24" s="325"/>
      <c r="AQ24" s="326"/>
      <c r="AR24" s="326"/>
      <c r="AS24" s="327"/>
      <c r="AT24" s="325"/>
      <c r="AU24" s="326"/>
      <c r="AV24" s="326"/>
      <c r="AW24" s="327"/>
      <c r="AX24" s="256"/>
      <c r="AY24" s="328">
        <f t="shared" si="0"/>
        <v>0</v>
      </c>
    </row>
    <row r="25" spans="1:51" x14ac:dyDescent="0.25">
      <c r="A25" s="321" t="s">
        <v>113</v>
      </c>
      <c r="B25" s="322"/>
      <c r="C25" s="323">
        <v>2749</v>
      </c>
      <c r="D25" s="323">
        <v>225653</v>
      </c>
      <c r="E25" s="324">
        <v>48589</v>
      </c>
      <c r="F25" s="322"/>
      <c r="G25" s="323">
        <v>2749</v>
      </c>
      <c r="H25" s="323">
        <v>225653</v>
      </c>
      <c r="I25" s="324">
        <v>48589</v>
      </c>
      <c r="J25" s="322"/>
      <c r="K25" s="323">
        <v>2749</v>
      </c>
      <c r="L25" s="323">
        <v>225653</v>
      </c>
      <c r="M25" s="324">
        <v>48589</v>
      </c>
      <c r="N25" s="322"/>
      <c r="O25" s="323">
        <v>2749</v>
      </c>
      <c r="P25" s="323">
        <v>225653</v>
      </c>
      <c r="Q25" s="324">
        <v>48589</v>
      </c>
      <c r="R25" s="322"/>
      <c r="S25" s="323">
        <v>2749</v>
      </c>
      <c r="T25" s="323">
        <v>225653</v>
      </c>
      <c r="U25" s="324">
        <v>48589</v>
      </c>
      <c r="V25" s="322"/>
      <c r="W25" s="323">
        <v>2749</v>
      </c>
      <c r="X25" s="323">
        <v>225653</v>
      </c>
      <c r="Y25" s="324">
        <v>48589</v>
      </c>
      <c r="Z25" s="325"/>
      <c r="AA25" s="326">
        <v>2749</v>
      </c>
      <c r="AB25" s="326">
        <v>225653</v>
      </c>
      <c r="AC25" s="327">
        <v>48589</v>
      </c>
      <c r="AD25" s="325"/>
      <c r="AE25" s="326">
        <v>2749</v>
      </c>
      <c r="AF25" s="326">
        <v>225653</v>
      </c>
      <c r="AG25" s="327">
        <v>48589</v>
      </c>
      <c r="AH25" s="325"/>
      <c r="AI25" s="326">
        <v>2749</v>
      </c>
      <c r="AJ25" s="326">
        <v>225653</v>
      </c>
      <c r="AK25" s="327">
        <v>48589</v>
      </c>
      <c r="AL25" s="325"/>
      <c r="AM25" s="326">
        <v>2749</v>
      </c>
      <c r="AN25" s="326">
        <v>225653</v>
      </c>
      <c r="AO25" s="327">
        <v>48589</v>
      </c>
      <c r="AP25" s="325"/>
      <c r="AQ25" s="326">
        <v>2749</v>
      </c>
      <c r="AR25" s="326">
        <v>225653</v>
      </c>
      <c r="AS25" s="327">
        <v>48589</v>
      </c>
      <c r="AT25" s="325"/>
      <c r="AU25" s="326">
        <v>2749</v>
      </c>
      <c r="AV25" s="326">
        <v>225653</v>
      </c>
      <c r="AW25" s="327">
        <v>48589</v>
      </c>
      <c r="AX25" s="256"/>
      <c r="AY25" s="328">
        <f t="shared" si="0"/>
        <v>3323892</v>
      </c>
    </row>
    <row r="26" spans="1:51" x14ac:dyDescent="0.25">
      <c r="A26" s="321"/>
      <c r="B26" s="322"/>
      <c r="C26" s="323"/>
      <c r="D26" s="323"/>
      <c r="E26" s="324"/>
      <c r="F26" s="322"/>
      <c r="G26" s="323"/>
      <c r="H26" s="323"/>
      <c r="I26" s="324"/>
      <c r="J26" s="322"/>
      <c r="K26" s="323"/>
      <c r="L26" s="323"/>
      <c r="M26" s="324"/>
      <c r="N26" s="322"/>
      <c r="O26" s="323"/>
      <c r="P26" s="323"/>
      <c r="Q26" s="324"/>
      <c r="R26" s="322"/>
      <c r="S26" s="323"/>
      <c r="T26" s="323"/>
      <c r="U26" s="324"/>
      <c r="V26" s="322"/>
      <c r="W26" s="323"/>
      <c r="X26" s="323"/>
      <c r="Y26" s="324"/>
      <c r="Z26" s="325"/>
      <c r="AA26" s="326"/>
      <c r="AB26" s="326"/>
      <c r="AC26" s="327"/>
      <c r="AD26" s="325"/>
      <c r="AE26" s="326"/>
      <c r="AF26" s="326"/>
      <c r="AG26" s="327"/>
      <c r="AH26" s="325"/>
      <c r="AI26" s="326"/>
      <c r="AJ26" s="326"/>
      <c r="AK26" s="327"/>
      <c r="AL26" s="325"/>
      <c r="AM26" s="326"/>
      <c r="AN26" s="326"/>
      <c r="AO26" s="327"/>
      <c r="AP26" s="325"/>
      <c r="AQ26" s="326"/>
      <c r="AR26" s="326"/>
      <c r="AS26" s="327"/>
      <c r="AT26" s="325"/>
      <c r="AU26" s="326"/>
      <c r="AV26" s="326"/>
      <c r="AW26" s="327"/>
      <c r="AX26" s="256"/>
      <c r="AY26" s="328">
        <f t="shared" si="0"/>
        <v>0</v>
      </c>
    </row>
    <row r="27" spans="1:51" x14ac:dyDescent="0.25">
      <c r="A27" s="321" t="s">
        <v>202</v>
      </c>
      <c r="B27" s="322"/>
      <c r="C27" s="323">
        <v>2749</v>
      </c>
      <c r="D27" s="323">
        <v>209302</v>
      </c>
      <c r="E27" s="324">
        <v>48665</v>
      </c>
      <c r="F27" s="322"/>
      <c r="G27" s="323">
        <v>2749</v>
      </c>
      <c r="H27" s="323">
        <v>209302</v>
      </c>
      <c r="I27" s="324">
        <v>48665</v>
      </c>
      <c r="J27" s="322"/>
      <c r="K27" s="323">
        <v>2749</v>
      </c>
      <c r="L27" s="323">
        <v>209302</v>
      </c>
      <c r="M27" s="324">
        <v>48665</v>
      </c>
      <c r="N27" s="322"/>
      <c r="O27" s="323">
        <v>2749</v>
      </c>
      <c r="P27" s="323">
        <v>209302</v>
      </c>
      <c r="Q27" s="324">
        <v>48665</v>
      </c>
      <c r="R27" s="322"/>
      <c r="S27" s="323">
        <v>2749</v>
      </c>
      <c r="T27" s="323">
        <v>209302</v>
      </c>
      <c r="U27" s="324">
        <v>48665</v>
      </c>
      <c r="V27" s="322"/>
      <c r="W27" s="323">
        <v>2749</v>
      </c>
      <c r="X27" s="323">
        <v>209302</v>
      </c>
      <c r="Y27" s="324">
        <v>48665</v>
      </c>
      <c r="Z27" s="325"/>
      <c r="AA27" s="326">
        <v>2749</v>
      </c>
      <c r="AB27" s="326">
        <v>209302</v>
      </c>
      <c r="AC27" s="327">
        <v>48665</v>
      </c>
      <c r="AD27" s="325"/>
      <c r="AE27" s="326">
        <v>2749</v>
      </c>
      <c r="AF27" s="326">
        <v>209302</v>
      </c>
      <c r="AG27" s="327">
        <v>48665</v>
      </c>
      <c r="AH27" s="325"/>
      <c r="AI27" s="326">
        <v>2749</v>
      </c>
      <c r="AJ27" s="326">
        <v>209302</v>
      </c>
      <c r="AK27" s="327">
        <v>48665</v>
      </c>
      <c r="AL27" s="325"/>
      <c r="AM27" s="326">
        <v>2749</v>
      </c>
      <c r="AN27" s="326">
        <v>209302</v>
      </c>
      <c r="AO27" s="327">
        <v>48665</v>
      </c>
      <c r="AP27" s="325"/>
      <c r="AQ27" s="326">
        <v>2749</v>
      </c>
      <c r="AR27" s="326">
        <v>209302</v>
      </c>
      <c r="AS27" s="327">
        <v>48665</v>
      </c>
      <c r="AT27" s="325"/>
      <c r="AU27" s="326">
        <v>2749</v>
      </c>
      <c r="AV27" s="326">
        <v>209302</v>
      </c>
      <c r="AW27" s="327">
        <v>48665</v>
      </c>
      <c r="AX27" s="256"/>
      <c r="AY27" s="328">
        <f t="shared" si="0"/>
        <v>3128592</v>
      </c>
    </row>
    <row r="28" spans="1:51" x14ac:dyDescent="0.25">
      <c r="A28" s="312"/>
      <c r="B28" s="322"/>
      <c r="C28" s="323"/>
      <c r="D28" s="323"/>
      <c r="E28" s="324"/>
      <c r="F28" s="322"/>
      <c r="G28" s="323"/>
      <c r="H28" s="323"/>
      <c r="I28" s="324"/>
      <c r="J28" s="322"/>
      <c r="K28" s="323"/>
      <c r="L28" s="323"/>
      <c r="M28" s="324"/>
      <c r="N28" s="322"/>
      <c r="O28" s="323"/>
      <c r="P28" s="323"/>
      <c r="Q28" s="324"/>
      <c r="R28" s="322"/>
      <c r="S28" s="323"/>
      <c r="T28" s="323"/>
      <c r="U28" s="324"/>
      <c r="V28" s="322"/>
      <c r="W28" s="323"/>
      <c r="X28" s="323"/>
      <c r="Y28" s="324"/>
      <c r="Z28" s="325"/>
      <c r="AA28" s="326"/>
      <c r="AB28" s="326"/>
      <c r="AC28" s="327"/>
      <c r="AD28" s="325"/>
      <c r="AE28" s="326"/>
      <c r="AF28" s="326"/>
      <c r="AG28" s="327"/>
      <c r="AH28" s="325"/>
      <c r="AI28" s="326"/>
      <c r="AJ28" s="326"/>
      <c r="AK28" s="327"/>
      <c r="AL28" s="325"/>
      <c r="AM28" s="326"/>
      <c r="AN28" s="326"/>
      <c r="AO28" s="327"/>
      <c r="AP28" s="325"/>
      <c r="AQ28" s="326"/>
      <c r="AR28" s="326"/>
      <c r="AS28" s="327"/>
      <c r="AT28" s="325"/>
      <c r="AU28" s="326"/>
      <c r="AV28" s="326"/>
      <c r="AW28" s="327"/>
      <c r="AX28" s="256"/>
      <c r="AY28" s="328">
        <f t="shared" si="0"/>
        <v>0</v>
      </c>
    </row>
    <row r="29" spans="1:51" x14ac:dyDescent="0.25">
      <c r="A29" s="312"/>
      <c r="B29" s="322"/>
      <c r="C29" s="323"/>
      <c r="D29" s="323"/>
      <c r="E29" s="324"/>
      <c r="F29" s="322"/>
      <c r="G29" s="323"/>
      <c r="H29" s="323"/>
      <c r="I29" s="324"/>
      <c r="J29" s="322"/>
      <c r="K29" s="323"/>
      <c r="L29" s="323"/>
      <c r="M29" s="324"/>
      <c r="N29" s="322"/>
      <c r="O29" s="323"/>
      <c r="P29" s="323"/>
      <c r="Q29" s="324"/>
      <c r="R29" s="322"/>
      <c r="S29" s="323"/>
      <c r="T29" s="323"/>
      <c r="U29" s="324"/>
      <c r="V29" s="322"/>
      <c r="W29" s="323"/>
      <c r="X29" s="323"/>
      <c r="Y29" s="324"/>
      <c r="Z29" s="325"/>
      <c r="AA29" s="326"/>
      <c r="AB29" s="326"/>
      <c r="AC29" s="327"/>
      <c r="AD29" s="325"/>
      <c r="AE29" s="326"/>
      <c r="AF29" s="326"/>
      <c r="AG29" s="327"/>
      <c r="AH29" s="325"/>
      <c r="AI29" s="326"/>
      <c r="AJ29" s="326"/>
      <c r="AK29" s="327"/>
      <c r="AL29" s="325"/>
      <c r="AM29" s="326"/>
      <c r="AN29" s="326"/>
      <c r="AO29" s="327"/>
      <c r="AP29" s="325"/>
      <c r="AQ29" s="326"/>
      <c r="AR29" s="326"/>
      <c r="AS29" s="327"/>
      <c r="AT29" s="325"/>
      <c r="AU29" s="326"/>
      <c r="AV29" s="326"/>
      <c r="AW29" s="327"/>
      <c r="AX29" s="256"/>
      <c r="AY29" s="328">
        <f t="shared" si="0"/>
        <v>0</v>
      </c>
    </row>
    <row r="30" spans="1:51" ht="15.75" thickBot="1" x14ac:dyDescent="0.3">
      <c r="A30" s="312"/>
      <c r="B30" s="329">
        <f>SUM(B3:B29)</f>
        <v>0</v>
      </c>
      <c r="C30" s="330">
        <f>SUM(C3:C29)</f>
        <v>23825</v>
      </c>
      <c r="D30" s="330">
        <f>SUM(D3:D29)</f>
        <v>2811992</v>
      </c>
      <c r="E30" s="331">
        <f>SUM(E3:E29)</f>
        <v>633470</v>
      </c>
      <c r="F30" s="329">
        <f t="shared" ref="F30:AW30" si="1">SUM(F3:F29)</f>
        <v>0</v>
      </c>
      <c r="G30" s="330">
        <f t="shared" si="1"/>
        <v>23825</v>
      </c>
      <c r="H30" s="330">
        <f t="shared" si="1"/>
        <v>2811992</v>
      </c>
      <c r="I30" s="331">
        <f t="shared" si="1"/>
        <v>633470</v>
      </c>
      <c r="J30" s="329">
        <f t="shared" si="1"/>
        <v>0</v>
      </c>
      <c r="K30" s="330">
        <f t="shared" si="1"/>
        <v>23825</v>
      </c>
      <c r="L30" s="330">
        <f t="shared" si="1"/>
        <v>2811992</v>
      </c>
      <c r="M30" s="331">
        <f t="shared" si="1"/>
        <v>633470</v>
      </c>
      <c r="N30" s="329">
        <f t="shared" si="1"/>
        <v>0</v>
      </c>
      <c r="O30" s="330">
        <f t="shared" si="1"/>
        <v>23825</v>
      </c>
      <c r="P30" s="330">
        <f t="shared" si="1"/>
        <v>2811992</v>
      </c>
      <c r="Q30" s="331">
        <f t="shared" si="1"/>
        <v>633470</v>
      </c>
      <c r="R30" s="329">
        <f t="shared" si="1"/>
        <v>0</v>
      </c>
      <c r="S30" s="330">
        <f t="shared" si="1"/>
        <v>23825</v>
      </c>
      <c r="T30" s="330">
        <f t="shared" si="1"/>
        <v>2811992</v>
      </c>
      <c r="U30" s="331">
        <f t="shared" si="1"/>
        <v>633470</v>
      </c>
      <c r="V30" s="329">
        <f t="shared" si="1"/>
        <v>0</v>
      </c>
      <c r="W30" s="330">
        <f t="shared" si="1"/>
        <v>23825</v>
      </c>
      <c r="X30" s="330">
        <f t="shared" si="1"/>
        <v>2811992</v>
      </c>
      <c r="Y30" s="331">
        <f t="shared" si="1"/>
        <v>633470</v>
      </c>
      <c r="Z30" s="332">
        <f t="shared" si="1"/>
        <v>663938</v>
      </c>
      <c r="AA30" s="333">
        <f t="shared" si="1"/>
        <v>32073</v>
      </c>
      <c r="AB30" s="333">
        <f t="shared" si="1"/>
        <v>2811992</v>
      </c>
      <c r="AC30" s="334">
        <f t="shared" si="1"/>
        <v>633470</v>
      </c>
      <c r="AD30" s="332">
        <f t="shared" si="1"/>
        <v>663938</v>
      </c>
      <c r="AE30" s="333">
        <f t="shared" si="1"/>
        <v>32073</v>
      </c>
      <c r="AF30" s="333">
        <f t="shared" si="1"/>
        <v>2811992</v>
      </c>
      <c r="AG30" s="334">
        <f t="shared" si="1"/>
        <v>633470</v>
      </c>
      <c r="AH30" s="332">
        <f t="shared" si="1"/>
        <v>663938</v>
      </c>
      <c r="AI30" s="333">
        <f t="shared" si="1"/>
        <v>32073</v>
      </c>
      <c r="AJ30" s="333">
        <f t="shared" si="1"/>
        <v>2811992</v>
      </c>
      <c r="AK30" s="334">
        <f t="shared" si="1"/>
        <v>633470</v>
      </c>
      <c r="AL30" s="332">
        <f t="shared" si="1"/>
        <v>663938</v>
      </c>
      <c r="AM30" s="333">
        <f t="shared" si="1"/>
        <v>32073</v>
      </c>
      <c r="AN30" s="333">
        <f t="shared" si="1"/>
        <v>2811992</v>
      </c>
      <c r="AO30" s="334">
        <f t="shared" si="1"/>
        <v>633470</v>
      </c>
      <c r="AP30" s="332">
        <f t="shared" si="1"/>
        <v>663938</v>
      </c>
      <c r="AQ30" s="333">
        <f t="shared" si="1"/>
        <v>32073</v>
      </c>
      <c r="AR30" s="333">
        <f t="shared" si="1"/>
        <v>2811992</v>
      </c>
      <c r="AS30" s="334">
        <f t="shared" si="1"/>
        <v>633470</v>
      </c>
      <c r="AT30" s="332">
        <f t="shared" si="1"/>
        <v>663938</v>
      </c>
      <c r="AU30" s="333">
        <f t="shared" si="1"/>
        <v>32073</v>
      </c>
      <c r="AV30" s="333">
        <f t="shared" si="1"/>
        <v>2811992</v>
      </c>
      <c r="AW30" s="334">
        <f t="shared" si="1"/>
        <v>633470</v>
      </c>
      <c r="AX30" s="335"/>
      <c r="AY30" s="336">
        <f>SUM(AY3:AY29)</f>
        <v>45664560</v>
      </c>
    </row>
    <row r="31" spans="1:51" ht="15.75" thickTop="1" x14ac:dyDescent="0.25">
      <c r="A31" s="312"/>
      <c r="B31" s="322"/>
      <c r="C31" s="323"/>
      <c r="D31" s="323"/>
      <c r="E31" s="324"/>
      <c r="F31" s="322"/>
      <c r="G31" s="323"/>
      <c r="H31" s="323"/>
      <c r="I31" s="324"/>
      <c r="J31" s="322"/>
      <c r="K31" s="323"/>
      <c r="L31" s="323"/>
      <c r="M31" s="324"/>
      <c r="N31" s="322"/>
      <c r="O31" s="323"/>
      <c r="P31" s="323"/>
      <c r="Q31" s="324"/>
      <c r="R31" s="322"/>
      <c r="S31" s="323"/>
      <c r="T31" s="323"/>
      <c r="U31" s="324"/>
      <c r="V31" s="322"/>
      <c r="W31" s="323"/>
      <c r="X31" s="323"/>
      <c r="Y31" s="324"/>
      <c r="Z31" s="325"/>
      <c r="AA31" s="326"/>
      <c r="AB31" s="326"/>
      <c r="AC31" s="327"/>
      <c r="AD31" s="325"/>
      <c r="AE31" s="326"/>
      <c r="AF31" s="326"/>
      <c r="AG31" s="327"/>
      <c r="AH31" s="325"/>
      <c r="AI31" s="326"/>
      <c r="AJ31" s="326"/>
      <c r="AK31" s="327"/>
      <c r="AL31" s="325"/>
      <c r="AM31" s="326"/>
      <c r="AN31" s="326"/>
      <c r="AO31" s="327"/>
      <c r="AP31" s="325"/>
      <c r="AQ31" s="326"/>
      <c r="AR31" s="326"/>
      <c r="AS31" s="327"/>
      <c r="AT31" s="325"/>
      <c r="AU31" s="326"/>
      <c r="AV31" s="326"/>
      <c r="AW31" s="327"/>
      <c r="AX31" s="256"/>
      <c r="AY31" s="328">
        <f t="shared" si="0"/>
        <v>0</v>
      </c>
    </row>
    <row r="32" spans="1:51" x14ac:dyDescent="0.25">
      <c r="A32" s="312"/>
      <c r="B32" s="322"/>
      <c r="C32" s="323"/>
      <c r="D32" s="323"/>
      <c r="E32" s="324"/>
      <c r="F32" s="322"/>
      <c r="G32" s="323"/>
      <c r="H32" s="323"/>
      <c r="I32" s="324"/>
      <c r="J32" s="322"/>
      <c r="K32" s="323"/>
      <c r="L32" s="323"/>
      <c r="M32" s="324"/>
      <c r="N32" s="322"/>
      <c r="O32" s="323"/>
      <c r="P32" s="323"/>
      <c r="Q32" s="324"/>
      <c r="R32" s="322"/>
      <c r="S32" s="323"/>
      <c r="T32" s="323"/>
      <c r="U32" s="324"/>
      <c r="V32" s="322"/>
      <c r="W32" s="323"/>
      <c r="X32" s="323"/>
      <c r="Y32" s="324"/>
      <c r="Z32" s="325"/>
      <c r="AA32" s="326"/>
      <c r="AB32" s="326"/>
      <c r="AC32" s="327"/>
      <c r="AD32" s="325"/>
      <c r="AE32" s="326"/>
      <c r="AF32" s="326"/>
      <c r="AG32" s="327"/>
      <c r="AH32" s="325"/>
      <c r="AI32" s="326"/>
      <c r="AJ32" s="326"/>
      <c r="AK32" s="327"/>
      <c r="AL32" s="325"/>
      <c r="AM32" s="326"/>
      <c r="AN32" s="326"/>
      <c r="AO32" s="327"/>
      <c r="AP32" s="325"/>
      <c r="AQ32" s="326"/>
      <c r="AR32" s="326"/>
      <c r="AS32" s="327"/>
      <c r="AT32" s="325"/>
      <c r="AU32" s="326"/>
      <c r="AV32" s="326"/>
      <c r="AW32" s="327"/>
      <c r="AX32" s="256"/>
      <c r="AY32" s="328">
        <f t="shared" si="0"/>
        <v>0</v>
      </c>
    </row>
    <row r="33" spans="1:51" x14ac:dyDescent="0.25">
      <c r="A33" s="312"/>
      <c r="B33" s="322"/>
      <c r="C33" s="323"/>
      <c r="D33" s="323"/>
      <c r="E33" s="324"/>
      <c r="F33" s="322"/>
      <c r="G33" s="323"/>
      <c r="H33" s="323"/>
      <c r="I33" s="324"/>
      <c r="J33" s="322"/>
      <c r="K33" s="323"/>
      <c r="L33" s="323"/>
      <c r="M33" s="324"/>
      <c r="N33" s="322"/>
      <c r="O33" s="323"/>
      <c r="P33" s="323"/>
      <c r="Q33" s="324"/>
      <c r="R33" s="322"/>
      <c r="S33" s="323"/>
      <c r="T33" s="323"/>
      <c r="U33" s="324"/>
      <c r="V33" s="322"/>
      <c r="W33" s="323"/>
      <c r="X33" s="323"/>
      <c r="Y33" s="324"/>
      <c r="Z33" s="325"/>
      <c r="AA33" s="326"/>
      <c r="AB33" s="326"/>
      <c r="AC33" s="327"/>
      <c r="AD33" s="325"/>
      <c r="AE33" s="326"/>
      <c r="AF33" s="326"/>
      <c r="AG33" s="327"/>
      <c r="AH33" s="325"/>
      <c r="AI33" s="326"/>
      <c r="AJ33" s="326"/>
      <c r="AK33" s="327"/>
      <c r="AL33" s="325"/>
      <c r="AM33" s="326"/>
      <c r="AN33" s="326"/>
      <c r="AO33" s="327"/>
      <c r="AP33" s="325"/>
      <c r="AQ33" s="326"/>
      <c r="AR33" s="326"/>
      <c r="AS33" s="327"/>
      <c r="AT33" s="325"/>
      <c r="AU33" s="326"/>
      <c r="AV33" s="326"/>
      <c r="AW33" s="327"/>
      <c r="AX33" s="256"/>
      <c r="AY33" s="328">
        <f t="shared" si="0"/>
        <v>0</v>
      </c>
    </row>
    <row r="34" spans="1:51" x14ac:dyDescent="0.25">
      <c r="A34" s="312"/>
      <c r="B34" s="322"/>
      <c r="C34" s="323"/>
      <c r="D34" s="323"/>
      <c r="E34" s="324"/>
      <c r="F34" s="322"/>
      <c r="G34" s="323"/>
      <c r="H34" s="323"/>
      <c r="I34" s="324"/>
      <c r="J34" s="322"/>
      <c r="K34" s="323"/>
      <c r="L34" s="323"/>
      <c r="M34" s="324"/>
      <c r="N34" s="322"/>
      <c r="O34" s="323"/>
      <c r="P34" s="323"/>
      <c r="Q34" s="324"/>
      <c r="R34" s="322"/>
      <c r="S34" s="323"/>
      <c r="T34" s="323"/>
      <c r="U34" s="324"/>
      <c r="V34" s="322"/>
      <c r="W34" s="323"/>
      <c r="X34" s="323"/>
      <c r="Y34" s="324"/>
      <c r="Z34" s="325"/>
      <c r="AA34" s="326"/>
      <c r="AB34" s="326"/>
      <c r="AC34" s="327"/>
      <c r="AD34" s="325"/>
      <c r="AE34" s="326"/>
      <c r="AF34" s="326"/>
      <c r="AG34" s="327"/>
      <c r="AH34" s="325"/>
      <c r="AI34" s="326"/>
      <c r="AJ34" s="326"/>
      <c r="AK34" s="327"/>
      <c r="AL34" s="325"/>
      <c r="AM34" s="326"/>
      <c r="AN34" s="326"/>
      <c r="AO34" s="327"/>
      <c r="AP34" s="325"/>
      <c r="AQ34" s="326"/>
      <c r="AR34" s="326"/>
      <c r="AS34" s="327"/>
      <c r="AT34" s="325"/>
      <c r="AU34" s="326"/>
      <c r="AV34" s="326"/>
      <c r="AW34" s="327"/>
      <c r="AX34" s="256"/>
      <c r="AY34" s="328">
        <f t="shared" si="0"/>
        <v>0</v>
      </c>
    </row>
    <row r="35" spans="1:51" ht="15.75" thickBot="1" x14ac:dyDescent="0.3">
      <c r="A35" s="337"/>
      <c r="B35" s="338"/>
      <c r="C35" s="339"/>
      <c r="D35" s="339"/>
      <c r="E35" s="340"/>
      <c r="F35" s="338"/>
      <c r="G35" s="339"/>
      <c r="H35" s="339"/>
      <c r="I35" s="340"/>
      <c r="J35" s="338"/>
      <c r="K35" s="339"/>
      <c r="L35" s="339"/>
      <c r="M35" s="340"/>
      <c r="N35" s="338"/>
      <c r="O35" s="339"/>
      <c r="P35" s="339"/>
      <c r="Q35" s="340"/>
      <c r="R35" s="338"/>
      <c r="S35" s="339"/>
      <c r="T35" s="339"/>
      <c r="U35" s="340"/>
      <c r="V35" s="338"/>
      <c r="W35" s="339"/>
      <c r="X35" s="339"/>
      <c r="Y35" s="340"/>
      <c r="Z35" s="341"/>
      <c r="AA35" s="342"/>
      <c r="AB35" s="342"/>
      <c r="AC35" s="343"/>
      <c r="AD35" s="341"/>
      <c r="AE35" s="342"/>
      <c r="AF35" s="342"/>
      <c r="AG35" s="343"/>
      <c r="AH35" s="341"/>
      <c r="AI35" s="342"/>
      <c r="AJ35" s="342"/>
      <c r="AK35" s="343"/>
      <c r="AL35" s="341"/>
      <c r="AM35" s="342"/>
      <c r="AN35" s="342"/>
      <c r="AO35" s="343"/>
      <c r="AP35" s="341"/>
      <c r="AQ35" s="342"/>
      <c r="AR35" s="342"/>
      <c r="AS35" s="343"/>
      <c r="AT35" s="341"/>
      <c r="AU35" s="342"/>
      <c r="AV35" s="342"/>
      <c r="AW35" s="343"/>
      <c r="AX35" s="257"/>
      <c r="AY35" s="344"/>
    </row>
    <row r="36" spans="1:51" ht="16.5" thickTop="1" thickBot="1" x14ac:dyDescent="0.3">
      <c r="A36" s="258" t="s">
        <v>314</v>
      </c>
    </row>
    <row r="37" spans="1:51" ht="15.75" thickTop="1" x14ac:dyDescent="0.25">
      <c r="A37" s="309"/>
      <c r="B37" s="550" t="s">
        <v>285</v>
      </c>
      <c r="C37" s="551"/>
      <c r="D37" s="551"/>
      <c r="E37" s="552"/>
      <c r="F37" s="550" t="s">
        <v>46</v>
      </c>
      <c r="G37" s="551"/>
      <c r="H37" s="551"/>
      <c r="I37" s="552"/>
      <c r="J37" s="553" t="s">
        <v>286</v>
      </c>
      <c r="K37" s="553"/>
      <c r="L37" s="553"/>
      <c r="M37" s="553"/>
      <c r="N37" s="550" t="s">
        <v>287</v>
      </c>
      <c r="O37" s="551"/>
      <c r="P37" s="551"/>
      <c r="Q37" s="552"/>
      <c r="R37" s="550" t="s">
        <v>288</v>
      </c>
      <c r="S37" s="551"/>
      <c r="T37" s="551"/>
      <c r="U37" s="552"/>
      <c r="V37" s="550" t="s">
        <v>289</v>
      </c>
      <c r="W37" s="551"/>
      <c r="X37" s="551"/>
      <c r="Y37" s="552"/>
      <c r="Z37" s="547" t="s">
        <v>290</v>
      </c>
      <c r="AA37" s="548"/>
      <c r="AB37" s="548"/>
      <c r="AC37" s="549"/>
      <c r="AD37" s="547" t="s">
        <v>291</v>
      </c>
      <c r="AE37" s="548"/>
      <c r="AF37" s="548"/>
      <c r="AG37" s="549"/>
      <c r="AH37" s="547" t="s">
        <v>292</v>
      </c>
      <c r="AI37" s="548"/>
      <c r="AJ37" s="548"/>
      <c r="AK37" s="549"/>
      <c r="AL37" s="547" t="s">
        <v>293</v>
      </c>
      <c r="AM37" s="548"/>
      <c r="AN37" s="548"/>
      <c r="AO37" s="549"/>
      <c r="AP37" s="547" t="s">
        <v>294</v>
      </c>
      <c r="AQ37" s="548"/>
      <c r="AR37" s="548"/>
      <c r="AS37" s="549"/>
      <c r="AT37" s="547" t="s">
        <v>295</v>
      </c>
      <c r="AU37" s="548"/>
      <c r="AV37" s="548"/>
      <c r="AW37" s="549"/>
      <c r="AX37" s="310"/>
      <c r="AY37" s="311"/>
    </row>
    <row r="38" spans="1:51" x14ac:dyDescent="0.25">
      <c r="A38" s="312"/>
      <c r="B38" s="313" t="s">
        <v>296</v>
      </c>
      <c r="C38" s="314" t="s">
        <v>297</v>
      </c>
      <c r="D38" s="314" t="s">
        <v>298</v>
      </c>
      <c r="E38" s="315" t="s">
        <v>299</v>
      </c>
      <c r="F38" s="313" t="s">
        <v>296</v>
      </c>
      <c r="G38" s="314" t="s">
        <v>297</v>
      </c>
      <c r="H38" s="314" t="s">
        <v>298</v>
      </c>
      <c r="I38" s="315" t="s">
        <v>299</v>
      </c>
      <c r="J38" s="313" t="s">
        <v>296</v>
      </c>
      <c r="K38" s="314" t="s">
        <v>297</v>
      </c>
      <c r="L38" s="314" t="s">
        <v>298</v>
      </c>
      <c r="M38" s="315" t="s">
        <v>299</v>
      </c>
      <c r="N38" s="313" t="s">
        <v>296</v>
      </c>
      <c r="O38" s="314" t="s">
        <v>297</v>
      </c>
      <c r="P38" s="314" t="s">
        <v>298</v>
      </c>
      <c r="Q38" s="315" t="s">
        <v>299</v>
      </c>
      <c r="R38" s="313" t="s">
        <v>296</v>
      </c>
      <c r="S38" s="314" t="s">
        <v>297</v>
      </c>
      <c r="T38" s="314" t="s">
        <v>298</v>
      </c>
      <c r="U38" s="315" t="s">
        <v>299</v>
      </c>
      <c r="V38" s="313" t="s">
        <v>296</v>
      </c>
      <c r="W38" s="314" t="s">
        <v>297</v>
      </c>
      <c r="X38" s="314" t="s">
        <v>298</v>
      </c>
      <c r="Y38" s="315" t="s">
        <v>299</v>
      </c>
      <c r="Z38" s="316" t="s">
        <v>296</v>
      </c>
      <c r="AA38" s="317" t="s">
        <v>297</v>
      </c>
      <c r="AB38" s="317" t="s">
        <v>298</v>
      </c>
      <c r="AC38" s="318" t="s">
        <v>299</v>
      </c>
      <c r="AD38" s="316" t="s">
        <v>296</v>
      </c>
      <c r="AE38" s="317" t="s">
        <v>297</v>
      </c>
      <c r="AF38" s="317" t="s">
        <v>298</v>
      </c>
      <c r="AG38" s="318" t="s">
        <v>299</v>
      </c>
      <c r="AH38" s="316" t="s">
        <v>296</v>
      </c>
      <c r="AI38" s="317" t="s">
        <v>297</v>
      </c>
      <c r="AJ38" s="317" t="s">
        <v>298</v>
      </c>
      <c r="AK38" s="318" t="s">
        <v>299</v>
      </c>
      <c r="AL38" s="316" t="s">
        <v>296</v>
      </c>
      <c r="AM38" s="317" t="s">
        <v>297</v>
      </c>
      <c r="AN38" s="317" t="s">
        <v>298</v>
      </c>
      <c r="AO38" s="318" t="s">
        <v>299</v>
      </c>
      <c r="AP38" s="316" t="s">
        <v>296</v>
      </c>
      <c r="AQ38" s="317" t="s">
        <v>297</v>
      </c>
      <c r="AR38" s="317" t="s">
        <v>298</v>
      </c>
      <c r="AS38" s="318" t="s">
        <v>299</v>
      </c>
      <c r="AT38" s="316" t="s">
        <v>296</v>
      </c>
      <c r="AU38" s="317" t="s">
        <v>297</v>
      </c>
      <c r="AV38" s="317" t="s">
        <v>298</v>
      </c>
      <c r="AW38" s="318" t="s">
        <v>299</v>
      </c>
      <c r="AX38" s="319"/>
      <c r="AY38" s="320" t="s">
        <v>300</v>
      </c>
    </row>
    <row r="39" spans="1:51" x14ac:dyDescent="0.25">
      <c r="A39" s="321" t="s">
        <v>90</v>
      </c>
      <c r="B39" s="322"/>
      <c r="C39" s="323">
        <v>916</v>
      </c>
      <c r="D39" s="323">
        <v>216306.65</v>
      </c>
      <c r="E39" s="324">
        <v>46582.350000000006</v>
      </c>
      <c r="F39" s="322"/>
      <c r="G39" s="323">
        <v>972.4</v>
      </c>
      <c r="H39" s="323">
        <v>236151.35</v>
      </c>
      <c r="I39" s="324">
        <v>50856.3</v>
      </c>
      <c r="J39" s="322"/>
      <c r="K39" s="323">
        <v>972.4</v>
      </c>
      <c r="L39" s="323">
        <v>236151.35</v>
      </c>
      <c r="M39" s="324">
        <v>50856.3</v>
      </c>
      <c r="N39" s="322"/>
      <c r="O39" s="323">
        <v>972.4</v>
      </c>
      <c r="P39" s="323">
        <v>236151.35</v>
      </c>
      <c r="Q39" s="324">
        <v>50856.3</v>
      </c>
      <c r="R39" s="322"/>
      <c r="S39" s="323">
        <v>972.4</v>
      </c>
      <c r="T39" s="323">
        <v>236151.35</v>
      </c>
      <c r="U39" s="324">
        <v>50856.3</v>
      </c>
      <c r="V39" s="322"/>
      <c r="W39" s="323">
        <v>972.4</v>
      </c>
      <c r="X39" s="323">
        <v>236151.35</v>
      </c>
      <c r="Y39" s="324">
        <v>50856.3</v>
      </c>
      <c r="Z39" s="325">
        <v>73770.89</v>
      </c>
      <c r="AA39" s="326">
        <v>1944.8</v>
      </c>
      <c r="AB39" s="326">
        <v>236151.35</v>
      </c>
      <c r="AC39" s="327">
        <v>50856.3</v>
      </c>
      <c r="AD39" s="325">
        <v>73770.89</v>
      </c>
      <c r="AE39" s="326">
        <v>1944.8</v>
      </c>
      <c r="AF39" s="326">
        <v>236151.35</v>
      </c>
      <c r="AG39" s="327">
        <v>50856.3</v>
      </c>
      <c r="AH39" s="325">
        <v>73770.89</v>
      </c>
      <c r="AI39" s="326">
        <v>1944.8</v>
      </c>
      <c r="AJ39" s="326">
        <v>236151.35</v>
      </c>
      <c r="AK39" s="327">
        <v>50856.3</v>
      </c>
      <c r="AL39" s="325">
        <v>73770.89</v>
      </c>
      <c r="AM39" s="326">
        <v>1944.8</v>
      </c>
      <c r="AN39" s="326">
        <v>236151.35</v>
      </c>
      <c r="AO39" s="327">
        <v>50856.3</v>
      </c>
      <c r="AP39" s="325">
        <v>73770.89</v>
      </c>
      <c r="AQ39" s="326">
        <v>1944.8</v>
      </c>
      <c r="AR39" s="326">
        <v>236151.35</v>
      </c>
      <c r="AS39" s="327">
        <v>50856.3</v>
      </c>
      <c r="AT39" s="325">
        <v>73770.89</v>
      </c>
      <c r="AU39" s="326">
        <v>1944.8</v>
      </c>
      <c r="AV39" s="326">
        <v>236151.35</v>
      </c>
      <c r="AW39" s="327">
        <v>50856.3</v>
      </c>
      <c r="AX39" s="256"/>
      <c r="AY39" s="328">
        <f>SUM(B39:AW39)</f>
        <v>3880045.2899999996</v>
      </c>
    </row>
    <row r="40" spans="1:51" x14ac:dyDescent="0.25">
      <c r="A40" s="321"/>
      <c r="B40" s="322"/>
      <c r="C40" s="323"/>
      <c r="D40" s="323"/>
      <c r="E40" s="324"/>
      <c r="F40" s="322"/>
      <c r="G40" s="323"/>
      <c r="H40" s="323"/>
      <c r="I40" s="324"/>
      <c r="J40" s="322"/>
      <c r="K40" s="323"/>
      <c r="L40" s="323"/>
      <c r="M40" s="324"/>
      <c r="N40" s="322"/>
      <c r="O40" s="323"/>
      <c r="P40" s="323"/>
      <c r="Q40" s="324"/>
      <c r="R40" s="322"/>
      <c r="S40" s="323"/>
      <c r="T40" s="323"/>
      <c r="U40" s="324"/>
      <c r="V40" s="322"/>
      <c r="W40" s="323"/>
      <c r="X40" s="323"/>
      <c r="Y40" s="324"/>
      <c r="Z40" s="325"/>
      <c r="AA40" s="326"/>
      <c r="AB40" s="326"/>
      <c r="AC40" s="327"/>
      <c r="AD40" s="325"/>
      <c r="AE40" s="326"/>
      <c r="AF40" s="326"/>
      <c r="AG40" s="327"/>
      <c r="AH40" s="325"/>
      <c r="AI40" s="326"/>
      <c r="AJ40" s="326"/>
      <c r="AK40" s="327"/>
      <c r="AL40" s="325"/>
      <c r="AM40" s="326"/>
      <c r="AN40" s="326"/>
      <c r="AO40" s="327"/>
      <c r="AP40" s="325"/>
      <c r="AQ40" s="326"/>
      <c r="AR40" s="326"/>
      <c r="AS40" s="327"/>
      <c r="AT40" s="325"/>
      <c r="AU40" s="326"/>
      <c r="AV40" s="326"/>
      <c r="AW40" s="327"/>
      <c r="AX40" s="256"/>
      <c r="AY40" s="328"/>
    </row>
    <row r="41" spans="1:51" x14ac:dyDescent="0.25">
      <c r="A41" s="321" t="s">
        <v>91</v>
      </c>
      <c r="B41" s="322"/>
      <c r="C41" s="323">
        <v>916</v>
      </c>
      <c r="D41" s="323">
        <v>216306.65</v>
      </c>
      <c r="E41" s="324">
        <v>46582.350000000006</v>
      </c>
      <c r="F41" s="322"/>
      <c r="G41" s="323">
        <v>972.4</v>
      </c>
      <c r="H41" s="323">
        <v>236151.35</v>
      </c>
      <c r="I41" s="324">
        <v>50856.3</v>
      </c>
      <c r="J41" s="322"/>
      <c r="K41" s="323">
        <v>972.4</v>
      </c>
      <c r="L41" s="323">
        <v>236151.35</v>
      </c>
      <c r="M41" s="324">
        <v>50856.3</v>
      </c>
      <c r="N41" s="322"/>
      <c r="O41" s="323">
        <v>972.4</v>
      </c>
      <c r="P41" s="323">
        <v>236151.35</v>
      </c>
      <c r="Q41" s="324">
        <v>50856.3</v>
      </c>
      <c r="R41" s="322"/>
      <c r="S41" s="323">
        <v>972.4</v>
      </c>
      <c r="T41" s="323">
        <v>236151.35</v>
      </c>
      <c r="U41" s="324">
        <v>50856.3</v>
      </c>
      <c r="V41" s="322"/>
      <c r="W41" s="323">
        <v>972.4</v>
      </c>
      <c r="X41" s="323">
        <v>236151.35</v>
      </c>
      <c r="Y41" s="324">
        <v>50856.3</v>
      </c>
      <c r="Z41" s="325">
        <v>73770.89</v>
      </c>
      <c r="AA41" s="326">
        <v>1944.8</v>
      </c>
      <c r="AB41" s="326">
        <v>236151.35</v>
      </c>
      <c r="AC41" s="327">
        <v>50856.3</v>
      </c>
      <c r="AD41" s="325">
        <v>73770.89</v>
      </c>
      <c r="AE41" s="326">
        <v>1944.8</v>
      </c>
      <c r="AF41" s="326">
        <v>236151.35</v>
      </c>
      <c r="AG41" s="327">
        <v>50856.3</v>
      </c>
      <c r="AH41" s="325">
        <v>73770.89</v>
      </c>
      <c r="AI41" s="326">
        <v>1944.8</v>
      </c>
      <c r="AJ41" s="326">
        <v>236151.35</v>
      </c>
      <c r="AK41" s="327">
        <v>50856.3</v>
      </c>
      <c r="AL41" s="325">
        <v>73770.89</v>
      </c>
      <c r="AM41" s="326">
        <v>1944.8</v>
      </c>
      <c r="AN41" s="326">
        <v>236151.35</v>
      </c>
      <c r="AO41" s="327">
        <v>50856.3</v>
      </c>
      <c r="AP41" s="325">
        <v>73770.89</v>
      </c>
      <c r="AQ41" s="326">
        <v>1944.8</v>
      </c>
      <c r="AR41" s="326">
        <v>236151.35</v>
      </c>
      <c r="AS41" s="327">
        <v>50856.3</v>
      </c>
      <c r="AT41" s="325">
        <v>73770.89</v>
      </c>
      <c r="AU41" s="326">
        <v>1944.8</v>
      </c>
      <c r="AV41" s="326">
        <v>236151.35</v>
      </c>
      <c r="AW41" s="327">
        <v>50856.3</v>
      </c>
      <c r="AX41" s="256"/>
      <c r="AY41" s="328">
        <f t="shared" ref="AY41:AY65" si="2">SUM(B41:AW41)</f>
        <v>3880045.2899999996</v>
      </c>
    </row>
    <row r="42" spans="1:51" x14ac:dyDescent="0.25">
      <c r="A42" s="321"/>
      <c r="B42" s="322"/>
      <c r="C42" s="323"/>
      <c r="D42" s="323"/>
      <c r="E42" s="324"/>
      <c r="F42" s="322"/>
      <c r="G42" s="323"/>
      <c r="H42" s="323"/>
      <c r="I42" s="324"/>
      <c r="J42" s="322"/>
      <c r="K42" s="323"/>
      <c r="L42" s="323"/>
      <c r="M42" s="324"/>
      <c r="N42" s="322"/>
      <c r="O42" s="323"/>
      <c r="P42" s="323"/>
      <c r="Q42" s="324"/>
      <c r="R42" s="322"/>
      <c r="S42" s="323"/>
      <c r="T42" s="323"/>
      <c r="U42" s="324"/>
      <c r="V42" s="322"/>
      <c r="W42" s="323"/>
      <c r="X42" s="323"/>
      <c r="Y42" s="324"/>
      <c r="Z42" s="325"/>
      <c r="AA42" s="326"/>
      <c r="AB42" s="326"/>
      <c r="AC42" s="327"/>
      <c r="AD42" s="325"/>
      <c r="AE42" s="326"/>
      <c r="AF42" s="326"/>
      <c r="AG42" s="327"/>
      <c r="AH42" s="325"/>
      <c r="AI42" s="326"/>
      <c r="AJ42" s="326"/>
      <c r="AK42" s="327"/>
      <c r="AL42" s="325"/>
      <c r="AM42" s="326"/>
      <c r="AN42" s="326"/>
      <c r="AO42" s="327"/>
      <c r="AP42" s="325"/>
      <c r="AQ42" s="326"/>
      <c r="AR42" s="326"/>
      <c r="AS42" s="327"/>
      <c r="AT42" s="325"/>
      <c r="AU42" s="326"/>
      <c r="AV42" s="326"/>
      <c r="AW42" s="327"/>
      <c r="AX42" s="256"/>
      <c r="AY42" s="328">
        <f t="shared" si="2"/>
        <v>0</v>
      </c>
    </row>
    <row r="43" spans="1:51" x14ac:dyDescent="0.25">
      <c r="A43" s="321" t="s">
        <v>92</v>
      </c>
      <c r="B43" s="322"/>
      <c r="C43" s="323">
        <v>916</v>
      </c>
      <c r="D43" s="323">
        <v>216306.65</v>
      </c>
      <c r="E43" s="324">
        <v>46582.350000000006</v>
      </c>
      <c r="F43" s="322"/>
      <c r="G43" s="323">
        <v>972.4</v>
      </c>
      <c r="H43" s="323">
        <v>236151.35</v>
      </c>
      <c r="I43" s="324">
        <v>50856.3</v>
      </c>
      <c r="J43" s="322"/>
      <c r="K43" s="323">
        <v>972.4</v>
      </c>
      <c r="L43" s="323">
        <v>236151.35</v>
      </c>
      <c r="M43" s="324">
        <v>50856.3</v>
      </c>
      <c r="N43" s="322"/>
      <c r="O43" s="323">
        <v>972.4</v>
      </c>
      <c r="P43" s="323">
        <v>236151.35</v>
      </c>
      <c r="Q43" s="324">
        <v>50856.3</v>
      </c>
      <c r="R43" s="322"/>
      <c r="S43" s="323">
        <v>972.4</v>
      </c>
      <c r="T43" s="323">
        <v>236151.35</v>
      </c>
      <c r="U43" s="324">
        <v>50856.3</v>
      </c>
      <c r="V43" s="322"/>
      <c r="W43" s="323">
        <v>972.4</v>
      </c>
      <c r="X43" s="323">
        <v>236151.35</v>
      </c>
      <c r="Y43" s="324">
        <v>50856.3</v>
      </c>
      <c r="Z43" s="325">
        <v>73770.89</v>
      </c>
      <c r="AA43" s="326">
        <v>1944.8</v>
      </c>
      <c r="AB43" s="326">
        <v>236151.35</v>
      </c>
      <c r="AC43" s="327">
        <v>50856.3</v>
      </c>
      <c r="AD43" s="325">
        <v>73770.89</v>
      </c>
      <c r="AE43" s="326">
        <v>1944.8</v>
      </c>
      <c r="AF43" s="326">
        <v>236151.35</v>
      </c>
      <c r="AG43" s="327">
        <v>50856.3</v>
      </c>
      <c r="AH43" s="325">
        <v>73770.89</v>
      </c>
      <c r="AI43" s="326">
        <v>1944.8</v>
      </c>
      <c r="AJ43" s="326">
        <v>236151.35</v>
      </c>
      <c r="AK43" s="327">
        <v>50856.3</v>
      </c>
      <c r="AL43" s="325">
        <v>73770.89</v>
      </c>
      <c r="AM43" s="326">
        <v>1944.8</v>
      </c>
      <c r="AN43" s="326">
        <v>236151.35</v>
      </c>
      <c r="AO43" s="327">
        <v>50856.3</v>
      </c>
      <c r="AP43" s="325">
        <v>73770.89</v>
      </c>
      <c r="AQ43" s="326">
        <v>1944.8</v>
      </c>
      <c r="AR43" s="326">
        <v>236151.35</v>
      </c>
      <c r="AS43" s="327">
        <v>50856.3</v>
      </c>
      <c r="AT43" s="325">
        <v>73770.89</v>
      </c>
      <c r="AU43" s="326">
        <v>1944.8</v>
      </c>
      <c r="AV43" s="326">
        <v>236151.35</v>
      </c>
      <c r="AW43" s="327">
        <v>50856.3</v>
      </c>
      <c r="AX43" s="256"/>
      <c r="AY43" s="328">
        <f t="shared" si="2"/>
        <v>3880045.2899999996</v>
      </c>
    </row>
    <row r="44" spans="1:51" x14ac:dyDescent="0.25">
      <c r="A44" s="321"/>
      <c r="B44" s="322"/>
      <c r="C44" s="323"/>
      <c r="D44" s="323"/>
      <c r="E44" s="324"/>
      <c r="F44" s="322"/>
      <c r="G44" s="323"/>
      <c r="H44" s="323"/>
      <c r="I44" s="324"/>
      <c r="J44" s="322"/>
      <c r="K44" s="323"/>
      <c r="L44" s="323"/>
      <c r="M44" s="324"/>
      <c r="N44" s="322"/>
      <c r="O44" s="323"/>
      <c r="P44" s="323"/>
      <c r="Q44" s="324"/>
      <c r="R44" s="322"/>
      <c r="S44" s="323"/>
      <c r="T44" s="323"/>
      <c r="U44" s="324"/>
      <c r="V44" s="322"/>
      <c r="W44" s="323"/>
      <c r="X44" s="323"/>
      <c r="Y44" s="324"/>
      <c r="Z44" s="325"/>
      <c r="AA44" s="326"/>
      <c r="AB44" s="326"/>
      <c r="AC44" s="327"/>
      <c r="AD44" s="325"/>
      <c r="AE44" s="326"/>
      <c r="AF44" s="326"/>
      <c r="AG44" s="327"/>
      <c r="AH44" s="325"/>
      <c r="AI44" s="326"/>
      <c r="AJ44" s="326"/>
      <c r="AK44" s="327"/>
      <c r="AL44" s="325"/>
      <c r="AM44" s="326"/>
      <c r="AN44" s="326"/>
      <c r="AO44" s="327"/>
      <c r="AP44" s="325"/>
      <c r="AQ44" s="326"/>
      <c r="AR44" s="326"/>
      <c r="AS44" s="327"/>
      <c r="AT44" s="325"/>
      <c r="AU44" s="326"/>
      <c r="AV44" s="326"/>
      <c r="AW44" s="327"/>
      <c r="AX44" s="256"/>
      <c r="AY44" s="328">
        <f t="shared" si="2"/>
        <v>0</v>
      </c>
    </row>
    <row r="45" spans="1:51" x14ac:dyDescent="0.25">
      <c r="A45" s="321" t="s">
        <v>93</v>
      </c>
      <c r="B45" s="322"/>
      <c r="C45" s="323">
        <v>1833</v>
      </c>
      <c r="D45" s="323">
        <v>216306.65</v>
      </c>
      <c r="E45" s="324">
        <v>46582.350000000006</v>
      </c>
      <c r="F45" s="322"/>
      <c r="G45" s="323">
        <v>1944.8</v>
      </c>
      <c r="H45" s="323">
        <v>236151.35</v>
      </c>
      <c r="I45" s="324">
        <v>50856.3</v>
      </c>
      <c r="J45" s="322"/>
      <c r="K45" s="323">
        <v>1944.8</v>
      </c>
      <c r="L45" s="323">
        <v>236151.35</v>
      </c>
      <c r="M45" s="324">
        <v>50856.3</v>
      </c>
      <c r="N45" s="322"/>
      <c r="O45" s="323">
        <v>1944.8</v>
      </c>
      <c r="P45" s="323">
        <v>236151.35</v>
      </c>
      <c r="Q45" s="324">
        <v>50856.3</v>
      </c>
      <c r="R45" s="322"/>
      <c r="S45" s="323">
        <v>1944.8</v>
      </c>
      <c r="T45" s="323">
        <v>236151.35</v>
      </c>
      <c r="U45" s="324">
        <v>50856.3</v>
      </c>
      <c r="V45" s="322"/>
      <c r="W45" s="323">
        <v>1944.8</v>
      </c>
      <c r="X45" s="323">
        <v>236151.35</v>
      </c>
      <c r="Y45" s="324">
        <v>50856.3</v>
      </c>
      <c r="Z45" s="325">
        <v>73770.89</v>
      </c>
      <c r="AA45" s="326">
        <v>2917.2</v>
      </c>
      <c r="AB45" s="326">
        <v>236151.35</v>
      </c>
      <c r="AC45" s="327">
        <v>50856.3</v>
      </c>
      <c r="AD45" s="325">
        <v>73770.89</v>
      </c>
      <c r="AE45" s="326">
        <v>2917.2</v>
      </c>
      <c r="AF45" s="326">
        <v>236151.35</v>
      </c>
      <c r="AG45" s="327">
        <v>50856.3</v>
      </c>
      <c r="AH45" s="325">
        <v>73770.89</v>
      </c>
      <c r="AI45" s="326">
        <v>2917.2</v>
      </c>
      <c r="AJ45" s="326">
        <v>236151.35</v>
      </c>
      <c r="AK45" s="327">
        <v>50856.3</v>
      </c>
      <c r="AL45" s="325">
        <v>73770.89</v>
      </c>
      <c r="AM45" s="326">
        <v>2917.2</v>
      </c>
      <c r="AN45" s="326">
        <v>236151.35</v>
      </c>
      <c r="AO45" s="327">
        <v>50856.3</v>
      </c>
      <c r="AP45" s="325">
        <v>73770.89</v>
      </c>
      <c r="AQ45" s="326">
        <v>2917.2</v>
      </c>
      <c r="AR45" s="326">
        <v>236151.35</v>
      </c>
      <c r="AS45" s="327">
        <v>50856.3</v>
      </c>
      <c r="AT45" s="325">
        <v>73770.89</v>
      </c>
      <c r="AU45" s="326">
        <v>2917.2</v>
      </c>
      <c r="AV45" s="326">
        <v>236151.35</v>
      </c>
      <c r="AW45" s="327">
        <v>50856.3</v>
      </c>
      <c r="AX45" s="256"/>
      <c r="AY45" s="328">
        <f t="shared" si="2"/>
        <v>3891658.6900000018</v>
      </c>
    </row>
    <row r="46" spans="1:51" x14ac:dyDescent="0.25">
      <c r="A46" s="321"/>
      <c r="B46" s="322"/>
      <c r="C46" s="323"/>
      <c r="D46" s="323"/>
      <c r="E46" s="324"/>
      <c r="F46" s="322"/>
      <c r="G46" s="323"/>
      <c r="H46" s="323"/>
      <c r="I46" s="324"/>
      <c r="J46" s="322"/>
      <c r="K46" s="323"/>
      <c r="L46" s="323"/>
      <c r="M46" s="324"/>
      <c r="N46" s="322"/>
      <c r="O46" s="323"/>
      <c r="P46" s="323"/>
      <c r="Q46" s="324"/>
      <c r="R46" s="322"/>
      <c r="S46" s="323"/>
      <c r="T46" s="323"/>
      <c r="U46" s="324"/>
      <c r="V46" s="322"/>
      <c r="W46" s="323"/>
      <c r="X46" s="323"/>
      <c r="Y46" s="324"/>
      <c r="Z46" s="325"/>
      <c r="AA46" s="326"/>
      <c r="AB46" s="326"/>
      <c r="AC46" s="327"/>
      <c r="AD46" s="325"/>
      <c r="AE46" s="326"/>
      <c r="AF46" s="326"/>
      <c r="AG46" s="327"/>
      <c r="AH46" s="325"/>
      <c r="AI46" s="326"/>
      <c r="AJ46" s="326"/>
      <c r="AK46" s="327"/>
      <c r="AL46" s="325"/>
      <c r="AM46" s="326"/>
      <c r="AN46" s="326"/>
      <c r="AO46" s="327"/>
      <c r="AP46" s="325"/>
      <c r="AQ46" s="326"/>
      <c r="AR46" s="326"/>
      <c r="AS46" s="327"/>
      <c r="AT46" s="325"/>
      <c r="AU46" s="326"/>
      <c r="AV46" s="326"/>
      <c r="AW46" s="327"/>
      <c r="AX46" s="256"/>
      <c r="AY46" s="328">
        <f t="shared" si="2"/>
        <v>0</v>
      </c>
    </row>
    <row r="47" spans="1:51" x14ac:dyDescent="0.25">
      <c r="A47" s="321" t="s">
        <v>94</v>
      </c>
      <c r="B47" s="322"/>
      <c r="C47" s="323">
        <v>1833</v>
      </c>
      <c r="D47" s="323">
        <v>216306.65</v>
      </c>
      <c r="E47" s="324">
        <v>46582.350000000006</v>
      </c>
      <c r="F47" s="322"/>
      <c r="G47" s="323">
        <v>1944.8</v>
      </c>
      <c r="H47" s="323">
        <v>236151.35</v>
      </c>
      <c r="I47" s="324">
        <v>50856.3</v>
      </c>
      <c r="J47" s="322"/>
      <c r="K47" s="323">
        <v>1944.8</v>
      </c>
      <c r="L47" s="323">
        <v>236151.35</v>
      </c>
      <c r="M47" s="324">
        <v>50856.3</v>
      </c>
      <c r="N47" s="322"/>
      <c r="O47" s="323">
        <v>1944.8</v>
      </c>
      <c r="P47" s="323">
        <v>236151.35</v>
      </c>
      <c r="Q47" s="324">
        <v>50856.3</v>
      </c>
      <c r="R47" s="322"/>
      <c r="S47" s="323">
        <v>1944.8</v>
      </c>
      <c r="T47" s="323">
        <v>236151.35</v>
      </c>
      <c r="U47" s="324">
        <v>50856.3</v>
      </c>
      <c r="V47" s="322"/>
      <c r="W47" s="323">
        <v>1944.8</v>
      </c>
      <c r="X47" s="323">
        <v>236151.35</v>
      </c>
      <c r="Y47" s="324">
        <v>50856.3</v>
      </c>
      <c r="Z47" s="325">
        <v>73770.89</v>
      </c>
      <c r="AA47" s="326">
        <v>2917.2</v>
      </c>
      <c r="AB47" s="326">
        <v>236151.35</v>
      </c>
      <c r="AC47" s="327">
        <v>50856.3</v>
      </c>
      <c r="AD47" s="325">
        <v>73770.89</v>
      </c>
      <c r="AE47" s="326">
        <v>2917.2</v>
      </c>
      <c r="AF47" s="326">
        <v>236151.35</v>
      </c>
      <c r="AG47" s="327">
        <v>50856.3</v>
      </c>
      <c r="AH47" s="325">
        <v>73770.89</v>
      </c>
      <c r="AI47" s="326">
        <v>2917.2</v>
      </c>
      <c r="AJ47" s="326">
        <v>236151.35</v>
      </c>
      <c r="AK47" s="327">
        <v>50856.3</v>
      </c>
      <c r="AL47" s="325">
        <v>73770.89</v>
      </c>
      <c r="AM47" s="326">
        <v>2917.2</v>
      </c>
      <c r="AN47" s="326">
        <v>236151.35</v>
      </c>
      <c r="AO47" s="327">
        <v>50856.3</v>
      </c>
      <c r="AP47" s="325">
        <v>73770.89</v>
      </c>
      <c r="AQ47" s="326">
        <v>2917.2</v>
      </c>
      <c r="AR47" s="326">
        <v>236151.35</v>
      </c>
      <c r="AS47" s="327">
        <v>50856.3</v>
      </c>
      <c r="AT47" s="325">
        <v>73770.89</v>
      </c>
      <c r="AU47" s="326">
        <v>2917.2</v>
      </c>
      <c r="AV47" s="326">
        <v>236151.35</v>
      </c>
      <c r="AW47" s="327">
        <v>50856.3</v>
      </c>
      <c r="AX47" s="256"/>
      <c r="AY47" s="328">
        <f t="shared" si="2"/>
        <v>3891658.6900000018</v>
      </c>
    </row>
    <row r="48" spans="1:51" x14ac:dyDescent="0.25">
      <c r="A48" s="321"/>
      <c r="B48" s="322"/>
      <c r="C48" s="323"/>
      <c r="D48" s="323"/>
      <c r="E48" s="324"/>
      <c r="F48" s="322"/>
      <c r="G48" s="323"/>
      <c r="H48" s="323"/>
      <c r="I48" s="324"/>
      <c r="J48" s="322"/>
      <c r="K48" s="323"/>
      <c r="L48" s="323"/>
      <c r="M48" s="324"/>
      <c r="N48" s="322"/>
      <c r="O48" s="323"/>
      <c r="P48" s="323"/>
      <c r="Q48" s="324"/>
      <c r="R48" s="322"/>
      <c r="S48" s="323"/>
      <c r="T48" s="323"/>
      <c r="U48" s="324"/>
      <c r="V48" s="322"/>
      <c r="W48" s="323"/>
      <c r="X48" s="323"/>
      <c r="Y48" s="324"/>
      <c r="Z48" s="325"/>
      <c r="AA48" s="326"/>
      <c r="AB48" s="326"/>
      <c r="AC48" s="327"/>
      <c r="AD48" s="325"/>
      <c r="AE48" s="326"/>
      <c r="AF48" s="326"/>
      <c r="AG48" s="327"/>
      <c r="AH48" s="325"/>
      <c r="AI48" s="326"/>
      <c r="AJ48" s="326"/>
      <c r="AK48" s="327"/>
      <c r="AL48" s="325"/>
      <c r="AM48" s="326"/>
      <c r="AN48" s="326"/>
      <c r="AO48" s="327"/>
      <c r="AP48" s="325"/>
      <c r="AQ48" s="326"/>
      <c r="AR48" s="326"/>
      <c r="AS48" s="327"/>
      <c r="AT48" s="325"/>
      <c r="AU48" s="326"/>
      <c r="AV48" s="326"/>
      <c r="AW48" s="327"/>
      <c r="AX48" s="256"/>
      <c r="AY48" s="328">
        <f t="shared" si="2"/>
        <v>0</v>
      </c>
    </row>
    <row r="49" spans="1:51" x14ac:dyDescent="0.25">
      <c r="A49" s="321" t="s">
        <v>97</v>
      </c>
      <c r="B49" s="322"/>
      <c r="C49" s="323">
        <v>1833</v>
      </c>
      <c r="D49" s="323">
        <v>216306.65</v>
      </c>
      <c r="E49" s="324">
        <v>46582.350000000006</v>
      </c>
      <c r="F49" s="322"/>
      <c r="G49" s="323">
        <v>1944.8</v>
      </c>
      <c r="H49" s="323">
        <v>236151.35</v>
      </c>
      <c r="I49" s="324">
        <v>50856.3</v>
      </c>
      <c r="J49" s="322"/>
      <c r="K49" s="323">
        <v>1944.8</v>
      </c>
      <c r="L49" s="323">
        <v>236151.35</v>
      </c>
      <c r="M49" s="324">
        <v>50856.3</v>
      </c>
      <c r="N49" s="322"/>
      <c r="O49" s="323">
        <v>1944.8</v>
      </c>
      <c r="P49" s="323">
        <v>236151.35</v>
      </c>
      <c r="Q49" s="324">
        <v>50856.3</v>
      </c>
      <c r="R49" s="322"/>
      <c r="S49" s="323">
        <v>1944.8</v>
      </c>
      <c r="T49" s="323">
        <v>236151.35</v>
      </c>
      <c r="U49" s="324">
        <v>50856.3</v>
      </c>
      <c r="V49" s="322"/>
      <c r="W49" s="323">
        <v>1944.8</v>
      </c>
      <c r="X49" s="323">
        <v>236151.35</v>
      </c>
      <c r="Y49" s="324">
        <v>50856.3</v>
      </c>
      <c r="Z49" s="325">
        <v>73770.89</v>
      </c>
      <c r="AA49" s="326">
        <v>2917.2</v>
      </c>
      <c r="AB49" s="326">
        <v>236151.35</v>
      </c>
      <c r="AC49" s="327">
        <v>50856.3</v>
      </c>
      <c r="AD49" s="325">
        <v>73770.89</v>
      </c>
      <c r="AE49" s="326">
        <v>2917.2</v>
      </c>
      <c r="AF49" s="326">
        <v>236151.35</v>
      </c>
      <c r="AG49" s="327">
        <v>50856.3</v>
      </c>
      <c r="AH49" s="325">
        <v>73770.89</v>
      </c>
      <c r="AI49" s="326">
        <v>2917.2</v>
      </c>
      <c r="AJ49" s="326">
        <v>236151.35</v>
      </c>
      <c r="AK49" s="327">
        <v>50856.3</v>
      </c>
      <c r="AL49" s="325">
        <v>73770.89</v>
      </c>
      <c r="AM49" s="326">
        <v>2917.2</v>
      </c>
      <c r="AN49" s="326">
        <v>236151.35</v>
      </c>
      <c r="AO49" s="327">
        <v>50856.3</v>
      </c>
      <c r="AP49" s="325">
        <v>73770.89</v>
      </c>
      <c r="AQ49" s="326">
        <v>2917.2</v>
      </c>
      <c r="AR49" s="326">
        <v>236151.35</v>
      </c>
      <c r="AS49" s="327">
        <v>50856.3</v>
      </c>
      <c r="AT49" s="325">
        <v>73770.89</v>
      </c>
      <c r="AU49" s="326">
        <v>2917.2</v>
      </c>
      <c r="AV49" s="326">
        <v>236151.35</v>
      </c>
      <c r="AW49" s="327">
        <v>50856.3</v>
      </c>
      <c r="AX49" s="256"/>
      <c r="AY49" s="328">
        <f t="shared" si="2"/>
        <v>3891658.6900000018</v>
      </c>
    </row>
    <row r="50" spans="1:51" x14ac:dyDescent="0.25">
      <c r="A50" s="321"/>
      <c r="B50" s="322"/>
      <c r="C50" s="323"/>
      <c r="D50" s="323"/>
      <c r="E50" s="324"/>
      <c r="F50" s="322"/>
      <c r="G50" s="323"/>
      <c r="H50" s="323"/>
      <c r="I50" s="324"/>
      <c r="J50" s="322"/>
      <c r="K50" s="323"/>
      <c r="L50" s="323"/>
      <c r="M50" s="324"/>
      <c r="N50" s="322"/>
      <c r="O50" s="323"/>
      <c r="P50" s="323"/>
      <c r="Q50" s="324"/>
      <c r="R50" s="322"/>
      <c r="S50" s="323"/>
      <c r="T50" s="323"/>
      <c r="U50" s="324"/>
      <c r="V50" s="322"/>
      <c r="W50" s="323"/>
      <c r="X50" s="323"/>
      <c r="Y50" s="324"/>
      <c r="Z50" s="325"/>
      <c r="AA50" s="326"/>
      <c r="AB50" s="326"/>
      <c r="AC50" s="327"/>
      <c r="AD50" s="325"/>
      <c r="AE50" s="326"/>
      <c r="AF50" s="326"/>
      <c r="AG50" s="327"/>
      <c r="AH50" s="325"/>
      <c r="AI50" s="326"/>
      <c r="AJ50" s="326"/>
      <c r="AK50" s="327"/>
      <c r="AL50" s="325"/>
      <c r="AM50" s="326"/>
      <c r="AN50" s="326"/>
      <c r="AO50" s="327"/>
      <c r="AP50" s="325"/>
      <c r="AQ50" s="326"/>
      <c r="AR50" s="326"/>
      <c r="AS50" s="327"/>
      <c r="AT50" s="325"/>
      <c r="AU50" s="326"/>
      <c r="AV50" s="326"/>
      <c r="AW50" s="327"/>
      <c r="AX50" s="256"/>
      <c r="AY50" s="328">
        <f t="shared" si="2"/>
        <v>0</v>
      </c>
    </row>
    <row r="51" spans="1:51" x14ac:dyDescent="0.25">
      <c r="A51" s="321" t="s">
        <v>100</v>
      </c>
      <c r="B51" s="322"/>
      <c r="C51" s="323">
        <v>1833</v>
      </c>
      <c r="D51" s="323">
        <v>216306.65</v>
      </c>
      <c r="E51" s="324">
        <v>46582.350000000006</v>
      </c>
      <c r="F51" s="322"/>
      <c r="G51" s="323">
        <v>1944.8</v>
      </c>
      <c r="H51" s="323">
        <v>236151.35</v>
      </c>
      <c r="I51" s="324">
        <v>50856.3</v>
      </c>
      <c r="J51" s="322"/>
      <c r="K51" s="323">
        <v>1944.8</v>
      </c>
      <c r="L51" s="323">
        <v>236151.35</v>
      </c>
      <c r="M51" s="324">
        <v>50856.3</v>
      </c>
      <c r="N51" s="322"/>
      <c r="O51" s="323">
        <v>1944.8</v>
      </c>
      <c r="P51" s="323">
        <v>236151.35</v>
      </c>
      <c r="Q51" s="324">
        <v>50856.3</v>
      </c>
      <c r="R51" s="322"/>
      <c r="S51" s="323">
        <v>1944.8</v>
      </c>
      <c r="T51" s="323">
        <v>236151.35</v>
      </c>
      <c r="U51" s="324">
        <v>50856.3</v>
      </c>
      <c r="V51" s="322"/>
      <c r="W51" s="323">
        <v>1944.8</v>
      </c>
      <c r="X51" s="323">
        <v>236151.35</v>
      </c>
      <c r="Y51" s="324">
        <v>50856.3</v>
      </c>
      <c r="Z51" s="325">
        <v>73770.89</v>
      </c>
      <c r="AA51" s="326">
        <v>2917.2</v>
      </c>
      <c r="AB51" s="326">
        <v>236151.35</v>
      </c>
      <c r="AC51" s="327">
        <v>50856.3</v>
      </c>
      <c r="AD51" s="325">
        <v>73770.89</v>
      </c>
      <c r="AE51" s="326">
        <v>2917.2</v>
      </c>
      <c r="AF51" s="326">
        <v>236151.35</v>
      </c>
      <c r="AG51" s="327">
        <v>50856.3</v>
      </c>
      <c r="AH51" s="325">
        <v>73770.89</v>
      </c>
      <c r="AI51" s="326">
        <v>2917.2</v>
      </c>
      <c r="AJ51" s="326">
        <v>236151.35</v>
      </c>
      <c r="AK51" s="327">
        <v>50856.3</v>
      </c>
      <c r="AL51" s="325">
        <v>73770.89</v>
      </c>
      <c r="AM51" s="326">
        <v>2917.2</v>
      </c>
      <c r="AN51" s="326">
        <v>236151.35</v>
      </c>
      <c r="AO51" s="327">
        <v>50856.3</v>
      </c>
      <c r="AP51" s="325">
        <v>73770.89</v>
      </c>
      <c r="AQ51" s="326">
        <v>2917.2</v>
      </c>
      <c r="AR51" s="326">
        <v>236151.35</v>
      </c>
      <c r="AS51" s="327">
        <v>50856.3</v>
      </c>
      <c r="AT51" s="325">
        <v>73770.89</v>
      </c>
      <c r="AU51" s="326">
        <v>2917.2</v>
      </c>
      <c r="AV51" s="326">
        <v>236151.35</v>
      </c>
      <c r="AW51" s="327">
        <v>50856.3</v>
      </c>
      <c r="AX51" s="256"/>
      <c r="AY51" s="328">
        <f t="shared" si="2"/>
        <v>3891658.6900000018</v>
      </c>
    </row>
    <row r="52" spans="1:51" x14ac:dyDescent="0.25">
      <c r="A52" s="321"/>
      <c r="B52" s="322"/>
      <c r="C52" s="323"/>
      <c r="D52" s="323"/>
      <c r="E52" s="324"/>
      <c r="F52" s="322"/>
      <c r="G52" s="323"/>
      <c r="H52" s="323"/>
      <c r="I52" s="324"/>
      <c r="J52" s="322"/>
      <c r="K52" s="323"/>
      <c r="L52" s="323"/>
      <c r="M52" s="324"/>
      <c r="N52" s="322"/>
      <c r="O52" s="323"/>
      <c r="P52" s="323"/>
      <c r="Q52" s="324"/>
      <c r="R52" s="322"/>
      <c r="S52" s="323"/>
      <c r="T52" s="323"/>
      <c r="U52" s="324"/>
      <c r="V52" s="322"/>
      <c r="W52" s="323"/>
      <c r="X52" s="323"/>
      <c r="Y52" s="324"/>
      <c r="Z52" s="325"/>
      <c r="AA52" s="326"/>
      <c r="AB52" s="326"/>
      <c r="AC52" s="327"/>
      <c r="AD52" s="325"/>
      <c r="AE52" s="326"/>
      <c r="AF52" s="326"/>
      <c r="AG52" s="327"/>
      <c r="AH52" s="325"/>
      <c r="AI52" s="326"/>
      <c r="AJ52" s="326"/>
      <c r="AK52" s="327"/>
      <c r="AL52" s="325"/>
      <c r="AM52" s="326"/>
      <c r="AN52" s="326"/>
      <c r="AO52" s="327"/>
      <c r="AP52" s="325"/>
      <c r="AQ52" s="326"/>
      <c r="AR52" s="326"/>
      <c r="AS52" s="327"/>
      <c r="AT52" s="325"/>
      <c r="AU52" s="326"/>
      <c r="AV52" s="326"/>
      <c r="AW52" s="327"/>
      <c r="AX52" s="256"/>
      <c r="AY52" s="328">
        <f t="shared" si="2"/>
        <v>0</v>
      </c>
    </row>
    <row r="53" spans="1:51" x14ac:dyDescent="0.25">
      <c r="A53" s="321" t="s">
        <v>101</v>
      </c>
      <c r="B53" s="322"/>
      <c r="C53" s="323">
        <v>1833</v>
      </c>
      <c r="D53" s="323">
        <v>216306.65</v>
      </c>
      <c r="E53" s="324">
        <v>46582.350000000006</v>
      </c>
      <c r="F53" s="322"/>
      <c r="G53" s="323">
        <v>1944.8</v>
      </c>
      <c r="H53" s="323">
        <v>236151.35</v>
      </c>
      <c r="I53" s="324">
        <v>50856.3</v>
      </c>
      <c r="J53" s="322"/>
      <c r="K53" s="323">
        <v>1944.8</v>
      </c>
      <c r="L53" s="323">
        <v>236151.35</v>
      </c>
      <c r="M53" s="324">
        <v>50856.3</v>
      </c>
      <c r="N53" s="322"/>
      <c r="O53" s="323">
        <v>1944.8</v>
      </c>
      <c r="P53" s="323">
        <v>236151.35</v>
      </c>
      <c r="Q53" s="324">
        <v>50856.3</v>
      </c>
      <c r="R53" s="322"/>
      <c r="S53" s="323">
        <v>1944.8</v>
      </c>
      <c r="T53" s="323">
        <v>236151.35</v>
      </c>
      <c r="U53" s="324">
        <v>50856.3</v>
      </c>
      <c r="V53" s="322"/>
      <c r="W53" s="323">
        <v>1944.8</v>
      </c>
      <c r="X53" s="323">
        <v>236151.35</v>
      </c>
      <c r="Y53" s="324">
        <v>50856.3</v>
      </c>
      <c r="Z53" s="325">
        <v>73770.89</v>
      </c>
      <c r="AA53" s="326">
        <v>2917.2</v>
      </c>
      <c r="AB53" s="326">
        <v>236151.35</v>
      </c>
      <c r="AC53" s="327">
        <v>50856.3</v>
      </c>
      <c r="AD53" s="325">
        <v>73770.89</v>
      </c>
      <c r="AE53" s="326">
        <v>2917.2</v>
      </c>
      <c r="AF53" s="326">
        <v>236151.35</v>
      </c>
      <c r="AG53" s="327">
        <v>50856.3</v>
      </c>
      <c r="AH53" s="325">
        <v>73770.89</v>
      </c>
      <c r="AI53" s="326">
        <v>2917.2</v>
      </c>
      <c r="AJ53" s="326">
        <v>236151.35</v>
      </c>
      <c r="AK53" s="327">
        <v>50856.3</v>
      </c>
      <c r="AL53" s="325">
        <v>73770.89</v>
      </c>
      <c r="AM53" s="326">
        <v>2917.2</v>
      </c>
      <c r="AN53" s="326">
        <v>236151.35</v>
      </c>
      <c r="AO53" s="327">
        <v>50856.3</v>
      </c>
      <c r="AP53" s="325">
        <v>73770.89</v>
      </c>
      <c r="AQ53" s="326">
        <v>2917.2</v>
      </c>
      <c r="AR53" s="326">
        <v>236151.35</v>
      </c>
      <c r="AS53" s="327">
        <v>50856.3</v>
      </c>
      <c r="AT53" s="325">
        <v>73770.89</v>
      </c>
      <c r="AU53" s="326">
        <v>2917.2</v>
      </c>
      <c r="AV53" s="326">
        <v>236151.35</v>
      </c>
      <c r="AW53" s="327">
        <v>50856.3</v>
      </c>
      <c r="AX53" s="256"/>
      <c r="AY53" s="328">
        <f t="shared" si="2"/>
        <v>3891658.6900000018</v>
      </c>
    </row>
    <row r="54" spans="1:51" x14ac:dyDescent="0.25">
      <c r="A54" s="321"/>
      <c r="B54" s="322"/>
      <c r="C54" s="323"/>
      <c r="D54" s="323"/>
      <c r="E54" s="324"/>
      <c r="F54" s="322"/>
      <c r="G54" s="323"/>
      <c r="H54" s="323"/>
      <c r="I54" s="324"/>
      <c r="J54" s="322"/>
      <c r="K54" s="323"/>
      <c r="L54" s="323"/>
      <c r="M54" s="324"/>
      <c r="N54" s="322"/>
      <c r="O54" s="323"/>
      <c r="P54" s="323"/>
      <c r="Q54" s="324"/>
      <c r="R54" s="322"/>
      <c r="S54" s="323"/>
      <c r="T54" s="323"/>
      <c r="U54" s="324"/>
      <c r="V54" s="322"/>
      <c r="W54" s="323"/>
      <c r="X54" s="323"/>
      <c r="Y54" s="324"/>
      <c r="Z54" s="325"/>
      <c r="AA54" s="326"/>
      <c r="AB54" s="326"/>
      <c r="AC54" s="327"/>
      <c r="AD54" s="325"/>
      <c r="AE54" s="326"/>
      <c r="AF54" s="326"/>
      <c r="AG54" s="327"/>
      <c r="AH54" s="325"/>
      <c r="AI54" s="326"/>
      <c r="AJ54" s="326"/>
      <c r="AK54" s="327"/>
      <c r="AL54" s="325"/>
      <c r="AM54" s="326"/>
      <c r="AN54" s="326"/>
      <c r="AO54" s="327"/>
      <c r="AP54" s="325"/>
      <c r="AQ54" s="326"/>
      <c r="AR54" s="326"/>
      <c r="AS54" s="327"/>
      <c r="AT54" s="325"/>
      <c r="AU54" s="326"/>
      <c r="AV54" s="326"/>
      <c r="AW54" s="327"/>
      <c r="AX54" s="256"/>
      <c r="AY54" s="328">
        <f t="shared" si="2"/>
        <v>0</v>
      </c>
    </row>
    <row r="55" spans="1:51" x14ac:dyDescent="0.25">
      <c r="A55" s="321" t="s">
        <v>301</v>
      </c>
      <c r="B55" s="322"/>
      <c r="C55" s="323">
        <v>916</v>
      </c>
      <c r="D55" s="323">
        <v>216306.65</v>
      </c>
      <c r="E55" s="324">
        <v>46582.350000000006</v>
      </c>
      <c r="F55" s="322"/>
      <c r="G55" s="323">
        <v>972.4</v>
      </c>
      <c r="H55" s="323">
        <v>236151.35</v>
      </c>
      <c r="I55" s="324">
        <v>50856.3</v>
      </c>
      <c r="J55" s="322"/>
      <c r="K55" s="323">
        <v>972.4</v>
      </c>
      <c r="L55" s="323">
        <v>236151.35</v>
      </c>
      <c r="M55" s="324">
        <v>50856.3</v>
      </c>
      <c r="N55" s="322"/>
      <c r="O55" s="323">
        <v>972.4</v>
      </c>
      <c r="P55" s="323">
        <v>236151.35</v>
      </c>
      <c r="Q55" s="324">
        <v>50856.3</v>
      </c>
      <c r="R55" s="322"/>
      <c r="S55" s="323">
        <v>972.4</v>
      </c>
      <c r="T55" s="323">
        <v>236151.35</v>
      </c>
      <c r="U55" s="324">
        <v>50856.3</v>
      </c>
      <c r="V55" s="322"/>
      <c r="W55" s="323">
        <v>972.4</v>
      </c>
      <c r="X55" s="323">
        <v>236151.35</v>
      </c>
      <c r="Y55" s="324">
        <v>50856.3</v>
      </c>
      <c r="Z55" s="325">
        <v>73770.89</v>
      </c>
      <c r="AA55" s="326">
        <v>1944.8</v>
      </c>
      <c r="AB55" s="326">
        <v>236151.35</v>
      </c>
      <c r="AC55" s="327">
        <v>50856.3</v>
      </c>
      <c r="AD55" s="325">
        <v>73770.89</v>
      </c>
      <c r="AE55" s="326">
        <v>1944.8</v>
      </c>
      <c r="AF55" s="326">
        <v>236151.35</v>
      </c>
      <c r="AG55" s="327">
        <v>50856.3</v>
      </c>
      <c r="AH55" s="325">
        <v>73770.89</v>
      </c>
      <c r="AI55" s="326">
        <v>1944.8</v>
      </c>
      <c r="AJ55" s="326">
        <v>236151.35</v>
      </c>
      <c r="AK55" s="327">
        <v>50856.3</v>
      </c>
      <c r="AL55" s="325">
        <v>73770.89</v>
      </c>
      <c r="AM55" s="326">
        <v>1944.8</v>
      </c>
      <c r="AN55" s="326">
        <v>236151.35</v>
      </c>
      <c r="AO55" s="327">
        <v>50856.3</v>
      </c>
      <c r="AP55" s="325">
        <v>73770.89</v>
      </c>
      <c r="AQ55" s="326">
        <v>1944.8</v>
      </c>
      <c r="AR55" s="326">
        <v>236151.35</v>
      </c>
      <c r="AS55" s="327">
        <v>50856.3</v>
      </c>
      <c r="AT55" s="325">
        <v>73770.89</v>
      </c>
      <c r="AU55" s="326">
        <v>1944.8</v>
      </c>
      <c r="AV55" s="326">
        <v>236151.35</v>
      </c>
      <c r="AW55" s="327">
        <v>50856.3</v>
      </c>
      <c r="AX55" s="256"/>
      <c r="AY55" s="328">
        <f t="shared" si="2"/>
        <v>3880045.2899999996</v>
      </c>
    </row>
    <row r="56" spans="1:51" x14ac:dyDescent="0.25">
      <c r="A56" s="321"/>
      <c r="B56" s="322"/>
      <c r="C56" s="323"/>
      <c r="D56" s="323"/>
      <c r="E56" s="324"/>
      <c r="F56" s="322"/>
      <c r="G56" s="323"/>
      <c r="H56" s="323"/>
      <c r="I56" s="324"/>
      <c r="J56" s="322"/>
      <c r="K56" s="323"/>
      <c r="L56" s="323"/>
      <c r="M56" s="324"/>
      <c r="N56" s="322"/>
      <c r="O56" s="323"/>
      <c r="P56" s="323"/>
      <c r="Q56" s="324"/>
      <c r="R56" s="322"/>
      <c r="S56" s="323"/>
      <c r="T56" s="323"/>
      <c r="U56" s="324"/>
      <c r="V56" s="322"/>
      <c r="W56" s="323"/>
      <c r="X56" s="323"/>
      <c r="Y56" s="324"/>
      <c r="Z56" s="325"/>
      <c r="AA56" s="326"/>
      <c r="AB56" s="326"/>
      <c r="AC56" s="327"/>
      <c r="AD56" s="325"/>
      <c r="AE56" s="326"/>
      <c r="AF56" s="326"/>
      <c r="AG56" s="327"/>
      <c r="AH56" s="325"/>
      <c r="AI56" s="326"/>
      <c r="AJ56" s="326"/>
      <c r="AK56" s="327"/>
      <c r="AL56" s="325"/>
      <c r="AM56" s="326"/>
      <c r="AN56" s="326"/>
      <c r="AO56" s="327"/>
      <c r="AP56" s="325"/>
      <c r="AQ56" s="326"/>
      <c r="AR56" s="326"/>
      <c r="AS56" s="327"/>
      <c r="AT56" s="325"/>
      <c r="AU56" s="326"/>
      <c r="AV56" s="326"/>
      <c r="AW56" s="327"/>
      <c r="AX56" s="256"/>
      <c r="AY56" s="328">
        <f t="shared" si="2"/>
        <v>0</v>
      </c>
    </row>
    <row r="57" spans="1:51" x14ac:dyDescent="0.25">
      <c r="A57" s="321" t="s">
        <v>106</v>
      </c>
      <c r="B57" s="322"/>
      <c r="C57" s="323">
        <v>2749</v>
      </c>
      <c r="D57" s="323">
        <v>216306.65</v>
      </c>
      <c r="E57" s="324">
        <v>46582.350000000006</v>
      </c>
      <c r="F57" s="322"/>
      <c r="G57" s="323">
        <v>2917.2</v>
      </c>
      <c r="H57" s="323">
        <v>236151.35</v>
      </c>
      <c r="I57" s="324">
        <v>50856.3</v>
      </c>
      <c r="J57" s="322"/>
      <c r="K57" s="323">
        <v>2917.2</v>
      </c>
      <c r="L57" s="323">
        <v>236151.35</v>
      </c>
      <c r="M57" s="324">
        <v>50856.3</v>
      </c>
      <c r="N57" s="322"/>
      <c r="O57" s="323">
        <v>2917.2</v>
      </c>
      <c r="P57" s="323">
        <v>236151.35</v>
      </c>
      <c r="Q57" s="324">
        <v>50856.3</v>
      </c>
      <c r="R57" s="322"/>
      <c r="S57" s="323">
        <v>2917.2</v>
      </c>
      <c r="T57" s="323">
        <v>236151.35</v>
      </c>
      <c r="U57" s="324">
        <v>50856.3</v>
      </c>
      <c r="V57" s="322"/>
      <c r="W57" s="323">
        <v>2917.2</v>
      </c>
      <c r="X57" s="323">
        <v>236151.35</v>
      </c>
      <c r="Y57" s="324">
        <v>50856.3</v>
      </c>
      <c r="Z57" s="325"/>
      <c r="AA57" s="326">
        <v>2917.2</v>
      </c>
      <c r="AB57" s="326">
        <v>236151.35</v>
      </c>
      <c r="AC57" s="327">
        <v>50856.3</v>
      </c>
      <c r="AD57" s="325"/>
      <c r="AE57" s="326">
        <v>2917.2</v>
      </c>
      <c r="AF57" s="326">
        <v>236151.35</v>
      </c>
      <c r="AG57" s="327">
        <v>50856.3</v>
      </c>
      <c r="AH57" s="325"/>
      <c r="AI57" s="326">
        <v>2917.2</v>
      </c>
      <c r="AJ57" s="326">
        <v>236151.35</v>
      </c>
      <c r="AK57" s="327">
        <v>50856.3</v>
      </c>
      <c r="AL57" s="325"/>
      <c r="AM57" s="326">
        <v>2917.2</v>
      </c>
      <c r="AN57" s="326">
        <v>236151.35</v>
      </c>
      <c r="AO57" s="327">
        <v>50856.3</v>
      </c>
      <c r="AP57" s="325"/>
      <c r="AQ57" s="326">
        <v>2917.2</v>
      </c>
      <c r="AR57" s="326">
        <v>236151.35</v>
      </c>
      <c r="AS57" s="327">
        <v>50856.3</v>
      </c>
      <c r="AT57" s="325"/>
      <c r="AU57" s="326">
        <v>2917.2</v>
      </c>
      <c r="AV57" s="326">
        <v>236151.35</v>
      </c>
      <c r="AW57" s="327">
        <v>50856.3</v>
      </c>
      <c r="AX57" s="256"/>
      <c r="AY57" s="328">
        <f t="shared" si="2"/>
        <v>3454811.3500000006</v>
      </c>
    </row>
    <row r="58" spans="1:51" x14ac:dyDescent="0.25">
      <c r="A58" s="321"/>
      <c r="B58" s="322"/>
      <c r="C58" s="323"/>
      <c r="D58" s="323"/>
      <c r="E58" s="324"/>
      <c r="F58" s="322"/>
      <c r="G58" s="323"/>
      <c r="H58" s="323"/>
      <c r="I58" s="324"/>
      <c r="J58" s="322"/>
      <c r="K58" s="323"/>
      <c r="L58" s="323"/>
      <c r="M58" s="324"/>
      <c r="N58" s="322"/>
      <c r="O58" s="323"/>
      <c r="P58" s="323"/>
      <c r="Q58" s="324"/>
      <c r="R58" s="322"/>
      <c r="S58" s="323"/>
      <c r="T58" s="323"/>
      <c r="U58" s="324"/>
      <c r="V58" s="322"/>
      <c r="W58" s="323"/>
      <c r="X58" s="323"/>
      <c r="Y58" s="324"/>
      <c r="Z58" s="325"/>
      <c r="AA58" s="326"/>
      <c r="AB58" s="326"/>
      <c r="AC58" s="327"/>
      <c r="AD58" s="325"/>
      <c r="AE58" s="326"/>
      <c r="AF58" s="326"/>
      <c r="AG58" s="327"/>
      <c r="AH58" s="325"/>
      <c r="AI58" s="326"/>
      <c r="AJ58" s="326"/>
      <c r="AK58" s="327"/>
      <c r="AL58" s="325"/>
      <c r="AM58" s="326"/>
      <c r="AN58" s="326"/>
      <c r="AO58" s="327"/>
      <c r="AP58" s="325"/>
      <c r="AQ58" s="326"/>
      <c r="AR58" s="326"/>
      <c r="AS58" s="327"/>
      <c r="AT58" s="325"/>
      <c r="AU58" s="326"/>
      <c r="AV58" s="326"/>
      <c r="AW58" s="327"/>
      <c r="AX58" s="256"/>
      <c r="AY58" s="328">
        <f t="shared" si="2"/>
        <v>0</v>
      </c>
    </row>
    <row r="59" spans="1:51" x14ac:dyDescent="0.25">
      <c r="A59" s="321" t="s">
        <v>110</v>
      </c>
      <c r="B59" s="322"/>
      <c r="C59" s="323">
        <v>2749</v>
      </c>
      <c r="D59" s="323">
        <v>216306.65</v>
      </c>
      <c r="E59" s="324">
        <v>46582.350000000006</v>
      </c>
      <c r="F59" s="322"/>
      <c r="G59" s="323">
        <v>2917.2</v>
      </c>
      <c r="H59" s="323">
        <v>236151.35</v>
      </c>
      <c r="I59" s="324">
        <v>50856.3</v>
      </c>
      <c r="J59" s="322"/>
      <c r="K59" s="323">
        <v>2917.2</v>
      </c>
      <c r="L59" s="323">
        <v>236151.35</v>
      </c>
      <c r="M59" s="324">
        <v>50856.3</v>
      </c>
      <c r="N59" s="322"/>
      <c r="O59" s="323">
        <v>2917.2</v>
      </c>
      <c r="P59" s="323">
        <v>236151.35</v>
      </c>
      <c r="Q59" s="324">
        <v>50856.3</v>
      </c>
      <c r="R59" s="322"/>
      <c r="S59" s="323">
        <v>2917.2</v>
      </c>
      <c r="T59" s="323">
        <v>236151.35</v>
      </c>
      <c r="U59" s="324">
        <v>50856.3</v>
      </c>
      <c r="V59" s="322"/>
      <c r="W59" s="323">
        <v>2917.2</v>
      </c>
      <c r="X59" s="323">
        <v>236151.35</v>
      </c>
      <c r="Y59" s="324">
        <v>50856.3</v>
      </c>
      <c r="Z59" s="325"/>
      <c r="AA59" s="326">
        <v>2917.2</v>
      </c>
      <c r="AB59" s="326">
        <v>236151.35</v>
      </c>
      <c r="AC59" s="327">
        <v>50856.3</v>
      </c>
      <c r="AD59" s="325"/>
      <c r="AE59" s="326">
        <v>2917.2</v>
      </c>
      <c r="AF59" s="326">
        <v>236151.35</v>
      </c>
      <c r="AG59" s="327">
        <v>50856.3</v>
      </c>
      <c r="AH59" s="325"/>
      <c r="AI59" s="326">
        <v>2917.2</v>
      </c>
      <c r="AJ59" s="326">
        <v>236151.35</v>
      </c>
      <c r="AK59" s="327">
        <v>50856.3</v>
      </c>
      <c r="AL59" s="325"/>
      <c r="AM59" s="326">
        <v>2917.2</v>
      </c>
      <c r="AN59" s="326">
        <v>236151.35</v>
      </c>
      <c r="AO59" s="327">
        <v>50856.3</v>
      </c>
      <c r="AP59" s="325"/>
      <c r="AQ59" s="326">
        <v>2917.2</v>
      </c>
      <c r="AR59" s="326">
        <v>236151.35</v>
      </c>
      <c r="AS59" s="327">
        <v>50856.3</v>
      </c>
      <c r="AT59" s="325"/>
      <c r="AU59" s="326">
        <v>2917.2</v>
      </c>
      <c r="AV59" s="326">
        <v>236151.35</v>
      </c>
      <c r="AW59" s="327">
        <v>50856.3</v>
      </c>
      <c r="AX59" s="256"/>
      <c r="AY59" s="328">
        <f t="shared" si="2"/>
        <v>3454811.3500000006</v>
      </c>
    </row>
    <row r="60" spans="1:51" x14ac:dyDescent="0.25">
      <c r="A60" s="321"/>
      <c r="B60" s="322"/>
      <c r="C60" s="323"/>
      <c r="D60" s="323"/>
      <c r="E60" s="324"/>
      <c r="F60" s="322"/>
      <c r="G60" s="323"/>
      <c r="H60" s="323"/>
      <c r="I60" s="324"/>
      <c r="J60" s="322"/>
      <c r="K60" s="323"/>
      <c r="L60" s="323"/>
      <c r="M60" s="324"/>
      <c r="N60" s="322"/>
      <c r="O60" s="323"/>
      <c r="P60" s="323"/>
      <c r="Q60" s="324"/>
      <c r="R60" s="322"/>
      <c r="S60" s="323"/>
      <c r="T60" s="323"/>
      <c r="U60" s="324"/>
      <c r="V60" s="322"/>
      <c r="W60" s="323"/>
      <c r="X60" s="323"/>
      <c r="Y60" s="324"/>
      <c r="Z60" s="325"/>
      <c r="AA60" s="326"/>
      <c r="AB60" s="326"/>
      <c r="AC60" s="327"/>
      <c r="AD60" s="325"/>
      <c r="AE60" s="326"/>
      <c r="AF60" s="326"/>
      <c r="AG60" s="327"/>
      <c r="AH60" s="325"/>
      <c r="AI60" s="326"/>
      <c r="AJ60" s="326"/>
      <c r="AK60" s="327"/>
      <c r="AL60" s="325"/>
      <c r="AM60" s="326"/>
      <c r="AN60" s="326"/>
      <c r="AO60" s="327"/>
      <c r="AP60" s="325"/>
      <c r="AQ60" s="326"/>
      <c r="AR60" s="326"/>
      <c r="AS60" s="327"/>
      <c r="AT60" s="325"/>
      <c r="AU60" s="326"/>
      <c r="AV60" s="326"/>
      <c r="AW60" s="327"/>
      <c r="AX60" s="256"/>
      <c r="AY60" s="328">
        <f t="shared" si="2"/>
        <v>0</v>
      </c>
    </row>
    <row r="61" spans="1:51" x14ac:dyDescent="0.25">
      <c r="A61" s="321" t="s">
        <v>113</v>
      </c>
      <c r="B61" s="322"/>
      <c r="C61" s="323">
        <v>2749</v>
      </c>
      <c r="D61" s="323">
        <v>216306.65</v>
      </c>
      <c r="E61" s="324">
        <v>46582.350000000006</v>
      </c>
      <c r="F61" s="322"/>
      <c r="G61" s="323">
        <v>2917.2</v>
      </c>
      <c r="H61" s="323">
        <v>236151.35</v>
      </c>
      <c r="I61" s="324">
        <v>50856.3</v>
      </c>
      <c r="J61" s="322"/>
      <c r="K61" s="323">
        <v>2917.2</v>
      </c>
      <c r="L61" s="323">
        <v>236151.35</v>
      </c>
      <c r="M61" s="324">
        <v>50856.3</v>
      </c>
      <c r="N61" s="322"/>
      <c r="O61" s="323">
        <v>2917.2</v>
      </c>
      <c r="P61" s="323">
        <v>236151.35</v>
      </c>
      <c r="Q61" s="324">
        <v>50856.3</v>
      </c>
      <c r="R61" s="322"/>
      <c r="S61" s="323">
        <v>2917.2</v>
      </c>
      <c r="T61" s="323">
        <v>236151.35</v>
      </c>
      <c r="U61" s="324">
        <v>50856.3</v>
      </c>
      <c r="V61" s="322"/>
      <c r="W61" s="323">
        <v>2917.2</v>
      </c>
      <c r="X61" s="323">
        <v>236151.35</v>
      </c>
      <c r="Y61" s="324">
        <v>50856.3</v>
      </c>
      <c r="Z61" s="325"/>
      <c r="AA61" s="326">
        <v>2917.2</v>
      </c>
      <c r="AB61" s="326">
        <v>236151.35</v>
      </c>
      <c r="AC61" s="327">
        <v>50856.3</v>
      </c>
      <c r="AD61" s="325"/>
      <c r="AE61" s="326">
        <v>2917.2</v>
      </c>
      <c r="AF61" s="326">
        <v>236151.35</v>
      </c>
      <c r="AG61" s="327">
        <v>50856.3</v>
      </c>
      <c r="AH61" s="325"/>
      <c r="AI61" s="326">
        <v>2917.2</v>
      </c>
      <c r="AJ61" s="326">
        <v>236151.35</v>
      </c>
      <c r="AK61" s="327">
        <v>50856.3</v>
      </c>
      <c r="AL61" s="325"/>
      <c r="AM61" s="326">
        <v>2917.2</v>
      </c>
      <c r="AN61" s="326">
        <v>236151.35</v>
      </c>
      <c r="AO61" s="327">
        <v>50856.3</v>
      </c>
      <c r="AP61" s="325"/>
      <c r="AQ61" s="326">
        <v>2917.2</v>
      </c>
      <c r="AR61" s="326">
        <v>236151.35</v>
      </c>
      <c r="AS61" s="327">
        <v>50856.3</v>
      </c>
      <c r="AT61" s="325"/>
      <c r="AU61" s="326">
        <v>2917.2</v>
      </c>
      <c r="AV61" s="326">
        <v>236151.35</v>
      </c>
      <c r="AW61" s="327">
        <v>50856.3</v>
      </c>
      <c r="AX61" s="256"/>
      <c r="AY61" s="328">
        <f t="shared" si="2"/>
        <v>3454811.3500000006</v>
      </c>
    </row>
    <row r="62" spans="1:51" x14ac:dyDescent="0.25">
      <c r="A62" s="321"/>
      <c r="B62" s="322"/>
      <c r="C62" s="323"/>
      <c r="D62" s="323"/>
      <c r="E62" s="324"/>
      <c r="F62" s="322"/>
      <c r="G62" s="323"/>
      <c r="H62" s="323"/>
      <c r="I62" s="324"/>
      <c r="J62" s="322"/>
      <c r="K62" s="323"/>
      <c r="L62" s="323"/>
      <c r="M62" s="324"/>
      <c r="N62" s="322"/>
      <c r="O62" s="323"/>
      <c r="P62" s="323"/>
      <c r="Q62" s="324"/>
      <c r="R62" s="322"/>
      <c r="S62" s="323"/>
      <c r="T62" s="323"/>
      <c r="U62" s="324"/>
      <c r="V62" s="322"/>
      <c r="W62" s="323"/>
      <c r="X62" s="323"/>
      <c r="Y62" s="324"/>
      <c r="Z62" s="325"/>
      <c r="AA62" s="326"/>
      <c r="AB62" s="326"/>
      <c r="AC62" s="327"/>
      <c r="AD62" s="325"/>
      <c r="AE62" s="326"/>
      <c r="AF62" s="326"/>
      <c r="AG62" s="327"/>
      <c r="AH62" s="325"/>
      <c r="AI62" s="326"/>
      <c r="AJ62" s="326"/>
      <c r="AK62" s="327"/>
      <c r="AL62" s="325"/>
      <c r="AM62" s="326"/>
      <c r="AN62" s="326"/>
      <c r="AO62" s="327"/>
      <c r="AP62" s="325"/>
      <c r="AQ62" s="326"/>
      <c r="AR62" s="326"/>
      <c r="AS62" s="327"/>
      <c r="AT62" s="325"/>
      <c r="AU62" s="326"/>
      <c r="AV62" s="326"/>
      <c r="AW62" s="327"/>
      <c r="AX62" s="256"/>
      <c r="AY62" s="328">
        <f t="shared" si="2"/>
        <v>0</v>
      </c>
    </row>
    <row r="63" spans="1:51" x14ac:dyDescent="0.25">
      <c r="A63" s="321" t="s">
        <v>202</v>
      </c>
      <c r="B63" s="322"/>
      <c r="C63" s="323">
        <v>2749</v>
      </c>
      <c r="D63" s="323">
        <v>216306.65</v>
      </c>
      <c r="E63" s="324">
        <v>46582.350000000006</v>
      </c>
      <c r="F63" s="322"/>
      <c r="G63" s="323">
        <v>2917.2</v>
      </c>
      <c r="H63" s="323">
        <v>236151.35</v>
      </c>
      <c r="I63" s="324">
        <v>50856.3</v>
      </c>
      <c r="J63" s="322"/>
      <c r="K63" s="323">
        <v>2917.2</v>
      </c>
      <c r="L63" s="323">
        <v>236151.35</v>
      </c>
      <c r="M63" s="324">
        <v>50856.3</v>
      </c>
      <c r="N63" s="322"/>
      <c r="O63" s="323">
        <v>2917.2</v>
      </c>
      <c r="P63" s="323">
        <v>236151.35</v>
      </c>
      <c r="Q63" s="324">
        <v>50856.3</v>
      </c>
      <c r="R63" s="322"/>
      <c r="S63" s="323">
        <v>2917.2</v>
      </c>
      <c r="T63" s="323">
        <v>236151.35</v>
      </c>
      <c r="U63" s="324">
        <v>50856.3</v>
      </c>
      <c r="V63" s="322"/>
      <c r="W63" s="323">
        <v>2917.2</v>
      </c>
      <c r="X63" s="323">
        <v>236151.35</v>
      </c>
      <c r="Y63" s="324">
        <v>50856.3</v>
      </c>
      <c r="Z63" s="325"/>
      <c r="AA63" s="326">
        <v>2917.2</v>
      </c>
      <c r="AB63" s="326">
        <v>236151.35</v>
      </c>
      <c r="AC63" s="327">
        <v>50856.3</v>
      </c>
      <c r="AD63" s="325"/>
      <c r="AE63" s="326">
        <v>2917.2</v>
      </c>
      <c r="AF63" s="326">
        <v>236151.35</v>
      </c>
      <c r="AG63" s="327">
        <v>50856.3</v>
      </c>
      <c r="AH63" s="325"/>
      <c r="AI63" s="326">
        <v>2917.2</v>
      </c>
      <c r="AJ63" s="326">
        <v>236151.35</v>
      </c>
      <c r="AK63" s="327">
        <v>50856.3</v>
      </c>
      <c r="AL63" s="325"/>
      <c r="AM63" s="326">
        <v>2917.2</v>
      </c>
      <c r="AN63" s="326">
        <v>236151.35</v>
      </c>
      <c r="AO63" s="327">
        <v>50856.3</v>
      </c>
      <c r="AP63" s="325"/>
      <c r="AQ63" s="326">
        <v>2917.2</v>
      </c>
      <c r="AR63" s="326">
        <v>236151.35</v>
      </c>
      <c r="AS63" s="327">
        <v>50856.3</v>
      </c>
      <c r="AT63" s="325"/>
      <c r="AU63" s="326">
        <v>2917.2</v>
      </c>
      <c r="AV63" s="326">
        <v>236151.35</v>
      </c>
      <c r="AW63" s="327">
        <v>50856.3</v>
      </c>
      <c r="AX63" s="256"/>
      <c r="AY63" s="328">
        <f t="shared" si="2"/>
        <v>3454811.3500000006</v>
      </c>
    </row>
    <row r="64" spans="1:51" x14ac:dyDescent="0.25">
      <c r="A64" s="312"/>
      <c r="B64" s="322"/>
      <c r="C64" s="323"/>
      <c r="D64" s="323"/>
      <c r="E64" s="324"/>
      <c r="F64" s="322"/>
      <c r="G64" s="323"/>
      <c r="H64" s="323"/>
      <c r="I64" s="324"/>
      <c r="J64" s="322"/>
      <c r="K64" s="323"/>
      <c r="L64" s="323"/>
      <c r="M64" s="324"/>
      <c r="N64" s="322"/>
      <c r="O64" s="323"/>
      <c r="P64" s="323"/>
      <c r="Q64" s="324"/>
      <c r="R64" s="322"/>
      <c r="S64" s="323"/>
      <c r="T64" s="323"/>
      <c r="U64" s="324"/>
      <c r="V64" s="322"/>
      <c r="W64" s="323"/>
      <c r="X64" s="323"/>
      <c r="Y64" s="324"/>
      <c r="Z64" s="325"/>
      <c r="AA64" s="326"/>
      <c r="AB64" s="326"/>
      <c r="AC64" s="327"/>
      <c r="AD64" s="325"/>
      <c r="AE64" s="326"/>
      <c r="AF64" s="326"/>
      <c r="AG64" s="327"/>
      <c r="AH64" s="325"/>
      <c r="AI64" s="326"/>
      <c r="AJ64" s="326"/>
      <c r="AK64" s="327"/>
      <c r="AL64" s="325"/>
      <c r="AM64" s="326"/>
      <c r="AN64" s="326"/>
      <c r="AO64" s="327"/>
      <c r="AP64" s="325"/>
      <c r="AQ64" s="326"/>
      <c r="AR64" s="326"/>
      <c r="AS64" s="327"/>
      <c r="AT64" s="325"/>
      <c r="AU64" s="326"/>
      <c r="AV64" s="326"/>
      <c r="AW64" s="327"/>
      <c r="AX64" s="256"/>
      <c r="AY64" s="328">
        <f t="shared" si="2"/>
        <v>0</v>
      </c>
    </row>
    <row r="65" spans="1:51" x14ac:dyDescent="0.25">
      <c r="A65" s="312"/>
      <c r="B65" s="322"/>
      <c r="C65" s="323"/>
      <c r="D65" s="323"/>
      <c r="E65" s="324"/>
      <c r="F65" s="322"/>
      <c r="G65" s="323"/>
      <c r="H65" s="323"/>
      <c r="I65" s="324"/>
      <c r="J65" s="322"/>
      <c r="K65" s="323"/>
      <c r="L65" s="323"/>
      <c r="M65" s="324"/>
      <c r="N65" s="322"/>
      <c r="O65" s="323"/>
      <c r="P65" s="323"/>
      <c r="Q65" s="324"/>
      <c r="R65" s="322"/>
      <c r="S65" s="323"/>
      <c r="T65" s="323"/>
      <c r="U65" s="324"/>
      <c r="V65" s="322"/>
      <c r="W65" s="323"/>
      <c r="X65" s="323"/>
      <c r="Y65" s="324"/>
      <c r="Z65" s="325"/>
      <c r="AA65" s="326"/>
      <c r="AB65" s="326"/>
      <c r="AC65" s="327"/>
      <c r="AD65" s="325"/>
      <c r="AE65" s="326"/>
      <c r="AF65" s="326"/>
      <c r="AG65" s="327"/>
      <c r="AH65" s="325"/>
      <c r="AI65" s="326"/>
      <c r="AJ65" s="326"/>
      <c r="AK65" s="327"/>
      <c r="AL65" s="325"/>
      <c r="AM65" s="326"/>
      <c r="AN65" s="326"/>
      <c r="AO65" s="327"/>
      <c r="AP65" s="325"/>
      <c r="AQ65" s="326"/>
      <c r="AR65" s="326"/>
      <c r="AS65" s="327"/>
      <c r="AT65" s="325"/>
      <c r="AU65" s="326"/>
      <c r="AV65" s="326"/>
      <c r="AW65" s="327"/>
      <c r="AX65" s="256"/>
      <c r="AY65" s="328">
        <f t="shared" si="2"/>
        <v>0</v>
      </c>
    </row>
    <row r="66" spans="1:51" ht="15.75" thickBot="1" x14ac:dyDescent="0.3">
      <c r="A66" s="312"/>
      <c r="B66" s="329">
        <f t="shared" ref="B66:AW66" si="3">SUM(B39:B65)</f>
        <v>0</v>
      </c>
      <c r="C66" s="330">
        <f t="shared" si="3"/>
        <v>23825</v>
      </c>
      <c r="D66" s="330">
        <f t="shared" si="3"/>
        <v>2811986.4499999993</v>
      </c>
      <c r="E66" s="331">
        <f t="shared" si="3"/>
        <v>605570.54999999993</v>
      </c>
      <c r="F66" s="329">
        <f t="shared" si="3"/>
        <v>0</v>
      </c>
      <c r="G66" s="330">
        <f t="shared" si="3"/>
        <v>25282.400000000001</v>
      </c>
      <c r="H66" s="330">
        <f t="shared" si="3"/>
        <v>3069967.5500000007</v>
      </c>
      <c r="I66" s="331">
        <f t="shared" si="3"/>
        <v>661131.9</v>
      </c>
      <c r="J66" s="329">
        <f t="shared" si="3"/>
        <v>0</v>
      </c>
      <c r="K66" s="330">
        <f t="shared" si="3"/>
        <v>25282.400000000001</v>
      </c>
      <c r="L66" s="330">
        <f t="shared" si="3"/>
        <v>3069967.5500000007</v>
      </c>
      <c r="M66" s="331">
        <f t="shared" si="3"/>
        <v>661131.9</v>
      </c>
      <c r="N66" s="329">
        <f t="shared" si="3"/>
        <v>0</v>
      </c>
      <c r="O66" s="330">
        <f t="shared" si="3"/>
        <v>25282.400000000001</v>
      </c>
      <c r="P66" s="330">
        <f t="shared" si="3"/>
        <v>3069967.5500000007</v>
      </c>
      <c r="Q66" s="331">
        <f t="shared" si="3"/>
        <v>661131.9</v>
      </c>
      <c r="R66" s="329">
        <f t="shared" si="3"/>
        <v>0</v>
      </c>
      <c r="S66" s="330">
        <f t="shared" si="3"/>
        <v>25282.400000000001</v>
      </c>
      <c r="T66" s="330">
        <f t="shared" si="3"/>
        <v>3069967.5500000007</v>
      </c>
      <c r="U66" s="331">
        <f t="shared" si="3"/>
        <v>661131.9</v>
      </c>
      <c r="V66" s="329">
        <f t="shared" si="3"/>
        <v>0</v>
      </c>
      <c r="W66" s="330">
        <f t="shared" si="3"/>
        <v>25282.400000000001</v>
      </c>
      <c r="X66" s="330">
        <f t="shared" si="3"/>
        <v>3069967.5500000007</v>
      </c>
      <c r="Y66" s="331">
        <f t="shared" si="3"/>
        <v>661131.9</v>
      </c>
      <c r="Z66" s="332">
        <f t="shared" si="3"/>
        <v>663938.01</v>
      </c>
      <c r="AA66" s="333">
        <f t="shared" si="3"/>
        <v>34034</v>
      </c>
      <c r="AB66" s="333">
        <f t="shared" si="3"/>
        <v>3069967.5500000007</v>
      </c>
      <c r="AC66" s="334">
        <f t="shared" si="3"/>
        <v>661131.9</v>
      </c>
      <c r="AD66" s="332">
        <f t="shared" si="3"/>
        <v>663938.01</v>
      </c>
      <c r="AE66" s="333">
        <f t="shared" si="3"/>
        <v>34034</v>
      </c>
      <c r="AF66" s="333">
        <f t="shared" si="3"/>
        <v>3069967.5500000007</v>
      </c>
      <c r="AG66" s="334">
        <f t="shared" si="3"/>
        <v>661131.9</v>
      </c>
      <c r="AH66" s="332">
        <f t="shared" si="3"/>
        <v>663938.01</v>
      </c>
      <c r="AI66" s="333">
        <f t="shared" si="3"/>
        <v>34034</v>
      </c>
      <c r="AJ66" s="333">
        <f t="shared" si="3"/>
        <v>3069967.5500000007</v>
      </c>
      <c r="AK66" s="334">
        <f t="shared" si="3"/>
        <v>661131.9</v>
      </c>
      <c r="AL66" s="332">
        <f t="shared" si="3"/>
        <v>663938.01</v>
      </c>
      <c r="AM66" s="333">
        <f t="shared" si="3"/>
        <v>34034</v>
      </c>
      <c r="AN66" s="333">
        <f t="shared" si="3"/>
        <v>3069967.5500000007</v>
      </c>
      <c r="AO66" s="334">
        <f t="shared" si="3"/>
        <v>661131.9</v>
      </c>
      <c r="AP66" s="332">
        <f t="shared" si="3"/>
        <v>663938.01</v>
      </c>
      <c r="AQ66" s="333">
        <f t="shared" si="3"/>
        <v>34034</v>
      </c>
      <c r="AR66" s="333">
        <f t="shared" si="3"/>
        <v>3069967.5500000007</v>
      </c>
      <c r="AS66" s="334">
        <f t="shared" si="3"/>
        <v>661131.9</v>
      </c>
      <c r="AT66" s="332">
        <f t="shared" si="3"/>
        <v>663938.01</v>
      </c>
      <c r="AU66" s="333">
        <f t="shared" si="3"/>
        <v>34034</v>
      </c>
      <c r="AV66" s="333">
        <f t="shared" si="3"/>
        <v>3069967.5500000007</v>
      </c>
      <c r="AW66" s="334">
        <f t="shared" si="3"/>
        <v>661131.9</v>
      </c>
      <c r="AX66" s="335"/>
      <c r="AY66" s="336">
        <f>SUM(AY39:AY65)</f>
        <v>48797720.010000013</v>
      </c>
    </row>
    <row r="67" spans="1:51" ht="15.75" thickTop="1" x14ac:dyDescent="0.25">
      <c r="A67" s="312"/>
      <c r="B67" s="322"/>
      <c r="C67" s="323"/>
      <c r="D67" s="323"/>
      <c r="E67" s="324"/>
      <c r="F67" s="322"/>
      <c r="G67" s="323"/>
      <c r="H67" s="323"/>
      <c r="I67" s="324"/>
      <c r="J67" s="322"/>
      <c r="K67" s="323"/>
      <c r="L67" s="323"/>
      <c r="M67" s="324"/>
      <c r="N67" s="322"/>
      <c r="O67" s="323"/>
      <c r="P67" s="323"/>
      <c r="Q67" s="324"/>
      <c r="R67" s="322"/>
      <c r="S67" s="323"/>
      <c r="T67" s="323"/>
      <c r="U67" s="324"/>
      <c r="V67" s="322"/>
      <c r="W67" s="323"/>
      <c r="X67" s="323"/>
      <c r="Y67" s="324"/>
      <c r="Z67" s="325"/>
      <c r="AA67" s="326"/>
      <c r="AB67" s="326"/>
      <c r="AC67" s="327"/>
      <c r="AD67" s="325"/>
      <c r="AE67" s="326"/>
      <c r="AF67" s="326"/>
      <c r="AG67" s="327"/>
      <c r="AH67" s="325"/>
      <c r="AI67" s="326"/>
      <c r="AJ67" s="326"/>
      <c r="AK67" s="327"/>
      <c r="AL67" s="325"/>
      <c r="AM67" s="326"/>
      <c r="AN67" s="326"/>
      <c r="AO67" s="327"/>
      <c r="AP67" s="325"/>
      <c r="AQ67" s="326"/>
      <c r="AR67" s="326"/>
      <c r="AS67" s="327"/>
      <c r="AT67" s="325"/>
      <c r="AU67" s="326"/>
      <c r="AV67" s="326"/>
      <c r="AW67" s="327"/>
      <c r="AX67" s="256"/>
      <c r="AY67" s="328">
        <f>SUM(B67:AW67)</f>
        <v>0</v>
      </c>
    </row>
    <row r="68" spans="1:51" x14ac:dyDescent="0.25">
      <c r="A68" s="312"/>
      <c r="B68" s="322"/>
      <c r="C68" s="323"/>
      <c r="D68" s="323"/>
      <c r="E68" s="324"/>
      <c r="F68" s="322"/>
      <c r="G68" s="323"/>
      <c r="H68" s="323"/>
      <c r="I68" s="324"/>
      <c r="J68" s="322"/>
      <c r="K68" s="323"/>
      <c r="L68" s="323"/>
      <c r="M68" s="324"/>
      <c r="N68" s="322"/>
      <c r="O68" s="323"/>
      <c r="P68" s="323"/>
      <c r="Q68" s="324"/>
      <c r="R68" s="322"/>
      <c r="S68" s="323"/>
      <c r="T68" s="323"/>
      <c r="U68" s="324"/>
      <c r="V68" s="322"/>
      <c r="W68" s="323"/>
      <c r="X68" s="323"/>
      <c r="Y68" s="324"/>
      <c r="Z68" s="325"/>
      <c r="AA68" s="326"/>
      <c r="AB68" s="326"/>
      <c r="AC68" s="327"/>
      <c r="AD68" s="325"/>
      <c r="AE68" s="326"/>
      <c r="AF68" s="326"/>
      <c r="AG68" s="327"/>
      <c r="AH68" s="325"/>
      <c r="AI68" s="326"/>
      <c r="AJ68" s="326"/>
      <c r="AK68" s="327"/>
      <c r="AL68" s="325"/>
      <c r="AM68" s="326"/>
      <c r="AN68" s="326"/>
      <c r="AO68" s="327"/>
      <c r="AP68" s="325"/>
      <c r="AQ68" s="326"/>
      <c r="AR68" s="326"/>
      <c r="AS68" s="327"/>
      <c r="AT68" s="325"/>
      <c r="AU68" s="326"/>
      <c r="AV68" s="326"/>
      <c r="AW68" s="327"/>
      <c r="AX68" s="256"/>
      <c r="AY68" s="328">
        <f>SUM(B68:AW68)</f>
        <v>0</v>
      </c>
    </row>
    <row r="69" spans="1:51" x14ac:dyDescent="0.25">
      <c r="A69" s="312"/>
      <c r="B69" s="322"/>
      <c r="C69" s="323"/>
      <c r="D69" s="323"/>
      <c r="E69" s="324"/>
      <c r="F69" s="322"/>
      <c r="G69" s="323"/>
      <c r="H69" s="323"/>
      <c r="I69" s="324"/>
      <c r="J69" s="322"/>
      <c r="K69" s="323"/>
      <c r="L69" s="323"/>
      <c r="M69" s="324"/>
      <c r="N69" s="322"/>
      <c r="O69" s="323"/>
      <c r="P69" s="323"/>
      <c r="Q69" s="324"/>
      <c r="R69" s="322"/>
      <c r="S69" s="323"/>
      <c r="T69" s="323"/>
      <c r="U69" s="324"/>
      <c r="V69" s="322"/>
      <c r="W69" s="323"/>
      <c r="X69" s="323"/>
      <c r="Y69" s="324"/>
      <c r="Z69" s="325"/>
      <c r="AA69" s="326"/>
      <c r="AB69" s="326"/>
      <c r="AC69" s="327"/>
      <c r="AD69" s="325"/>
      <c r="AE69" s="326"/>
      <c r="AF69" s="326"/>
      <c r="AG69" s="327"/>
      <c r="AH69" s="325"/>
      <c r="AI69" s="326"/>
      <c r="AJ69" s="326"/>
      <c r="AK69" s="327"/>
      <c r="AL69" s="325"/>
      <c r="AM69" s="326"/>
      <c r="AN69" s="326"/>
      <c r="AO69" s="327"/>
      <c r="AP69" s="325"/>
      <c r="AQ69" s="326"/>
      <c r="AR69" s="326"/>
      <c r="AS69" s="327"/>
      <c r="AT69" s="325"/>
      <c r="AU69" s="326"/>
      <c r="AV69" s="326"/>
      <c r="AW69" s="327"/>
      <c r="AX69" s="256"/>
      <c r="AY69" s="328">
        <f>SUM(B69:AW69)</f>
        <v>0</v>
      </c>
    </row>
    <row r="70" spans="1:51" x14ac:dyDescent="0.25">
      <c r="A70" s="312"/>
      <c r="B70" s="322"/>
      <c r="C70" s="323"/>
      <c r="D70" s="323"/>
      <c r="E70" s="324"/>
      <c r="F70" s="322"/>
      <c r="G70" s="323"/>
      <c r="H70" s="323"/>
      <c r="I70" s="324"/>
      <c r="J70" s="322"/>
      <c r="K70" s="323"/>
      <c r="L70" s="323"/>
      <c r="M70" s="324"/>
      <c r="N70" s="322"/>
      <c r="O70" s="323"/>
      <c r="P70" s="323"/>
      <c r="Q70" s="324"/>
      <c r="R70" s="322"/>
      <c r="S70" s="323"/>
      <c r="T70" s="323"/>
      <c r="U70" s="324"/>
      <c r="V70" s="322"/>
      <c r="W70" s="323"/>
      <c r="X70" s="323"/>
      <c r="Y70" s="324"/>
      <c r="Z70" s="325"/>
      <c r="AA70" s="326"/>
      <c r="AB70" s="326"/>
      <c r="AC70" s="327"/>
      <c r="AD70" s="325"/>
      <c r="AE70" s="326"/>
      <c r="AF70" s="326"/>
      <c r="AG70" s="327"/>
      <c r="AH70" s="325"/>
      <c r="AI70" s="326"/>
      <c r="AJ70" s="326"/>
      <c r="AK70" s="327"/>
      <c r="AL70" s="325"/>
      <c r="AM70" s="326"/>
      <c r="AN70" s="326"/>
      <c r="AO70" s="327"/>
      <c r="AP70" s="325"/>
      <c r="AQ70" s="326"/>
      <c r="AR70" s="326"/>
      <c r="AS70" s="327"/>
      <c r="AT70" s="325"/>
      <c r="AU70" s="326"/>
      <c r="AV70" s="326"/>
      <c r="AW70" s="327"/>
      <c r="AX70" s="256"/>
      <c r="AY70" s="328">
        <f>SUM(B70:AW70)</f>
        <v>0</v>
      </c>
    </row>
    <row r="71" spans="1:51" ht="15.75" thickBot="1" x14ac:dyDescent="0.3">
      <c r="A71" s="337"/>
      <c r="B71" s="338"/>
      <c r="C71" s="339"/>
      <c r="D71" s="339"/>
      <c r="E71" s="340"/>
      <c r="F71" s="338"/>
      <c r="G71" s="339"/>
      <c r="H71" s="339"/>
      <c r="I71" s="340"/>
      <c r="J71" s="338"/>
      <c r="K71" s="339"/>
      <c r="L71" s="339"/>
      <c r="M71" s="340"/>
      <c r="N71" s="338"/>
      <c r="O71" s="339"/>
      <c r="P71" s="339"/>
      <c r="Q71" s="340"/>
      <c r="R71" s="338"/>
      <c r="S71" s="339"/>
      <c r="T71" s="339"/>
      <c r="U71" s="340"/>
      <c r="V71" s="338"/>
      <c r="W71" s="339"/>
      <c r="X71" s="339"/>
      <c r="Y71" s="340"/>
      <c r="Z71" s="341"/>
      <c r="AA71" s="342"/>
      <c r="AB71" s="342"/>
      <c r="AC71" s="343"/>
      <c r="AD71" s="341"/>
      <c r="AE71" s="342"/>
      <c r="AF71" s="342"/>
      <c r="AG71" s="343"/>
      <c r="AH71" s="341"/>
      <c r="AI71" s="342"/>
      <c r="AJ71" s="342"/>
      <c r="AK71" s="343"/>
      <c r="AL71" s="341"/>
      <c r="AM71" s="342"/>
      <c r="AN71" s="342"/>
      <c r="AO71" s="343"/>
      <c r="AP71" s="341"/>
      <c r="AQ71" s="342"/>
      <c r="AR71" s="342"/>
      <c r="AS71" s="343"/>
      <c r="AT71" s="341"/>
      <c r="AU71" s="342"/>
      <c r="AV71" s="342"/>
      <c r="AW71" s="343"/>
      <c r="AX71" s="257"/>
      <c r="AY71" s="344"/>
    </row>
    <row r="72" spans="1:51" ht="15.75" thickTop="1" x14ac:dyDescent="0.25"/>
    <row r="73" spans="1:51" x14ac:dyDescent="0.25">
      <c r="Z73" s="258">
        <f>Z66/9</f>
        <v>73770.89</v>
      </c>
    </row>
    <row r="76" spans="1:51" x14ac:dyDescent="0.25">
      <c r="B76" s="345" t="s">
        <v>302</v>
      </c>
      <c r="C76" s="346"/>
      <c r="D76" s="347"/>
      <c r="E76" s="348">
        <v>8661.39</v>
      </c>
      <c r="F76" s="350">
        <v>8661.39</v>
      </c>
      <c r="G76" s="351"/>
      <c r="H76" s="22">
        <v>9.7200000000000006</v>
      </c>
      <c r="I76" s="22">
        <v>972.85</v>
      </c>
      <c r="J76" s="22"/>
      <c r="K76" s="348">
        <f>H76*I76</f>
        <v>9456.1020000000008</v>
      </c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</row>
    <row r="77" spans="1:51" x14ac:dyDescent="0.25">
      <c r="B77" s="345" t="s">
        <v>303</v>
      </c>
      <c r="C77" s="346"/>
      <c r="D77" s="347"/>
      <c r="E77" s="348">
        <v>25453.69</v>
      </c>
      <c r="F77" s="350">
        <v>25453.69</v>
      </c>
      <c r="G77" s="351"/>
      <c r="H77" s="22">
        <v>33.46</v>
      </c>
      <c r="I77" s="22">
        <v>830.51</v>
      </c>
      <c r="J77" s="22"/>
      <c r="K77" s="348">
        <f>H77*I77</f>
        <v>27788.864600000001</v>
      </c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</row>
    <row r="78" spans="1:51" x14ac:dyDescent="0.25">
      <c r="B78" s="345" t="s">
        <v>304</v>
      </c>
      <c r="C78" s="346"/>
      <c r="D78" s="347"/>
      <c r="E78" s="348">
        <f>12467.27</f>
        <v>12467.27</v>
      </c>
      <c r="F78" s="350">
        <v>12467.27</v>
      </c>
      <c r="G78" s="351"/>
      <c r="H78" s="22">
        <v>22.31</v>
      </c>
      <c r="I78" s="22">
        <v>610.1</v>
      </c>
      <c r="J78" s="22"/>
      <c r="K78" s="348">
        <f>H78*I78</f>
        <v>13611.331</v>
      </c>
      <c r="L78" s="349">
        <f>SUM(K76:K78)</f>
        <v>50856.297599999998</v>
      </c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</row>
    <row r="79" spans="1:51" x14ac:dyDescent="0.25">
      <c r="B79" s="346" t="s">
        <v>220</v>
      </c>
      <c r="C79" s="346"/>
      <c r="D79" s="347"/>
      <c r="E79" s="348">
        <f>SUM(E76:E78)</f>
        <v>46582.350000000006</v>
      </c>
      <c r="F79" s="350"/>
      <c r="G79" s="351"/>
      <c r="H79" s="22"/>
      <c r="I79" s="22"/>
      <c r="J79" s="22"/>
      <c r="K79" s="348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</row>
    <row r="80" spans="1:51" x14ac:dyDescent="0.25">
      <c r="B80" s="352" t="s">
        <v>305</v>
      </c>
      <c r="C80" s="346">
        <v>695.2</v>
      </c>
      <c r="D80" s="347">
        <v>145</v>
      </c>
      <c r="E80" s="348">
        <f>C80*D80</f>
        <v>100804</v>
      </c>
      <c r="F80" s="350">
        <v>80469.399999999994</v>
      </c>
      <c r="G80" s="351"/>
      <c r="H80" s="22">
        <v>145</v>
      </c>
      <c r="I80" s="22">
        <v>758.98</v>
      </c>
      <c r="J80" s="22"/>
      <c r="K80" s="348">
        <f>H80*I80</f>
        <v>110052.1</v>
      </c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</row>
    <row r="81" spans="2:23" x14ac:dyDescent="0.25">
      <c r="B81" s="352" t="s">
        <v>306</v>
      </c>
      <c r="C81" s="346">
        <v>459.15</v>
      </c>
      <c r="D81" s="347">
        <v>145</v>
      </c>
      <c r="E81" s="348">
        <f>C81*D81</f>
        <v>66576.75</v>
      </c>
      <c r="F81" s="350">
        <v>57393.75</v>
      </c>
      <c r="G81" s="351"/>
      <c r="H81" s="22">
        <v>145</v>
      </c>
      <c r="I81" s="22">
        <v>501.27</v>
      </c>
      <c r="J81" s="22"/>
      <c r="K81" s="348">
        <f>H81*I81</f>
        <v>72684.149999999994</v>
      </c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</row>
    <row r="82" spans="2:23" x14ac:dyDescent="0.25">
      <c r="B82" s="352" t="s">
        <v>307</v>
      </c>
      <c r="C82" s="346">
        <v>337.42</v>
      </c>
      <c r="D82" s="347">
        <v>145</v>
      </c>
      <c r="E82" s="348">
        <f>C82*D82</f>
        <v>48925.9</v>
      </c>
      <c r="F82" s="350">
        <v>38408.519999999997</v>
      </c>
      <c r="G82" s="351"/>
      <c r="H82" s="22">
        <v>145</v>
      </c>
      <c r="I82" s="22">
        <v>368.38</v>
      </c>
      <c r="J82" s="22"/>
      <c r="K82" s="348">
        <f>H82*I82</f>
        <v>53415.1</v>
      </c>
      <c r="L82" s="349">
        <f>SUM(K80:K82)</f>
        <v>236151.35</v>
      </c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</row>
    <row r="83" spans="2:23" x14ac:dyDescent="0.25">
      <c r="E83" s="258">
        <f>SUM(E80:E82)</f>
        <v>216306.65</v>
      </c>
    </row>
  </sheetData>
  <mergeCells count="24">
    <mergeCell ref="AT37:AW37"/>
    <mergeCell ref="B37:E37"/>
    <mergeCell ref="F37:I37"/>
    <mergeCell ref="J37:M37"/>
    <mergeCell ref="N37:Q37"/>
    <mergeCell ref="R37:U37"/>
    <mergeCell ref="V37:Y37"/>
    <mergeCell ref="Z37:AC37"/>
    <mergeCell ref="AD37:AG37"/>
    <mergeCell ref="AH37:AK37"/>
    <mergeCell ref="AL37:AO37"/>
    <mergeCell ref="AP37:AS37"/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</mergeCells>
  <pageMargins left="0" right="0" top="0" bottom="0" header="0" footer="0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Plantcare income</vt:lpstr>
      <vt:lpstr>IT income</vt:lpstr>
      <vt:lpstr>RDI</vt:lpstr>
      <vt:lpstr>lo km bcea leave</vt:lpstr>
      <vt:lpstr>Oortyd</vt:lpstr>
      <vt:lpstr>Salarisse soos April na verhogi</vt:lpstr>
      <vt:lpstr>Salarisse ou begroting</vt:lpstr>
      <vt:lpstr>STASIE BEGROTING</vt:lpstr>
      <vt:lpstr>'IT income'!Print_Area</vt:lpstr>
      <vt:lpstr>'Plantcare income'!Print_Area</vt:lpstr>
      <vt:lpstr>RDI!Print_Area</vt:lpstr>
      <vt:lpstr>'Salarisse ou begroting'!Print_Area</vt:lpstr>
      <vt:lpstr>'STASIE BEGROTING'!Print_Area</vt:lpstr>
      <vt:lpstr>'Plantcare income'!Print_Titles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Riaan</dc:creator>
  <cp:lastModifiedBy>LocalAdmin</cp:lastModifiedBy>
  <cp:lastPrinted>2016-07-27T06:11:15Z</cp:lastPrinted>
  <dcterms:created xsi:type="dcterms:W3CDTF">2010-01-19T18:27:48Z</dcterms:created>
  <dcterms:modified xsi:type="dcterms:W3CDTF">2016-08-05T10:55:12Z</dcterms:modified>
</cp:coreProperties>
</file>