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tables/table2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ables/table33.xml" ContentType="application/vnd.openxmlformats-officedocument.spreadsheetml.table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tables/table34.xml" ContentType="application/vnd.openxmlformats-officedocument.spreadsheetml.table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fabia\OneDrive\"/>
    </mc:Choice>
  </mc:AlternateContent>
  <xr:revisionPtr revIDLastSave="0" documentId="13_ncr:1_{4E89C36C-25D0-4246-9104-0BD421D25746}" xr6:coauthVersionLast="47" xr6:coauthVersionMax="47" xr10:uidLastSave="{00000000-0000-0000-0000-000000000000}"/>
  <bookViews>
    <workbookView xWindow="-110" yWindow="-110" windowWidth="25820" windowHeight="14620" xr2:uid="{DBC82F3D-AA9B-4606-A3F0-798707E06727}"/>
  </bookViews>
  <sheets>
    <sheet name="Labor Solarkollektormessung" sheetId="19" r:id="rId1"/>
    <sheet name="csp Assuna" sheetId="12" r:id="rId2"/>
    <sheet name="Sample" sheetId="1" r:id="rId3"/>
    <sheet name="Asuna PV 200" sheetId="5" r:id="rId4"/>
    <sheet name="Asuna PV  100" sheetId="4" r:id="rId5"/>
    <sheet name="Asuna PV 50" sheetId="3" r:id="rId6"/>
    <sheet name="Asuna PV 10" sheetId="6" r:id="rId7"/>
    <sheet name="Dodge_city" sheetId="7" r:id="rId8"/>
    <sheet name="San_Diego" sheetId="8" r:id="rId9"/>
    <sheet name="WP Veruch" sheetId="16" r:id="rId10"/>
    <sheet name="Solarkollektormessung" sheetId="18" state="hidden" r:id="rId11"/>
    <sheet name="Madinat Zayed_CSP" sheetId="11" r:id="rId12"/>
    <sheet name="Madinat Zayed" sheetId="10" r:id="rId13"/>
    <sheet name="Finanzierungsmodelle (2)" sheetId="15" r:id="rId14"/>
    <sheet name="Finanzierungsmodelle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9" l="1"/>
  <c r="E53" i="19"/>
  <c r="F53" i="19"/>
  <c r="G53" i="19"/>
  <c r="C53" i="19"/>
  <c r="D52" i="19"/>
  <c r="E52" i="19"/>
  <c r="F52" i="19"/>
  <c r="G52" i="19"/>
  <c r="C52" i="19"/>
  <c r="K36" i="19"/>
  <c r="C36" i="19"/>
  <c r="D35" i="19"/>
  <c r="D36" i="19" s="1"/>
  <c r="E35" i="19"/>
  <c r="E36" i="19" s="1"/>
  <c r="F35" i="19"/>
  <c r="F36" i="19" s="1"/>
  <c r="G35" i="19"/>
  <c r="G36" i="19" s="1"/>
  <c r="H35" i="19"/>
  <c r="H36" i="19" s="1"/>
  <c r="I35" i="19"/>
  <c r="I36" i="19" s="1"/>
  <c r="J35" i="19"/>
  <c r="J36" i="19" s="1"/>
  <c r="K35" i="19"/>
  <c r="C35" i="19"/>
  <c r="D17" i="19"/>
  <c r="D18" i="19" s="1"/>
  <c r="E17" i="19"/>
  <c r="E18" i="19" s="1"/>
  <c r="F17" i="19"/>
  <c r="F18" i="19" s="1"/>
  <c r="G17" i="19"/>
  <c r="G18" i="19" s="1"/>
  <c r="H17" i="19"/>
  <c r="H18" i="19" s="1"/>
  <c r="I17" i="19"/>
  <c r="I18" i="19" s="1"/>
  <c r="J17" i="19"/>
  <c r="J18" i="19" s="1"/>
  <c r="K17" i="19"/>
  <c r="K18" i="19" s="1"/>
  <c r="L17" i="19"/>
  <c r="L18" i="19" s="1"/>
  <c r="C17" i="19"/>
  <c r="C18" i="19" s="1"/>
  <c r="C11" i="19"/>
  <c r="D21" i="19"/>
  <c r="E21" i="19"/>
  <c r="F21" i="19"/>
  <c r="G21" i="19"/>
  <c r="H21" i="19"/>
  <c r="I21" i="19"/>
  <c r="J21" i="19"/>
  <c r="K21" i="19"/>
  <c r="L21" i="19"/>
  <c r="C56" i="19"/>
  <c r="D56" i="19"/>
  <c r="E56" i="19"/>
  <c r="F56" i="19"/>
  <c r="G56" i="19"/>
  <c r="H56" i="19"/>
  <c r="I56" i="19"/>
  <c r="J56" i="19"/>
  <c r="K56" i="19"/>
  <c r="L56" i="19"/>
  <c r="C39" i="19"/>
  <c r="D39" i="19"/>
  <c r="E39" i="19"/>
  <c r="F39" i="19"/>
  <c r="G39" i="19"/>
  <c r="H39" i="19"/>
  <c r="I39" i="19"/>
  <c r="J39" i="19"/>
  <c r="K39" i="19"/>
  <c r="L39" i="19"/>
  <c r="C21" i="19"/>
  <c r="L46" i="19"/>
  <c r="K46" i="19"/>
  <c r="J46" i="19"/>
  <c r="J57" i="19" s="1"/>
  <c r="I46" i="19"/>
  <c r="I57" i="19" s="1"/>
  <c r="H46" i="19"/>
  <c r="H57" i="19" s="1"/>
  <c r="G46" i="19"/>
  <c r="F46" i="19"/>
  <c r="E46" i="19"/>
  <c r="D46" i="19"/>
  <c r="C46" i="19"/>
  <c r="L29" i="19"/>
  <c r="K29" i="19"/>
  <c r="J29" i="19"/>
  <c r="I29" i="19"/>
  <c r="I40" i="19" s="1"/>
  <c r="I41" i="19" s="1"/>
  <c r="H29" i="19"/>
  <c r="H40" i="19" s="1"/>
  <c r="H41" i="19" s="1"/>
  <c r="G29" i="19"/>
  <c r="G40" i="19" s="1"/>
  <c r="G41" i="19" s="1"/>
  <c r="F29" i="19"/>
  <c r="F40" i="19" s="1"/>
  <c r="F41" i="19" s="1"/>
  <c r="E29" i="19"/>
  <c r="E40" i="19" s="1"/>
  <c r="E41" i="19" s="1"/>
  <c r="D29" i="19"/>
  <c r="C29" i="19"/>
  <c r="D11" i="19"/>
  <c r="D22" i="19" s="1"/>
  <c r="D23" i="19" s="1"/>
  <c r="E11" i="19"/>
  <c r="F11" i="19"/>
  <c r="G11" i="19"/>
  <c r="G22" i="19" s="1"/>
  <c r="G23" i="19" s="1"/>
  <c r="H11" i="19"/>
  <c r="H22" i="19" s="1"/>
  <c r="H23" i="19" s="1"/>
  <c r="I11" i="19"/>
  <c r="J11" i="19"/>
  <c r="J22" i="19" s="1"/>
  <c r="J23" i="19" s="1"/>
  <c r="K11" i="19"/>
  <c r="K22" i="19" s="1"/>
  <c r="K23" i="19" s="1"/>
  <c r="L11" i="19"/>
  <c r="L22" i="19" s="1"/>
  <c r="L23" i="19" s="1"/>
  <c r="AE8" i="16"/>
  <c r="AC8" i="16"/>
  <c r="AB8" i="16"/>
  <c r="AA8" i="16"/>
  <c r="N5" i="16"/>
  <c r="AK12" i="16"/>
  <c r="L11" i="16"/>
  <c r="M2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7" i="16"/>
  <c r="J6" i="16"/>
  <c r="H7" i="16"/>
  <c r="H6" i="16"/>
  <c r="I7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AD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D65" i="16"/>
  <c r="AC65" i="16"/>
  <c r="AB65" i="16"/>
  <c r="AI65" i="16"/>
  <c r="AE65" i="16"/>
  <c r="AF65" i="16"/>
  <c r="AG65" i="16"/>
  <c r="AH65" i="16"/>
  <c r="AJ65" i="16"/>
  <c r="AK65" i="16"/>
  <c r="AL65" i="16"/>
  <c r="AM65" i="16"/>
  <c r="AN65" i="16"/>
  <c r="AO65" i="16"/>
  <c r="AP65" i="16"/>
  <c r="AQ65" i="16"/>
  <c r="AR65" i="16"/>
  <c r="AS65" i="16"/>
  <c r="AT65" i="16"/>
  <c r="AA11" i="16"/>
  <c r="AA28" i="16"/>
  <c r="D6" i="13"/>
  <c r="D6" i="15"/>
  <c r="G4" i="13"/>
  <c r="Y11" i="15"/>
  <c r="E11" i="15"/>
  <c r="E12" i="15"/>
  <c r="G4" i="15"/>
  <c r="E12" i="13"/>
  <c r="Y11" i="13"/>
  <c r="E11" i="13"/>
  <c r="D7" i="12"/>
  <c r="D21" i="12"/>
  <c r="F21" i="12"/>
  <c r="D8" i="12"/>
  <c r="D18" i="12"/>
  <c r="D19" i="12"/>
  <c r="F10" i="12"/>
  <c r="D18" i="11"/>
  <c r="D19" i="11"/>
  <c r="F10" i="11"/>
  <c r="D19" i="10"/>
  <c r="D22" i="10"/>
  <c r="D18" i="10"/>
  <c r="F10" i="10"/>
  <c r="D18" i="8"/>
  <c r="D19" i="8"/>
  <c r="D21" i="8"/>
  <c r="F21" i="8"/>
  <c r="F10" i="8"/>
  <c r="D8" i="7"/>
  <c r="D18" i="7"/>
  <c r="D19" i="7"/>
  <c r="F10" i="7"/>
  <c r="W11" i="1"/>
  <c r="W12" i="1"/>
  <c r="W13" i="1"/>
  <c r="W10" i="1"/>
  <c r="F21" i="3"/>
  <c r="D18" i="6"/>
  <c r="D19" i="6"/>
  <c r="F10" i="6"/>
  <c r="D8" i="6"/>
  <c r="D7" i="6"/>
  <c r="D21" i="6"/>
  <c r="F21" i="6"/>
  <c r="D8" i="5"/>
  <c r="D7" i="5"/>
  <c r="D8" i="4"/>
  <c r="D7" i="4"/>
  <c r="D7" i="1"/>
  <c r="D8" i="3"/>
  <c r="D7" i="3"/>
  <c r="D18" i="5"/>
  <c r="D19" i="5"/>
  <c r="F10" i="5"/>
  <c r="D21" i="5"/>
  <c r="F21" i="5"/>
  <c r="D18" i="4"/>
  <c r="D19" i="4"/>
  <c r="F10" i="4"/>
  <c r="D21" i="4"/>
  <c r="F21" i="4"/>
  <c r="D18" i="3"/>
  <c r="D19" i="3"/>
  <c r="F10" i="3"/>
  <c r="D21" i="3"/>
  <c r="D8" i="1"/>
  <c r="D18" i="1"/>
  <c r="D19" i="1"/>
  <c r="D21" i="1"/>
  <c r="F10" i="1"/>
  <c r="S11" i="15"/>
  <c r="O11" i="15"/>
  <c r="N11" i="15"/>
  <c r="M11" i="15"/>
  <c r="L11" i="15"/>
  <c r="W11" i="15"/>
  <c r="T11" i="15"/>
  <c r="P11" i="15"/>
  <c r="K11" i="15"/>
  <c r="Q11" i="15"/>
  <c r="G11" i="15"/>
  <c r="V11" i="15"/>
  <c r="R11" i="15"/>
  <c r="F11" i="15"/>
  <c r="H12" i="15"/>
  <c r="F12" i="15"/>
  <c r="J11" i="15"/>
  <c r="I11" i="15"/>
  <c r="X11" i="15"/>
  <c r="H11" i="15"/>
  <c r="U11" i="15"/>
  <c r="F12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X11" i="13"/>
  <c r="W11" i="13"/>
  <c r="V11" i="13"/>
  <c r="U11" i="13"/>
  <c r="D22" i="12"/>
  <c r="D20" i="12"/>
  <c r="D22" i="11"/>
  <c r="D21" i="11"/>
  <c r="F21" i="11"/>
  <c r="D20" i="11"/>
  <c r="D20" i="10"/>
  <c r="D21" i="10"/>
  <c r="F21" i="10"/>
  <c r="D22" i="8"/>
  <c r="D20" i="8"/>
  <c r="D22" i="7"/>
  <c r="D21" i="7"/>
  <c r="F21" i="7"/>
  <c r="D20" i="7"/>
  <c r="D22" i="6"/>
  <c r="D20" i="6"/>
  <c r="D22" i="5"/>
  <c r="D20" i="5"/>
  <c r="D22" i="4"/>
  <c r="D20" i="4"/>
  <c r="D22" i="3"/>
  <c r="D20" i="3"/>
  <c r="D20" i="1"/>
  <c r="D22" i="1"/>
  <c r="F21" i="1"/>
  <c r="H12" i="13"/>
  <c r="I12" i="15"/>
  <c r="U12" i="15"/>
  <c r="X12" i="15"/>
  <c r="P12" i="15"/>
  <c r="J12" i="15"/>
  <c r="G12" i="15"/>
  <c r="V12" i="15"/>
  <c r="W12" i="15"/>
  <c r="S12" i="15"/>
  <c r="R12" i="15"/>
  <c r="K12" i="15"/>
  <c r="L12" i="15"/>
  <c r="O12" i="15"/>
  <c r="Q12" i="15"/>
  <c r="M12" i="15"/>
  <c r="J12" i="13"/>
  <c r="M12" i="13"/>
  <c r="G12" i="13"/>
  <c r="K12" i="13"/>
  <c r="S12" i="13"/>
  <c r="P12" i="13"/>
  <c r="Q12" i="13"/>
  <c r="W12" i="13"/>
  <c r="T12" i="13"/>
  <c r="V12" i="13"/>
  <c r="X12" i="13"/>
  <c r="U12" i="13"/>
  <c r="R12" i="13"/>
  <c r="N12" i="13"/>
  <c r="O12" i="13"/>
  <c r="L12" i="13"/>
  <c r="I12" i="13"/>
  <c r="Y12" i="13"/>
  <c r="S13" i="13"/>
  <c r="S14" i="13"/>
  <c r="V13" i="13"/>
  <c r="V14" i="13"/>
  <c r="O13" i="13"/>
  <c r="O14" i="13"/>
  <c r="P13" i="13"/>
  <c r="P14" i="13"/>
  <c r="G13" i="13"/>
  <c r="G14" i="13"/>
  <c r="N13" i="13"/>
  <c r="N14" i="13"/>
  <c r="M13" i="13"/>
  <c r="M14" i="13"/>
  <c r="X13" i="13"/>
  <c r="X14" i="13"/>
  <c r="H13" i="13"/>
  <c r="H14" i="13"/>
  <c r="E13" i="13"/>
  <c r="E14" i="13"/>
  <c r="J13" i="13"/>
  <c r="J14" i="13"/>
  <c r="R13" i="13"/>
  <c r="R14" i="13"/>
  <c r="U13" i="13"/>
  <c r="U14" i="13"/>
  <c r="W13" i="13"/>
  <c r="W14" i="13"/>
  <c r="T13" i="13"/>
  <c r="T14" i="13"/>
  <c r="Q13" i="13"/>
  <c r="Q14" i="13"/>
  <c r="L13" i="13"/>
  <c r="L14" i="13"/>
  <c r="F13" i="13"/>
  <c r="F14" i="13"/>
  <c r="I13" i="13"/>
  <c r="I14" i="13"/>
  <c r="K13" i="13"/>
  <c r="K14" i="13"/>
  <c r="Y14" i="13"/>
  <c r="Y13" i="13"/>
  <c r="T12" i="15"/>
  <c r="N12" i="15"/>
  <c r="Y12" i="15"/>
  <c r="I8" i="16"/>
  <c r="I6" i="16"/>
  <c r="I9" i="16"/>
  <c r="I10" i="16"/>
  <c r="K6" i="16"/>
  <c r="L6" i="16"/>
  <c r="K8" i="16"/>
  <c r="L8" i="16"/>
  <c r="K7" i="16"/>
  <c r="L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B67" i="16"/>
  <c r="AA67" i="16"/>
  <c r="K13" i="15"/>
  <c r="K14" i="15"/>
  <c r="L13" i="15"/>
  <c r="L14" i="15"/>
  <c r="M13" i="15"/>
  <c r="M14" i="15"/>
  <c r="V13" i="15"/>
  <c r="V14" i="15"/>
  <c r="W13" i="15"/>
  <c r="W14" i="15"/>
  <c r="N13" i="15"/>
  <c r="N14" i="15"/>
  <c r="R13" i="15"/>
  <c r="R14" i="15"/>
  <c r="E13" i="15"/>
  <c r="J13" i="15"/>
  <c r="J14" i="15"/>
  <c r="O13" i="15"/>
  <c r="O14" i="15"/>
  <c r="T13" i="15"/>
  <c r="T14" i="15"/>
  <c r="H13" i="15"/>
  <c r="H14" i="15"/>
  <c r="P13" i="15"/>
  <c r="P14" i="15"/>
  <c r="Q13" i="15"/>
  <c r="Q14" i="15"/>
  <c r="S13" i="15"/>
  <c r="S14" i="15"/>
  <c r="U13" i="15"/>
  <c r="U14" i="15"/>
  <c r="F13" i="15"/>
  <c r="F14" i="15"/>
  <c r="G13" i="15"/>
  <c r="G14" i="15"/>
  <c r="X13" i="15"/>
  <c r="X14" i="15"/>
  <c r="I13" i="15"/>
  <c r="I14" i="15"/>
  <c r="I11" i="16"/>
  <c r="K10" i="16"/>
  <c r="L10" i="16"/>
  <c r="K9" i="16"/>
  <c r="L9" i="16"/>
  <c r="Y13" i="15"/>
  <c r="E14" i="15"/>
  <c r="Y14" i="15"/>
  <c r="I12" i="16"/>
  <c r="K11" i="16"/>
  <c r="I13" i="16"/>
  <c r="K12" i="16"/>
  <c r="L12" i="16"/>
  <c r="K13" i="16"/>
  <c r="L13" i="16"/>
  <c r="I14" i="16"/>
  <c r="I15" i="16"/>
  <c r="K14" i="16"/>
  <c r="L14" i="16"/>
  <c r="I16" i="16"/>
  <c r="K15" i="16"/>
  <c r="L15" i="16"/>
  <c r="I17" i="16"/>
  <c r="K16" i="16"/>
  <c r="L16" i="16"/>
  <c r="I18" i="16"/>
  <c r="K17" i="16"/>
  <c r="L17" i="16"/>
  <c r="I19" i="16"/>
  <c r="K18" i="16"/>
  <c r="L18" i="16"/>
  <c r="I20" i="16"/>
  <c r="K19" i="16"/>
  <c r="L19" i="16"/>
  <c r="K20" i="16"/>
  <c r="L20" i="16"/>
  <c r="I21" i="16"/>
  <c r="I22" i="16"/>
  <c r="K21" i="16"/>
  <c r="L21" i="16"/>
  <c r="K22" i="16"/>
  <c r="L22" i="16"/>
  <c r="I23" i="16"/>
  <c r="I24" i="16"/>
  <c r="K23" i="16"/>
  <c r="L23" i="16"/>
  <c r="I25" i="16"/>
  <c r="K25" i="16"/>
  <c r="L25" i="16"/>
  <c r="K24" i="16"/>
  <c r="L24" i="16"/>
  <c r="I22" i="19" l="1"/>
  <c r="I23" i="19" s="1"/>
  <c r="J40" i="19"/>
  <c r="J41" i="19" s="1"/>
  <c r="F22" i="19"/>
  <c r="F23" i="19" s="1"/>
  <c r="F57" i="19"/>
  <c r="F58" i="19" s="1"/>
  <c r="E22" i="19"/>
  <c r="E23" i="19" s="1"/>
  <c r="G57" i="19"/>
  <c r="G58" i="19" s="1"/>
  <c r="K40" i="19"/>
  <c r="K41" i="19" s="1"/>
  <c r="C40" i="19"/>
  <c r="C41" i="19" s="1"/>
  <c r="D40" i="19"/>
  <c r="D41" i="19" s="1"/>
  <c r="K57" i="19"/>
  <c r="L57" i="19"/>
  <c r="L40" i="19"/>
  <c r="C57" i="19"/>
  <c r="C58" i="19" s="1"/>
  <c r="D57" i="19"/>
  <c r="D58" i="19" s="1"/>
  <c r="E57" i="19"/>
  <c r="E58" i="19" s="1"/>
  <c r="C22" i="19"/>
  <c r="C23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tc={A8C93898-B293-46D9-AC41-4BD666AB6B88}</author>
  </authors>
  <commentList>
    <comment ref="D9" authorId="0" shapeId="0" xr:uid="{A8C93898-B293-46D9-AC41-4BD666AB6B8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tc={36E8695C-D5AB-4861-8A91-97BE897C84E2}</author>
  </authors>
  <commentList>
    <comment ref="D9" authorId="0" shapeId="0" xr:uid="{36E8695C-D5AB-4861-8A91-97BE897C84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tc={DC86688D-8216-4674-AA0C-148FD3C7DACF}</author>
    <author>tc={8EAE8324-BAEE-478E-B45C-3E8119FF14EC}</author>
  </authors>
  <commentList>
    <comment ref="D4" authorId="0" shapeId="0" xr:uid="{DC86688D-8216-4674-AA0C-148FD3C7DACF}">
      <text>
        <t>[Threaded comment]
Your version of Excel allows you to read this threaded comment; however, any edits to it will get removed if the file is opened in a newer version of Excel. Learn more: https://go.microsoft.com/fwlink/?linkid=870924
Comment:
    CAPEX *80%</t>
      </text>
    </comment>
    <comment ref="D6" authorId="1" shapeId="0" xr:uid="{8EAE8324-BAEE-478E-B45C-3E8119FF14EC}">
      <text>
        <t>[Threaded comment]
Your version of Excel allows you to read this threaded comment; however, any edits to it will get removed if the file is opened in a newer version of Excel. Learn more: https://go.microsoft.com/fwlink/?linkid=870924
Comment:
    Energy Yield * LCOE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tc={9730D5A4-CCF1-4043-A015-4CB2444250B0}</author>
    <author>tc={DF1A7938-20FF-422C-A32E-34A25E50285F}</author>
  </authors>
  <commentList>
    <comment ref="D4" authorId="0" shapeId="0" xr:uid="{9730D5A4-CCF1-4043-A015-4CB2444250B0}">
      <text>
        <t>[Threaded comment]
Your version of Excel allows you to read this threaded comment; however, any edits to it will get removed if the file is opened in a newer version of Excel. Learn more: https://go.microsoft.com/fwlink/?linkid=870924
Comment:
    CAPEX *80%</t>
      </text>
    </comment>
    <comment ref="D6" authorId="1" shapeId="0" xr:uid="{DF1A7938-20FF-422C-A32E-34A25E50285F}">
      <text>
        <t>[Threaded comment]
Your version of Excel allows you to read this threaded comment; however, any edits to it will get removed if the file is opened in a newer version of Excel. Learn more: https://go.microsoft.com/fwlink/?linkid=870924
Comment:
    Energy Yield * LCOE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tc={9ED40AF6-4912-482A-9F58-C51D9E1D5395}</author>
  </authors>
  <commentList>
    <comment ref="D9" authorId="0" shapeId="0" xr:uid="{9ED40AF6-4912-482A-9F58-C51D9E1D53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tc={A0E30EE1-A7FB-4D17-852D-9E14ED9693C0}</author>
  </authors>
  <commentList>
    <comment ref="D9" authorId="0" shapeId="0" xr:uid="{A0E30EE1-A7FB-4D17-852D-9E14ED9693C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tc={5D973DAF-FA7F-4268-81AD-A72552A8720B}</author>
  </authors>
  <commentList>
    <comment ref="D9" authorId="0" shapeId="0" xr:uid="{5D973DAF-FA7F-4268-81AD-A72552A8720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tc={14DE7FEB-379A-4D25-8F39-644AE8C6E41F}</author>
  </authors>
  <commentList>
    <comment ref="D9" authorId="0" shapeId="0" xr:uid="{14DE7FEB-379A-4D25-8F39-644AE8C6E41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tc={0C8E531C-3654-4472-B80A-10BB7B333276}</author>
  </authors>
  <commentList>
    <comment ref="D9" authorId="0" shapeId="0" xr:uid="{0C8E531C-3654-4472-B80A-10BB7B33327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tc={3394769F-9FBA-488F-B3B2-D2F1F5F4BCF3}</author>
  </authors>
  <commentList>
    <comment ref="D9" authorId="0" shapeId="0" xr:uid="{3394769F-9FBA-488F-B3B2-D2F1F5F4BCF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tc={29377010-6142-47EF-A721-A759C223801D}</author>
  </authors>
  <commentList>
    <comment ref="D9" authorId="0" shapeId="0" xr:uid="{29377010-6142-47EF-A721-A759C223801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tc={FE66EBBE-F80F-48E2-BE0D-6B724758B2F8}</author>
  </authors>
  <commentList>
    <comment ref="D9" authorId="0" shapeId="0" xr:uid="{FE66EBBE-F80F-48E2-BE0D-6B724758B2F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https://www.investopedia.com/terms/r/returnonequity.asp</t>
      </text>
    </comment>
  </commentList>
</comments>
</file>

<file path=xl/sharedStrings.xml><?xml version="1.0" encoding="utf-8"?>
<sst xmlns="http://schemas.openxmlformats.org/spreadsheetml/2006/main" count="518" uniqueCount="134">
  <si>
    <t xml:space="preserve">Wirkungsgrad allg.= </t>
  </si>
  <si>
    <t>Optiche WG - ((ko*dT)+(k1*dT))/E</t>
  </si>
  <si>
    <t>Wirkungsgrad=</t>
  </si>
  <si>
    <t>Qpunkt / (Strahlung * Fläche)</t>
  </si>
  <si>
    <t>Qpunkt=</t>
  </si>
  <si>
    <t>m * cp * dT</t>
  </si>
  <si>
    <t>Tmittel=</t>
  </si>
  <si>
    <t>Tin+Tout/2</t>
  </si>
  <si>
    <t>Fläche in  m^2</t>
  </si>
  <si>
    <t>Cp Wasser [kJ/kg K]</t>
  </si>
  <si>
    <t>Messung 1 bei 18°C</t>
  </si>
  <si>
    <t>Massenstrom per 30s [g/30s]</t>
  </si>
  <si>
    <t>Massenstrom [kg/h]</t>
  </si>
  <si>
    <t>Eingangstemperatur [°C]</t>
  </si>
  <si>
    <t>Ausgangstemperatur [°C]</t>
  </si>
  <si>
    <t>Strahlung [W/m²]</t>
  </si>
  <si>
    <t>Umgebungtemperatur [°C]</t>
  </si>
  <si>
    <t>mittlere Kollektortemp.</t>
  </si>
  <si>
    <t>mittlere Kollektortemp.- Umgebung</t>
  </si>
  <si>
    <t>Auswertung Messung 1</t>
  </si>
  <si>
    <t>Strahlungsdurchschnitt</t>
  </si>
  <si>
    <t>dT (Ausgang - Eingang) [K]</t>
  </si>
  <si>
    <t>Q Wärmestrom [Watt]</t>
  </si>
  <si>
    <t>Wirkungsgrad</t>
  </si>
  <si>
    <t>Messung 2 bei 29°C Volumenstrom Niedrig Luft im System!</t>
  </si>
  <si>
    <t>Messung 3 bei 29°C Normaler Volumenstrom</t>
  </si>
  <si>
    <t>CHEAT SHEET Nachhaltige Energiesystem Labor</t>
  </si>
  <si>
    <t>No.</t>
  </si>
  <si>
    <t>Input</t>
  </si>
  <si>
    <t>Value</t>
  </si>
  <si>
    <t>Capital Expenditure/ Investitionkosten (CAPEX)</t>
  </si>
  <si>
    <t>Energie Ertrag/ Energy Harvest [kWh]</t>
  </si>
  <si>
    <t>21000000*0,093</t>
  </si>
  <si>
    <t>Return of Equity (RoE) [decimal p.a]</t>
  </si>
  <si>
    <t>MW</t>
  </si>
  <si>
    <t>EGC</t>
  </si>
  <si>
    <t>Debt Ratio [decimal]</t>
  </si>
  <si>
    <t>Debt/Equity Ratios check:</t>
  </si>
  <si>
    <t>KW</t>
  </si>
  <si>
    <t>€/kwh</t>
  </si>
  <si>
    <t>Equity Ratio [decimal]</t>
  </si>
  <si>
    <t>Debt Rate [% p.a]</t>
  </si>
  <si>
    <t>Depreciation Period/ Laufzeit [jahren]</t>
  </si>
  <si>
    <t>OPEX (O&amp;M) [decimal p.a]</t>
  </si>
  <si>
    <t>EPC [$/kW]</t>
  </si>
  <si>
    <t>Full Load Hour (FLH) [h/a]</t>
  </si>
  <si>
    <t>Output</t>
  </si>
  <si>
    <t>Weighted average cost of capital (WACC)</t>
  </si>
  <si>
    <t>Annuity Rate</t>
  </si>
  <si>
    <t>Annual Capital Cost</t>
  </si>
  <si>
    <t>Electricity Generation Cost (EGC) / LCOE</t>
  </si>
  <si>
    <t>EGC [CENT/kWh]:</t>
  </si>
  <si>
    <t>Electricity Generation Cost (EGC) mit Annual elec. Generation (EPC)</t>
  </si>
  <si>
    <t xml:space="preserve">SM </t>
  </si>
  <si>
    <t>EGC 100MW</t>
  </si>
  <si>
    <t>EGC 200MW</t>
  </si>
  <si>
    <t>neu</t>
  </si>
  <si>
    <t>0.168</t>
  </si>
  <si>
    <t>kw</t>
  </si>
  <si>
    <t>100 MW PV Anlage</t>
  </si>
  <si>
    <t>10 MW PV Anlage</t>
  </si>
  <si>
    <t xml:space="preserve">Inverterzahlen </t>
  </si>
  <si>
    <t>LCOE [cent/kWh]</t>
  </si>
  <si>
    <t>CAPEX [$]</t>
  </si>
  <si>
    <t>EE [kWh]</t>
  </si>
  <si>
    <t>EE [MWh]</t>
  </si>
  <si>
    <t>Neigungswinkel [°]</t>
  </si>
  <si>
    <t>Electricity Generation Cost (EGC) / LCOE [$]</t>
  </si>
  <si>
    <t>Inverterzahlen (DATEN AUS DODGE CITY)</t>
  </si>
  <si>
    <t>FEHLERRECHNUNG</t>
  </si>
  <si>
    <t>Wärmepumpe Versuch des NES LABOR</t>
  </si>
  <si>
    <t>Zeit in min</t>
  </si>
  <si>
    <t>Tumgebung [C]</t>
  </si>
  <si>
    <t>Zeit</t>
  </si>
  <si>
    <t>momentane Pelektrich [kW]</t>
  </si>
  <si>
    <t>Tkalt [C]</t>
  </si>
  <si>
    <t>Twarm[C]</t>
  </si>
  <si>
    <t>Qnutzt = m*c*dT [kJ]</t>
  </si>
  <si>
    <t>Summe der Q [kJ]</t>
  </si>
  <si>
    <t>Summe der Welektrisch in einer Minute (momentane* die vergangene Zeit) [kJ]</t>
  </si>
  <si>
    <t>Leistungszahl (Summe der Q in kJ/Summe der Welektrisch in kJ)</t>
  </si>
  <si>
    <t>Leistungszahl mit rel. Fehler</t>
  </si>
  <si>
    <t>15-minutige Arbeitszahl =</t>
  </si>
  <si>
    <t>Welektrich [kW]</t>
  </si>
  <si>
    <t>Mwasser [kg]</t>
  </si>
  <si>
    <t>1</t>
  </si>
  <si>
    <t>Vwasser [L]</t>
  </si>
  <si>
    <t>2</t>
  </si>
  <si>
    <t>Cpwasser [KJ/Kg K]</t>
  </si>
  <si>
    <t>3</t>
  </si>
  <si>
    <t>rel. Fehler der Q</t>
  </si>
  <si>
    <t>4</t>
  </si>
  <si>
    <t>5</t>
  </si>
  <si>
    <t>6</t>
  </si>
  <si>
    <t>m*cp =</t>
  </si>
  <si>
    <t>7</t>
  </si>
  <si>
    <t>t warm start =</t>
  </si>
  <si>
    <t>8</t>
  </si>
  <si>
    <t>Q = m *c * dT</t>
  </si>
  <si>
    <t>9</t>
  </si>
  <si>
    <t>rel. Fehler Q = sqrt((dQ/dm)²*rel. Fehler der m² + (dQ/dT)²* rel. Fehler der T²)</t>
  </si>
  <si>
    <t>10</t>
  </si>
  <si>
    <t>rel. Fehler der Temperatur</t>
  </si>
  <si>
    <t>11</t>
  </si>
  <si>
    <t>rel. Fehler der Masse (grob)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</si>
  <si>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</si>
  <si>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</si>
  <si>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</si>
  <si>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</si>
  <si>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</si>
  <si>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</si>
  <si>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</si>
  <si>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</si>
  <si>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</si>
  <si>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 xml:space="preserve">15-minutige Arbeitszahl </t>
  </si>
  <si>
    <t>Temp diff</t>
  </si>
  <si>
    <t>Leistungszahl</t>
  </si>
  <si>
    <t>Qpunkt/E*A</t>
  </si>
  <si>
    <t>Qn=</t>
  </si>
  <si>
    <t>m*cp*(Tout-Tin)</t>
  </si>
  <si>
    <t xml:space="preserve">Wirkungsgrad= </t>
  </si>
  <si>
    <t>100 MW CSP Anlage</t>
  </si>
  <si>
    <t>Solar Multiple</t>
  </si>
  <si>
    <t>CHANGE THIS VALUE</t>
  </si>
  <si>
    <t>Total Sum to pay</t>
  </si>
  <si>
    <t>Many years</t>
  </si>
  <si>
    <t>Profit/ year</t>
  </si>
  <si>
    <t>Debt/ year</t>
  </si>
  <si>
    <t>Year</t>
  </si>
  <si>
    <t>TOTAL</t>
  </si>
  <si>
    <t>To pay per year w/o Debt</t>
  </si>
  <si>
    <t xml:space="preserve">Debt </t>
  </si>
  <si>
    <t>Finanzierung w/o Profit</t>
  </si>
  <si>
    <t>Finanzierung 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</si>
</sst>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"/>
    <numFmt numFmtId="165" formatCode="_-[$$-409]* #,##0.00_ ;_-[$$-409]* \-#,##0.00\ ;_-[$$-409]* &quot;-&quot;??_ ;_-@_ "/>
    <numFmt numFmtId="166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</borders>
  <cellStyleXfs count="5">
    <xf numFmtId="0" fontId="0" fillId="0" borderId="0"/>
    <xf numFmtId="44" fontId="5" fillId="0" borderId="0" applyFont="0" applyFill="0" applyBorder="0" applyAlignment="0" applyProtection="0"/>
    <xf numFmtId="0" fontId="6" fillId="9" borderId="0" applyNumberFormat="0" applyBorder="0" applyAlignment="0" applyProtection="0"/>
    <xf numFmtId="0" fontId="8" fillId="13" borderId="10" applyNumberFormat="0" applyAlignment="0" applyProtection="0"/>
    <xf numFmtId="43" fontId="5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2" fontId="0" fillId="0" borderId="0" xfId="0" applyNumberFormat="1"/>
    <xf numFmtId="43" fontId="0" fillId="0" borderId="0" xfId="0" applyNumberFormat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0" borderId="0" xfId="0" applyNumberFormat="1"/>
    <xf numFmtId="164" fontId="0" fillId="4" borderId="4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6" borderId="6" xfId="0" applyFill="1" applyBorder="1" applyAlignment="1">
      <alignment horizontal="center" vertical="center"/>
    </xf>
    <xf numFmtId="0" fontId="0" fillId="6" borderId="7" xfId="0" applyFill="1" applyBorder="1"/>
    <xf numFmtId="2" fontId="0" fillId="6" borderId="9" xfId="0" applyNumberFormat="1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10" borderId="6" xfId="0" applyNumberFormat="1" applyFill="1" applyBorder="1" applyAlignment="1">
      <alignment horizontal="center" vertical="center"/>
    </xf>
    <xf numFmtId="164" fontId="0" fillId="10" borderId="7" xfId="0" applyNumberFormat="1" applyFill="1" applyBorder="1" applyAlignment="1">
      <alignment horizontal="center" vertical="center"/>
    </xf>
    <xf numFmtId="164" fontId="0" fillId="10" borderId="8" xfId="0" applyNumberFormat="1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164" fontId="7" fillId="10" borderId="4" xfId="0" applyNumberFormat="1" applyFont="1" applyFill="1" applyBorder="1" applyAlignment="1">
      <alignment horizontal="center" vertical="center"/>
    </xf>
    <xf numFmtId="164" fontId="7" fillId="10" borderId="8" xfId="0" applyNumberFormat="1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/>
    <xf numFmtId="0" fontId="6" fillId="9" borderId="0" xfId="2"/>
    <xf numFmtId="9" fontId="6" fillId="9" borderId="0" xfId="2" applyNumberFormat="1"/>
    <xf numFmtId="165" fontId="6" fillId="9" borderId="0" xfId="1" applyNumberFormat="1" applyFont="1" applyFill="1"/>
    <xf numFmtId="164" fontId="0" fillId="3" borderId="0" xfId="0" applyNumberFormat="1" applyFill="1"/>
    <xf numFmtId="164" fontId="0" fillId="12" borderId="0" xfId="0" applyNumberFormat="1" applyFill="1"/>
    <xf numFmtId="0" fontId="6" fillId="9" borderId="0" xfId="2" applyAlignment="1">
      <alignment horizontal="left"/>
    </xf>
    <xf numFmtId="0" fontId="8" fillId="13" borderId="10" xfId="3"/>
    <xf numFmtId="0" fontId="8" fillId="13" borderId="0" xfId="3" applyBorder="1"/>
    <xf numFmtId="0" fontId="0" fillId="14" borderId="11" xfId="0" applyFill="1" applyBorder="1"/>
    <xf numFmtId="0" fontId="0" fillId="15" borderId="11" xfId="0" applyFill="1" applyBorder="1"/>
    <xf numFmtId="2" fontId="0" fillId="15" borderId="11" xfId="0" applyNumberFormat="1" applyFill="1" applyBorder="1"/>
    <xf numFmtId="0" fontId="0" fillId="16" borderId="0" xfId="0" applyFill="1"/>
    <xf numFmtId="0" fontId="0" fillId="17" borderId="0" xfId="0" applyFill="1"/>
    <xf numFmtId="0" fontId="0" fillId="0" borderId="12" xfId="0" applyBorder="1"/>
    <xf numFmtId="43" fontId="0" fillId="0" borderId="0" xfId="4" applyFont="1" applyFill="1"/>
    <xf numFmtId="43" fontId="0" fillId="19" borderId="12" xfId="4" applyFont="1" applyFill="1" applyBorder="1"/>
    <xf numFmtId="43" fontId="0" fillId="19" borderId="13" xfId="4" applyFont="1" applyFill="1" applyBorder="1"/>
    <xf numFmtId="0" fontId="1" fillId="0" borderId="12" xfId="0" applyFont="1" applyBorder="1" applyAlignment="1">
      <alignment horizontal="right"/>
    </xf>
    <xf numFmtId="164" fontId="0" fillId="19" borderId="12" xfId="0" applyNumberFormat="1" applyFill="1" applyBorder="1"/>
    <xf numFmtId="164" fontId="0" fillId="19" borderId="13" xfId="0" applyNumberFormat="1" applyFill="1" applyBorder="1"/>
    <xf numFmtId="166" fontId="0" fillId="0" borderId="12" xfId="0" applyNumberFormat="1" applyBorder="1"/>
    <xf numFmtId="166" fontId="0" fillId="19" borderId="12" xfId="0" applyNumberFormat="1" applyFill="1" applyBorder="1"/>
    <xf numFmtId="166" fontId="0" fillId="0" borderId="13" xfId="0" applyNumberFormat="1" applyBorder="1"/>
    <xf numFmtId="166" fontId="0" fillId="19" borderId="13" xfId="0" applyNumberFormat="1" applyFill="1" applyBorder="1"/>
    <xf numFmtId="0" fontId="10" fillId="18" borderId="14" xfId="0" applyFont="1" applyFill="1" applyBorder="1"/>
    <xf numFmtId="0" fontId="4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21" borderId="0" xfId="0" applyFill="1" applyAlignment="1">
      <alignment horizontal="center" vertical="center"/>
    </xf>
    <xf numFmtId="0" fontId="0" fillId="20" borderId="0" xfId="0" applyFill="1"/>
    <xf numFmtId="0" fontId="0" fillId="21" borderId="0" xfId="0" applyFill="1"/>
    <xf numFmtId="0" fontId="4" fillId="21" borderId="0" xfId="0" applyFont="1" applyFill="1" applyAlignment="1">
      <alignment vertical="center" wrapText="1"/>
    </xf>
    <xf numFmtId="0" fontId="4" fillId="20" borderId="0" xfId="0" applyFont="1" applyFill="1" applyAlignment="1">
      <alignment horizontal="center" vertical="center" wrapText="1"/>
    </xf>
    <xf numFmtId="0" fontId="0" fillId="22" borderId="0" xfId="0" applyFill="1"/>
    <xf numFmtId="0" fontId="7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5">
    <cellStyle name="Calculation" xfId="3" builtinId="22"/>
    <cellStyle name="Comma" xfId="4" builtinId="3"/>
    <cellStyle name="Currency" xfId="1" builtinId="4"/>
    <cellStyle name="Neutral" xfId="2" builtinId="28"/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numFmt numFmtId="165" formatCode="_-[$$-409]* #,##0.00_ ;_-[$$-409]* \-#,##0.00\ ;_-[$$-409]* &quot;-&quot;??_ ;_-@_ "/>
      <protection locked="1" hidden="0"/>
    </dxf>
    <dxf>
      <protection locked="1" hidden="0"/>
    </dxf>
    <dxf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166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166" formatCode="0.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166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166" formatCode="0.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164" formatCode="0.000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2" defaultTableStyle="TableStyleMedium2" defaultPivotStyle="PivotStyleLight16">
    <tableStyle name="PivotTable Style 1" table="0" count="0" xr9:uid="{119A7DAB-FF0B-4D0F-8FB2-E2D0A64D90D4}"/>
    <tableStyle name="PivotTable Style 2" table="0" count="0" xr9:uid="{AD4F8D2B-7620-45FA-87EA-D1552CBB26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Wirkungsgrad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Messung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'Labor Solarkollektormessung'!$C$18:$L$18</c:f>
              <c:numCache>
                <c:formatCode>General</c:formatCode>
                <c:ptCount val="10"/>
                <c:pt idx="0">
                  <c:v>12.700000000000003</c:v>
                </c:pt>
                <c:pt idx="1">
                  <c:v>13.750000000000004</c:v>
                </c:pt>
                <c:pt idx="2">
                  <c:v>14.349999999999998</c:v>
                </c:pt>
                <c:pt idx="3">
                  <c:v>14.450000000000003</c:v>
                </c:pt>
                <c:pt idx="4">
                  <c:v>14.899999999999999</c:v>
                </c:pt>
                <c:pt idx="5">
                  <c:v>15.350000000000001</c:v>
                </c:pt>
                <c:pt idx="6">
                  <c:v>15.95</c:v>
                </c:pt>
                <c:pt idx="7">
                  <c:v>16.249999999999996</c:v>
                </c:pt>
                <c:pt idx="8">
                  <c:v>16.399999999999999</c:v>
                </c:pt>
                <c:pt idx="9">
                  <c:v>16.75</c:v>
                </c:pt>
              </c:numCache>
            </c:numRef>
          </c:xVal>
          <c:yVal>
            <c:numRef>
              <c:f>'Labor Solarkollektormessung'!$C$23:$L$23</c:f>
              <c:numCache>
                <c:formatCode>General</c:formatCode>
                <c:ptCount val="10"/>
                <c:pt idx="0">
                  <c:v>0.8531534814814814</c:v>
                </c:pt>
                <c:pt idx="1">
                  <c:v>0.86019617687074823</c:v>
                </c:pt>
                <c:pt idx="2">
                  <c:v>0.8704326530612243</c:v>
                </c:pt>
                <c:pt idx="3">
                  <c:v>0.86785701851851849</c:v>
                </c:pt>
                <c:pt idx="4">
                  <c:v>0.85568761904761903</c:v>
                </c:pt>
                <c:pt idx="5">
                  <c:v>0.84424001851851849</c:v>
                </c:pt>
                <c:pt idx="6">
                  <c:v>0.8576798026518655</c:v>
                </c:pt>
                <c:pt idx="7">
                  <c:v>0.84181716666666673</c:v>
                </c:pt>
                <c:pt idx="8">
                  <c:v>0.83197080481036045</c:v>
                </c:pt>
                <c:pt idx="9">
                  <c:v>0.87916108024691353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FC-4809-A206-B6F0BBD9F96F}"/>
            </c:ext>
          </c:extLst>
        </c:ser>
        <c:ser>
          <c:idx val="0"/>
          <c:order val="1"/>
          <c:tx>
            <c:v>Messung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'Labor Solarkollektormessung'!$C$36:$K$36</c:f>
              <c:numCache>
                <c:formatCode>General</c:formatCode>
                <c:ptCount val="9"/>
                <c:pt idx="0">
                  <c:v>32.800000000000004</c:v>
                </c:pt>
                <c:pt idx="1">
                  <c:v>33.699999999999996</c:v>
                </c:pt>
                <c:pt idx="2">
                  <c:v>34.65</c:v>
                </c:pt>
                <c:pt idx="3">
                  <c:v>35.35</c:v>
                </c:pt>
                <c:pt idx="4">
                  <c:v>36.600000000000009</c:v>
                </c:pt>
                <c:pt idx="5">
                  <c:v>37.799999999999997</c:v>
                </c:pt>
                <c:pt idx="6">
                  <c:v>39.200000000000003</c:v>
                </c:pt>
                <c:pt idx="7">
                  <c:v>40.549999999999997</c:v>
                </c:pt>
                <c:pt idx="8">
                  <c:v>42</c:v>
                </c:pt>
              </c:numCache>
            </c:numRef>
          </c:xVal>
          <c:yVal>
            <c:numRef>
              <c:f>'Labor Solarkollektormessung'!$C$41:$K$41</c:f>
              <c:numCache>
                <c:formatCode>General</c:formatCode>
                <c:ptCount val="9"/>
                <c:pt idx="0">
                  <c:v>0.7716233208955221</c:v>
                </c:pt>
                <c:pt idx="1">
                  <c:v>0.75835428214731571</c:v>
                </c:pt>
                <c:pt idx="2">
                  <c:v>0.78191475124378107</c:v>
                </c:pt>
                <c:pt idx="3">
                  <c:v>0.7825155327102804</c:v>
                </c:pt>
                <c:pt idx="4">
                  <c:v>0.77000287850467286</c:v>
                </c:pt>
                <c:pt idx="5">
                  <c:v>0.76702804855275419</c:v>
                </c:pt>
                <c:pt idx="6">
                  <c:v>0.73350478680361031</c:v>
                </c:pt>
                <c:pt idx="7">
                  <c:v>0.74781241744548266</c:v>
                </c:pt>
                <c:pt idx="8">
                  <c:v>0.74287585046728966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FC-4809-A206-B6F0BBD9F96F}"/>
            </c:ext>
          </c:extLst>
        </c:ser>
        <c:ser>
          <c:idx val="2"/>
          <c:order val="2"/>
          <c:tx>
            <c:v>Messung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'Labor Solarkollektormessung'!$C$53:$G$53</c:f>
              <c:numCache>
                <c:formatCode>General</c:formatCode>
                <c:ptCount val="5"/>
                <c:pt idx="0">
                  <c:v>14.350000000000001</c:v>
                </c:pt>
                <c:pt idx="1">
                  <c:v>14.450000000000003</c:v>
                </c:pt>
                <c:pt idx="2">
                  <c:v>14.25</c:v>
                </c:pt>
                <c:pt idx="3">
                  <c:v>14.150000000000002</c:v>
                </c:pt>
                <c:pt idx="4">
                  <c:v>13.950000000000003</c:v>
                </c:pt>
              </c:numCache>
            </c:numRef>
          </c:xVal>
          <c:yVal>
            <c:numRef>
              <c:f>'Labor Solarkollektormessung'!$C$58:$G$58</c:f>
              <c:numCache>
                <c:formatCode>General</c:formatCode>
                <c:ptCount val="5"/>
                <c:pt idx="0">
                  <c:v>0.90456605042016791</c:v>
                </c:pt>
                <c:pt idx="1">
                  <c:v>0.90282151119402987</c:v>
                </c:pt>
                <c:pt idx="2">
                  <c:v>0.88582143302180671</c:v>
                </c:pt>
                <c:pt idx="3">
                  <c:v>0.90793897196261664</c:v>
                </c:pt>
                <c:pt idx="4">
                  <c:v>0.90084409105082619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FC-4809-A206-B6F0BBD9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01448"/>
        <c:axId val="1432323591"/>
      </c:scatterChart>
      <c:valAx>
        <c:axId val="129990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Vorlauftemperatur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2323591"/>
        <c:crosses val="autoZero"/>
        <c:crossBetween val="midCat"/>
      </c:valAx>
      <c:valAx>
        <c:axId val="1432323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Wirkungsgrad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90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'Asuna PV 10'!$L$9:$L$12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'Asuna PV 10'!$N$9:$N$12</c:f>
              <c:numCache>
                <c:formatCode>General</c:formatCode>
                <c:ptCount val="4"/>
                <c:pt idx="0" formatCode="0.00">
                  <c:v>9.3299999999999994E-2</c:v>
                </c:pt>
                <c:pt idx="1">
                  <c:v>9.24</c:v>
                </c:pt>
                <c:pt idx="2">
                  <c:v>9.24</c:v>
                </c:pt>
                <c:pt idx="3">
                  <c:v>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9-43D8-BC8B-78967E21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9864"/>
        <c:axId val="56891912"/>
      </c:barChart>
      <c:catAx>
        <c:axId val="5688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91912"/>
        <c:crosses val="autoZero"/>
        <c:auto val="1"/>
        <c:lblAlgn val="ctr"/>
        <c:lblOffset val="100"/>
        <c:noMultiLvlLbl val="0"/>
      </c:catAx>
      <c:valAx>
        <c:axId val="568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8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Dodge_city!$K$14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Dodge_city!$J$15:$J$20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Dodge_city!$K$15:$K$20</c:f>
              <c:numCache>
                <c:formatCode>General</c:formatCode>
                <c:ptCount val="6"/>
                <c:pt idx="0">
                  <c:v>3.5</c:v>
                </c:pt>
                <c:pt idx="1">
                  <c:v>3.41</c:v>
                </c:pt>
                <c:pt idx="2">
                  <c:v>3.35</c:v>
                </c:pt>
                <c:pt idx="3">
                  <c:v>3.32</c:v>
                </c:pt>
                <c:pt idx="4">
                  <c:v>3.3</c:v>
                </c:pt>
                <c:pt idx="5">
                  <c:v>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B-42DC-950E-03E68F1D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5967"/>
        <c:axId val="144480479"/>
      </c:barChart>
      <c:catAx>
        <c:axId val="11805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480479"/>
        <c:crosses val="autoZero"/>
        <c:auto val="1"/>
        <c:lblAlgn val="ctr"/>
        <c:lblOffset val="100"/>
        <c:noMultiLvlLbl val="0"/>
      </c:catAx>
      <c:valAx>
        <c:axId val="1444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Dodge_city!$K$7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Dodge_city!$J$8:$J$12</c:f>
              <c:numCache>
                <c:formatCode>General</c:formatCode>
                <c:ptCount val="5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90</c:v>
                </c:pt>
                <c:pt idx="4">
                  <c:v>95</c:v>
                </c:pt>
              </c:numCache>
            </c:numRef>
          </c:cat>
          <c:val>
            <c:numRef>
              <c:f>Dodge_city!$K$8:$K$12</c:f>
              <c:numCache>
                <c:formatCode>General</c:formatCode>
                <c:ptCount val="5"/>
                <c:pt idx="0">
                  <c:v>3.34</c:v>
                </c:pt>
                <c:pt idx="1">
                  <c:v>2.61</c:v>
                </c:pt>
                <c:pt idx="2">
                  <c:v>2.59</c:v>
                </c:pt>
                <c:pt idx="3">
                  <c:v>3.31</c:v>
                </c:pt>
                <c:pt idx="4">
                  <c:v>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2-4390-873C-B3991F20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48703"/>
        <c:axId val="142549183"/>
      </c:barChart>
      <c:catAx>
        <c:axId val="1425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549183"/>
        <c:crosses val="autoZero"/>
        <c:auto val="1"/>
        <c:lblAlgn val="ctr"/>
        <c:lblOffset val="100"/>
        <c:noMultiLvlLbl val="0"/>
      </c:catAx>
      <c:valAx>
        <c:axId val="1425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5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Dodge_city!$P$7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Dodge_city!$O$8:$O$11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Dodge_city!$P$8:$P$11</c:f>
              <c:numCache>
                <c:formatCode>General</c:formatCode>
                <c:ptCount val="4"/>
                <c:pt idx="0">
                  <c:v>3.44</c:v>
                </c:pt>
                <c:pt idx="1">
                  <c:v>3.27</c:v>
                </c:pt>
                <c:pt idx="2">
                  <c:v>3.23</c:v>
                </c:pt>
                <c:pt idx="3">
                  <c:v>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F72-81B9-B11E1D635C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87103"/>
        <c:axId val="155888543"/>
      </c:barChart>
      <c:catAx>
        <c:axId val="1558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888543"/>
        <c:crosses val="autoZero"/>
        <c:auto val="1"/>
        <c:lblAlgn val="ctr"/>
        <c:lblOffset val="100"/>
        <c:noMultiLvlLbl val="0"/>
      </c:catAx>
      <c:valAx>
        <c:axId val="1558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8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LCOE [cent/kWh] Bezüglich</a:t>
            </a:r>
            <a:r>
              <a:rPr lang="en-GB" baseline="0"/>
              <a:t> auf Neigungswinkel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San_Diego!$K$14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San_Diego!$J$15:$J$23</c:f>
              <c:numCache>
                <c:formatCode>General</c:formatCode>
                <c:ptCount val="9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</c:numCache>
            </c:numRef>
          </c:cat>
          <c:val>
            <c:numRef>
              <c:f>San_Diego!$K$15:$K$23</c:f>
              <c:numCache>
                <c:formatCode>General</c:formatCode>
                <c:ptCount val="9"/>
                <c:pt idx="0">
                  <c:v>3.3</c:v>
                </c:pt>
                <c:pt idx="1">
                  <c:v>3.25</c:v>
                </c:pt>
                <c:pt idx="2">
                  <c:v>3.21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9-45D3-BB1C-732E0CB6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5967"/>
        <c:axId val="144480479"/>
      </c:barChart>
      <c:catAx>
        <c:axId val="11805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480479"/>
        <c:crosses val="autoZero"/>
        <c:auto val="1"/>
        <c:lblAlgn val="ctr"/>
        <c:lblOffset val="100"/>
        <c:noMultiLvlLbl val="0"/>
      </c:catAx>
      <c:valAx>
        <c:axId val="1444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0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LCOE [cent/kWh] bezüglich auf Anzahl</a:t>
            </a:r>
            <a:r>
              <a:rPr lang="en-US" baseline="0"/>
              <a:t> der Inverter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San_Diego!$K$7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San_Diego!$J$8:$J$12</c:f>
              <c:numCache>
                <c:formatCode>General</c:formatCode>
                <c:ptCount val="5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90</c:v>
                </c:pt>
                <c:pt idx="4">
                  <c:v>95</c:v>
                </c:pt>
              </c:numCache>
            </c:numRef>
          </c:cat>
          <c:val>
            <c:numRef>
              <c:f>San_Diego!$K$8:$K$12</c:f>
              <c:numCache>
                <c:formatCode>General</c:formatCode>
                <c:ptCount val="5"/>
                <c:pt idx="0">
                  <c:v>3.21</c:v>
                </c:pt>
                <c:pt idx="1">
                  <c:v>3.19</c:v>
                </c:pt>
                <c:pt idx="2">
                  <c:v>3.19</c:v>
                </c:pt>
                <c:pt idx="3">
                  <c:v>3.2</c:v>
                </c:pt>
                <c:pt idx="4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E-4AD1-A190-295B6EF7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48703"/>
        <c:axId val="142549183"/>
      </c:barChart>
      <c:catAx>
        <c:axId val="1425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549183"/>
        <c:crosses val="autoZero"/>
        <c:auto val="1"/>
        <c:lblAlgn val="ctr"/>
        <c:lblOffset val="100"/>
        <c:noMultiLvlLbl val="0"/>
      </c:catAx>
      <c:valAx>
        <c:axId val="1425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5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San_Diego!$P$7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San_Diego!$O$8:$O$11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San_Diego!$P$8:$P$11</c:f>
              <c:numCache>
                <c:formatCode>General</c:formatCode>
                <c:ptCount val="4"/>
                <c:pt idx="0">
                  <c:v>3.4</c:v>
                </c:pt>
                <c:pt idx="1">
                  <c:v>3.22</c:v>
                </c:pt>
                <c:pt idx="2">
                  <c:v>3.19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7-4F90-9B55-945CDA6A12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87103"/>
        <c:axId val="155888543"/>
      </c:barChart>
      <c:catAx>
        <c:axId val="1558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888543"/>
        <c:crosses val="autoZero"/>
        <c:auto val="1"/>
        <c:lblAlgn val="ctr"/>
        <c:lblOffset val="100"/>
        <c:noMultiLvlLbl val="0"/>
      </c:catAx>
      <c:valAx>
        <c:axId val="1558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8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Temperaturverhältnis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6.5632075690375311E-2"/>
          <c:y val="0.14786646032766707"/>
          <c:w val="0.91401163625101045"/>
          <c:h val="0.58433765398264981"/>
        </c:manualLayout>
      </c:layout>
      <c:lineChart>
        <c:grouping val="standard"/>
        <c:varyColors val="0"/>
        <c:ser>
          <c:idx val="0"/>
          <c:order val="0"/>
          <c:tx>
            <c:strRef>
              <c:f>'WP Veruch'!$G$5</c:f>
              <c:strCache>
                <c:ptCount val="1"/>
                <c:pt idx="0">
                  <c:v>Twarm[C]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'WP Veruch'!$E$4:$X$4</c:f>
              <c:numCache>
                <c:formatCode>General</c:formatCode>
                <c:ptCount val="20"/>
              </c:numCache>
            </c:numRef>
          </c:cat>
          <c:val>
            <c:numRef>
              <c:f>'WP Veruch'!$G$6:$G$25</c:f>
              <c:numCache>
                <c:formatCode>0.0</c:formatCode>
                <c:ptCount val="20"/>
                <c:pt idx="0">
                  <c:v>14.4</c:v>
                </c:pt>
                <c:pt idx="1">
                  <c:v>14.6</c:v>
                </c:pt>
                <c:pt idx="2">
                  <c:v>17</c:v>
                </c:pt>
                <c:pt idx="3">
                  <c:v>17.5</c:v>
                </c:pt>
                <c:pt idx="4">
                  <c:v>19.7</c:v>
                </c:pt>
                <c:pt idx="5">
                  <c:v>20.8</c:v>
                </c:pt>
                <c:pt idx="6">
                  <c:v>21.6</c:v>
                </c:pt>
                <c:pt idx="7">
                  <c:v>22.3</c:v>
                </c:pt>
                <c:pt idx="8">
                  <c:v>24.6</c:v>
                </c:pt>
                <c:pt idx="9">
                  <c:v>25</c:v>
                </c:pt>
                <c:pt idx="10">
                  <c:v>25.9</c:v>
                </c:pt>
                <c:pt idx="11">
                  <c:v>26.3</c:v>
                </c:pt>
                <c:pt idx="12">
                  <c:v>27</c:v>
                </c:pt>
                <c:pt idx="13">
                  <c:v>27.6</c:v>
                </c:pt>
                <c:pt idx="14">
                  <c:v>28.3</c:v>
                </c:pt>
                <c:pt idx="15">
                  <c:v>28.3</c:v>
                </c:pt>
                <c:pt idx="16">
                  <c:v>28</c:v>
                </c:pt>
                <c:pt idx="17">
                  <c:v>27.8</c:v>
                </c:pt>
                <c:pt idx="18">
                  <c:v>27.7</c:v>
                </c:pt>
                <c:pt idx="19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8-4014-AF6A-59955CD0AF9D}"/>
            </c:ext>
          </c:extLst>
        </c:ser>
        <c:ser>
          <c:idx val="1"/>
          <c:order val="1"/>
          <c:tx>
            <c:strRef>
              <c:f>'WP Veruch'!$F$5</c:f>
              <c:strCache>
                <c:ptCount val="1"/>
                <c:pt idx="0">
                  <c:v>Tkalt [C]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'WP Veruch'!$F$6:$F$25</c:f>
              <c:numCache>
                <c:formatCode>0.0</c:formatCode>
                <c:ptCount val="20"/>
                <c:pt idx="0">
                  <c:v>15.5</c:v>
                </c:pt>
                <c:pt idx="1">
                  <c:v>15.4</c:v>
                </c:pt>
                <c:pt idx="2">
                  <c:v>14.1</c:v>
                </c:pt>
                <c:pt idx="3">
                  <c:v>11.5</c:v>
                </c:pt>
                <c:pt idx="4">
                  <c:v>12.3</c:v>
                </c:pt>
                <c:pt idx="5">
                  <c:v>9.1999999999999993</c:v>
                </c:pt>
                <c:pt idx="6">
                  <c:v>10.6</c:v>
                </c:pt>
                <c:pt idx="7">
                  <c:v>9.6</c:v>
                </c:pt>
                <c:pt idx="8">
                  <c:v>8.8000000000000007</c:v>
                </c:pt>
                <c:pt idx="9">
                  <c:v>8.1999999999999993</c:v>
                </c:pt>
                <c:pt idx="10">
                  <c:v>7.4</c:v>
                </c:pt>
                <c:pt idx="11">
                  <c:v>5.6</c:v>
                </c:pt>
                <c:pt idx="12">
                  <c:v>6.2</c:v>
                </c:pt>
                <c:pt idx="13">
                  <c:v>5.5</c:v>
                </c:pt>
                <c:pt idx="14">
                  <c:v>4.8</c:v>
                </c:pt>
                <c:pt idx="15">
                  <c:v>4.3</c:v>
                </c:pt>
                <c:pt idx="16">
                  <c:v>4.5</c:v>
                </c:pt>
                <c:pt idx="17">
                  <c:v>4.1100000000000003</c:v>
                </c:pt>
                <c:pt idx="18">
                  <c:v>4.0999999999999996</c:v>
                </c:pt>
                <c:pt idx="1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818-4014-AF6A-59955CD0AF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1511503"/>
        <c:axId val="321513903"/>
      </c:lineChart>
      <c:catAx>
        <c:axId val="3215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 in Minuten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1513903"/>
        <c:crosses val="autoZero"/>
        <c:auto val="1"/>
        <c:lblAlgn val="ctr"/>
        <c:lblOffset val="100"/>
        <c:noMultiLvlLbl val="0"/>
      </c:catAx>
      <c:valAx>
        <c:axId val="3215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 in 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15115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Leistungszahl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'WP Veruch'!$K$5</c:f>
              <c:strCache>
                <c:ptCount val="1"/>
                <c:pt idx="0">
                  <c:v>Leistungszahl (Summe der Q in kJ/Summe der Welektrisch in kJ)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'WP Veruch'!$K$6:$K$25</c:f>
              <c:numCache>
                <c:formatCode>_(* #,##0.00_);_(* \(#,##0.00\);_(* "-"??_);_(@_)</c:formatCode>
                <c:ptCount val="20"/>
                <c:pt idx="0">
                  <c:v>0.27</c:v>
                </c:pt>
                <c:pt idx="1">
                  <c:v>0.4</c:v>
                </c:pt>
                <c:pt idx="2">
                  <c:v>2.38</c:v>
                </c:pt>
                <c:pt idx="3">
                  <c:v>2.09</c:v>
                </c:pt>
                <c:pt idx="4">
                  <c:v>2.81</c:v>
                </c:pt>
                <c:pt idx="5">
                  <c:v>2.79</c:v>
                </c:pt>
                <c:pt idx="6">
                  <c:v>2.65</c:v>
                </c:pt>
                <c:pt idx="7">
                  <c:v>2.52</c:v>
                </c:pt>
                <c:pt idx="8">
                  <c:v>2.85</c:v>
                </c:pt>
                <c:pt idx="9">
                  <c:v>2.64</c:v>
                </c:pt>
                <c:pt idx="10">
                  <c:v>2.62</c:v>
                </c:pt>
                <c:pt idx="11">
                  <c:v>2.4900000000000002</c:v>
                </c:pt>
                <c:pt idx="12">
                  <c:v>2.4300000000000002</c:v>
                </c:pt>
                <c:pt idx="13">
                  <c:v>2.37</c:v>
                </c:pt>
                <c:pt idx="14">
                  <c:v>2.33</c:v>
                </c:pt>
                <c:pt idx="15">
                  <c:v>2.1800000000000002</c:v>
                </c:pt>
                <c:pt idx="16">
                  <c:v>2.09</c:v>
                </c:pt>
                <c:pt idx="17">
                  <c:v>2</c:v>
                </c:pt>
                <c:pt idx="18">
                  <c:v>1.9</c:v>
                </c:pt>
                <c:pt idx="19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2EB-496A-9DD3-C6C2E95137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9814735"/>
        <c:axId val="6198190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'WP Veruch'!$E$4:$X$4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42EB-496A-9DD3-C6C2E95137D2}"/>
                  </c:ext>
                </c:extLst>
              </c15:ser>
            </c15:filteredLineSeries>
          </c:ext>
        </c:extLst>
      </c:lineChart>
      <c:catAx>
        <c:axId val="6198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</a:t>
                </a:r>
                <a:r>
                  <a:rPr lang="en-GB" baseline="0"/>
                  <a:t> in Minuten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9819055"/>
        <c:crosses val="autoZero"/>
        <c:auto val="1"/>
        <c:lblAlgn val="ctr"/>
        <c:lblOffset val="100"/>
        <c:noMultiLvlLbl val="0"/>
      </c:catAx>
      <c:valAx>
        <c:axId val="6198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98147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72699420177023E-2"/>
          <c:y val="0.84176627262409631"/>
          <c:w val="0.79568907569232583"/>
          <c:h val="8.7383511964272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30964999196782E-2"/>
          <c:y val="2.9515905373693325E-2"/>
          <c:w val="0.92359999526623049"/>
          <c:h val="0.57360071482907726"/>
        </c:manualLayout>
      </c:layout>
      <c:lineChart>
        <c:grouping val="standard"/>
        <c:varyColors val="0"/>
        <c:ser>
          <c:idx val="1"/>
          <c:order val="1"/>
          <c:tx>
            <c:strRef>
              <c:f>'WP Veruch'!$J$5</c:f>
              <c:strCache>
                <c:ptCount val="1"/>
                <c:pt idx="0">
                  <c:v>Summe der Welektrisch in einer Minute (momentane* die vergangene Zeit) [kJ]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'WP Veruch'!$J$6:$J$25</c:f>
              <c:numCache>
                <c:formatCode>General</c:formatCode>
                <c:ptCount val="20"/>
                <c:pt idx="0">
                  <c:v>6.282</c:v>
                </c:pt>
                <c:pt idx="1">
                  <c:v>12.624000000000001</c:v>
                </c:pt>
                <c:pt idx="2">
                  <c:v>19.044</c:v>
                </c:pt>
                <c:pt idx="3">
                  <c:v>25.643999999999998</c:v>
                </c:pt>
                <c:pt idx="4">
                  <c:v>32.244</c:v>
                </c:pt>
                <c:pt idx="5">
                  <c:v>39.084000000000003</c:v>
                </c:pt>
                <c:pt idx="6">
                  <c:v>46.104000000000006</c:v>
                </c:pt>
                <c:pt idx="7">
                  <c:v>53.304000000000002</c:v>
                </c:pt>
                <c:pt idx="8">
                  <c:v>60.504000000000005</c:v>
                </c:pt>
                <c:pt idx="9">
                  <c:v>67.824000000000012</c:v>
                </c:pt>
                <c:pt idx="10">
                  <c:v>74.304000000000016</c:v>
                </c:pt>
                <c:pt idx="11">
                  <c:v>80.844000000000023</c:v>
                </c:pt>
                <c:pt idx="12">
                  <c:v>87.444000000000017</c:v>
                </c:pt>
                <c:pt idx="13">
                  <c:v>94.044000000000011</c:v>
                </c:pt>
                <c:pt idx="14">
                  <c:v>100.82400000000001</c:v>
                </c:pt>
                <c:pt idx="15">
                  <c:v>107.54400000000001</c:v>
                </c:pt>
                <c:pt idx="16">
                  <c:v>114.92400000000001</c:v>
                </c:pt>
                <c:pt idx="17">
                  <c:v>121.64400000000001</c:v>
                </c:pt>
                <c:pt idx="18">
                  <c:v>128.48400000000001</c:v>
                </c:pt>
                <c:pt idx="19">
                  <c:v>135.44400000000002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3-4355-A1A6-C162D4E9FA4D}"/>
            </c:ext>
          </c:extLst>
        </c:ser>
        <c:ser>
          <c:idx val="2"/>
          <c:order val="2"/>
          <c:tx>
            <c:strRef>
              <c:f>'WP Veruch'!$I$5</c:f>
              <c:strCache>
                <c:ptCount val="1"/>
                <c:pt idx="0">
                  <c:v>Summe der Q [kJ]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'WP Veruch'!$I$6:$I$25</c:f>
              <c:numCache>
                <c:formatCode>0.0</c:formatCode>
                <c:ptCount val="20"/>
                <c:pt idx="0">
                  <c:v>1.6759999999999942</c:v>
                </c:pt>
                <c:pt idx="1">
                  <c:v>5.0279999999999827</c:v>
                </c:pt>
                <c:pt idx="2">
                  <c:v>45.251999999999995</c:v>
                </c:pt>
                <c:pt idx="3">
                  <c:v>53.631999999999998</c:v>
                </c:pt>
                <c:pt idx="4">
                  <c:v>90.503999999999991</c:v>
                </c:pt>
                <c:pt idx="5">
                  <c:v>108.94000000000001</c:v>
                </c:pt>
                <c:pt idx="6">
                  <c:v>122.34800000000003</c:v>
                </c:pt>
                <c:pt idx="7">
                  <c:v>134.08000000000001</c:v>
                </c:pt>
                <c:pt idx="8">
                  <c:v>172.62800000000004</c:v>
                </c:pt>
                <c:pt idx="9">
                  <c:v>179.33200000000002</c:v>
                </c:pt>
                <c:pt idx="10">
                  <c:v>194.416</c:v>
                </c:pt>
                <c:pt idx="11">
                  <c:v>201.12000000000003</c:v>
                </c:pt>
                <c:pt idx="12">
                  <c:v>212.85200000000003</c:v>
                </c:pt>
                <c:pt idx="13">
                  <c:v>222.90800000000004</c:v>
                </c:pt>
                <c:pt idx="14">
                  <c:v>234.64000000000004</c:v>
                </c:pt>
                <c:pt idx="15">
                  <c:v>234.64000000000004</c:v>
                </c:pt>
                <c:pt idx="16">
                  <c:v>239.66800000000006</c:v>
                </c:pt>
                <c:pt idx="17">
                  <c:v>243.02000000000004</c:v>
                </c:pt>
                <c:pt idx="18">
                  <c:v>244.69600000000005</c:v>
                </c:pt>
                <c:pt idx="19">
                  <c:v>244.69600000000005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3-4355-A1A6-C162D4E9FA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020415"/>
        <c:axId val="45802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'WP Veruch'!$E$4:$X$4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63-4355-A1A6-C162D4E9FA4D}"/>
                  </c:ext>
                </c:extLst>
              </c15:ser>
            </c15:filteredLineSeries>
          </c:ext>
        </c:extLst>
      </c:lineChart>
      <c:catAx>
        <c:axId val="45802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 in Minuten</a:t>
                </a:r>
              </a:p>
            </c:rich>
          </c:tx>
          <c:layout>
            <c:manualLayout>
              <c:xMode val="edge"/>
              <c:yMode val="edge"/>
              <c:x val="0.50016142242038475"/>
              <c:y val="0.6793598166255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8026655"/>
        <c:crosses val="autoZero"/>
        <c:auto val="1"/>
        <c:lblAlgn val="ctr"/>
        <c:lblOffset val="100"/>
        <c:noMultiLvlLbl val="0"/>
      </c:catAx>
      <c:valAx>
        <c:axId val="4580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Betrag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80204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188320929233616E-2"/>
          <c:y val="0.72416973301292287"/>
          <c:w val="4.611100285985039E-2"/>
          <c:h val="1.1955769301977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156082"/>
            </a:solidFill>
            <a:ln>
              <a:noFill/>
            </a:ln>
            <a:effectLst/>
          </c:spPr>
          <c:invertIfNegative val="0"/>
          <c:cat>
            <c:numRef>
              <c:f>'Asuna PV 10'!$L$9:$L$12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'Asuna PV 10'!$N$9:$N$12</c:f>
              <c:numCache>
                <c:formatCode>General</c:formatCode>
                <c:ptCount val="4"/>
                <c:pt idx="0" formatCode="0.00">
                  <c:v>9.3299999999999994E-2</c:v>
                </c:pt>
                <c:pt idx="1">
                  <c:v>9.24</c:v>
                </c:pt>
                <c:pt idx="2">
                  <c:v>9.24</c:v>
                </c:pt>
                <c:pt idx="3">
                  <c:v>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8-4E64-90E1-87419246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9864"/>
        <c:axId val="56891912"/>
      </c:barChart>
      <c:catAx>
        <c:axId val="5688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91912"/>
        <c:crosses val="autoZero"/>
        <c:auto val="1"/>
        <c:lblAlgn val="ctr"/>
        <c:lblOffset val="100"/>
        <c:noMultiLvlLbl val="0"/>
      </c:catAx>
      <c:valAx>
        <c:axId val="568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8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Leistungszahl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196B2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'WP Veruch'!$AA$66:$AT$66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'WP Veruch'!$AA$67:$AT$67</c:f>
              <c:numCache>
                <c:formatCode>0.00</c:formatCode>
                <c:ptCount val="20"/>
                <c:pt idx="0">
                  <c:v>0</c:v>
                </c:pt>
                <c:pt idx="1">
                  <c:v>0.52727846105329357</c:v>
                </c:pt>
                <c:pt idx="2">
                  <c:v>6.2504672897196256</c:v>
                </c:pt>
                <c:pt idx="3">
                  <c:v>1.2666666666666666</c:v>
                </c:pt>
                <c:pt idx="4">
                  <c:v>5.5733333333333315</c:v>
                </c:pt>
                <c:pt idx="5">
                  <c:v>2.6888888888888918</c:v>
                </c:pt>
                <c:pt idx="6">
                  <c:v>1.9054131054131067</c:v>
                </c:pt>
                <c:pt idx="7">
                  <c:v>1.6255555555555541</c:v>
                </c:pt>
                <c:pt idx="8">
                  <c:v>5.341111111111112</c:v>
                </c:pt>
                <c:pt idx="9">
                  <c:v>0.91366120218578906</c:v>
                </c:pt>
                <c:pt idx="10">
                  <c:v>2.3222222222222184</c:v>
                </c:pt>
                <c:pt idx="11">
                  <c:v>1.0226299694189656</c:v>
                </c:pt>
                <c:pt idx="12">
                  <c:v>1.7733333333333317</c:v>
                </c:pt>
                <c:pt idx="13">
                  <c:v>1.5200000000000033</c:v>
                </c:pt>
                <c:pt idx="14">
                  <c:v>1.7262536873156324</c:v>
                </c:pt>
                <c:pt idx="15">
                  <c:v>0</c:v>
                </c:pt>
                <c:pt idx="16">
                  <c:v>-0.67967479674796905</c:v>
                </c:pt>
                <c:pt idx="17">
                  <c:v>-0.4976190476190458</c:v>
                </c:pt>
                <c:pt idx="18">
                  <c:v>-0.24444444444444788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A1-4284-8B4B-E3B44E84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504327"/>
        <c:axId val="1063354887"/>
      </c:lineChart>
      <c:catAx>
        <c:axId val="1064504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3354887"/>
        <c:crosses val="autoZero"/>
        <c:auto val="1"/>
        <c:lblAlgn val="ctr"/>
        <c:lblOffset val="100"/>
        <c:noMultiLvlLbl val="0"/>
      </c:catAx>
      <c:valAx>
        <c:axId val="1063354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504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'Madinat Zayed_CSP'!$K$14</c:f>
              <c:strCache>
                <c:ptCount val="1"/>
                <c:pt idx="0">
                  <c:v>14,75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'Madinat Zayed_CSP'!$J$15:$J$20</c:f>
              <c:numCache>
                <c:formatCode>General</c:formatCode>
                <c:ptCount val="6"/>
              </c:numCache>
            </c:numRef>
          </c:cat>
          <c:val>
            <c:numRef>
              <c:f>'Madinat Zayed_CSP'!$K$15:$K$20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FFD-4B63-A041-0EFC06A68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5967"/>
        <c:axId val="144480479"/>
      </c:barChart>
      <c:catAx>
        <c:axId val="11805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480479"/>
        <c:crosses val="autoZero"/>
        <c:auto val="1"/>
        <c:lblAlgn val="ctr"/>
        <c:lblOffset val="100"/>
        <c:noMultiLvlLbl val="0"/>
      </c:catAx>
      <c:valAx>
        <c:axId val="1444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LCOE [cent/kWh] zu jede Solar</a:t>
            </a:r>
            <a:r>
              <a:rPr lang="en-US" baseline="0"/>
              <a:t> Multiple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'Madinat Zayed_CSP'!$K$7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'Madinat Zayed_CSP'!$J$8:$J$14</c:f>
              <c:numCache>
                <c:formatCode>General</c:formatCode>
                <c:ptCount val="7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</c:numCache>
            </c:numRef>
          </c:cat>
          <c:val>
            <c:numRef>
              <c:f>'Madinat Zayed_CSP'!$K$8:$K$14</c:f>
              <c:numCache>
                <c:formatCode>General</c:formatCode>
                <c:ptCount val="7"/>
                <c:pt idx="0">
                  <c:v>15.84</c:v>
                </c:pt>
                <c:pt idx="1">
                  <c:v>15.11</c:v>
                </c:pt>
                <c:pt idx="2">
                  <c:v>14.72</c:v>
                </c:pt>
                <c:pt idx="3">
                  <c:v>14.52</c:v>
                </c:pt>
                <c:pt idx="4">
                  <c:v>14.48</c:v>
                </c:pt>
                <c:pt idx="5">
                  <c:v>14.54</c:v>
                </c:pt>
                <c:pt idx="6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B9A-BF2B-043EF4E84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48703"/>
        <c:axId val="142549183"/>
      </c:barChart>
      <c:catAx>
        <c:axId val="1425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549183"/>
        <c:crosses val="autoZero"/>
        <c:auto val="1"/>
        <c:lblAlgn val="ctr"/>
        <c:lblOffset val="100"/>
        <c:noMultiLvlLbl val="0"/>
      </c:catAx>
      <c:valAx>
        <c:axId val="1425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5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'Madinat Zayed_CSP'!$P$7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'Madinat Zayed_CSP'!$O$8:$O$11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'Madinat Zayed_CSP'!$P$8:$P$11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563-4B65-91E5-AFDC8A1D1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87103"/>
        <c:axId val="155888543"/>
      </c:barChart>
      <c:catAx>
        <c:axId val="1558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888543"/>
        <c:crosses val="autoZero"/>
        <c:auto val="1"/>
        <c:lblAlgn val="ctr"/>
        <c:lblOffset val="100"/>
        <c:noMultiLvlLbl val="0"/>
      </c:catAx>
      <c:valAx>
        <c:axId val="1558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8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'Madinat Zayed'!$K$14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'Madinat Zayed'!$J$15:$J$20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'Madinat Zayed'!$K$15:$K$20</c:f>
              <c:numCache>
                <c:formatCode>General</c:formatCode>
                <c:ptCount val="6"/>
                <c:pt idx="0">
                  <c:v>4.7699999999999996</c:v>
                </c:pt>
                <c:pt idx="1">
                  <c:v>4.7300000000000004</c:v>
                </c:pt>
                <c:pt idx="2">
                  <c:v>4.72</c:v>
                </c:pt>
                <c:pt idx="3">
                  <c:v>4.74</c:v>
                </c:pt>
                <c:pt idx="4">
                  <c:v>4.75</c:v>
                </c:pt>
                <c:pt idx="5">
                  <c:v>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F-471C-B1EE-12101B4939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5967"/>
        <c:axId val="144480479"/>
      </c:barChart>
      <c:catAx>
        <c:axId val="11805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480479"/>
        <c:crosses val="autoZero"/>
        <c:auto val="1"/>
        <c:lblAlgn val="ctr"/>
        <c:lblOffset val="100"/>
        <c:noMultiLvlLbl val="0"/>
      </c:catAx>
      <c:valAx>
        <c:axId val="1444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'Madinat Zayed'!$K$7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'Madinat Zayed'!$J$8:$J$12</c:f>
              <c:numCache>
                <c:formatCode>General</c:formatCode>
                <c:ptCount val="5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90</c:v>
                </c:pt>
                <c:pt idx="4">
                  <c:v>95</c:v>
                </c:pt>
              </c:numCache>
            </c:numRef>
          </c:cat>
          <c:val>
            <c:numRef>
              <c:f>'Madinat Zayed'!$K$8:$K$12</c:f>
              <c:numCache>
                <c:formatCode>General</c:formatCode>
                <c:ptCount val="5"/>
                <c:pt idx="0">
                  <c:v>4.8499999999999996</c:v>
                </c:pt>
                <c:pt idx="1">
                  <c:v>4.84</c:v>
                </c:pt>
                <c:pt idx="2">
                  <c:v>4.8499999999999996</c:v>
                </c:pt>
                <c:pt idx="3">
                  <c:v>4.8600000000000003</c:v>
                </c:pt>
                <c:pt idx="4">
                  <c:v>4.8899999999999997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1-4D55-AB5E-84F4C968E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48703"/>
        <c:axId val="142549183"/>
      </c:barChart>
      <c:catAx>
        <c:axId val="1425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549183"/>
        <c:crosses val="autoZero"/>
        <c:auto val="1"/>
        <c:lblAlgn val="ctr"/>
        <c:lblOffset val="100"/>
        <c:noMultiLvlLbl val="0"/>
      </c:catAx>
      <c:valAx>
        <c:axId val="1425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5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'Madinat Zayed'!$P$7</c:f>
              <c:strCache>
                <c:ptCount val="1"/>
                <c:pt idx="0">
                  <c:v>LCOE [cent/kWh]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'Madinat Zayed'!$O$8:$O$11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'Madinat Zayed'!$P$8:$P$11</c:f>
              <c:numCache>
                <c:formatCode>General</c:formatCode>
                <c:ptCount val="4"/>
                <c:pt idx="0">
                  <c:v>5.04</c:v>
                </c:pt>
                <c:pt idx="1">
                  <c:v>4.82</c:v>
                </c:pt>
                <c:pt idx="2">
                  <c:v>4.8</c:v>
                </c:pt>
                <c:pt idx="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7-4E73-95AC-951D7E403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87103"/>
        <c:axId val="155888543"/>
      </c:barChart>
      <c:catAx>
        <c:axId val="1558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888543"/>
        <c:crosses val="autoZero"/>
        <c:auto val="1"/>
        <c:lblAlgn val="ctr"/>
        <c:lblOffset val="100"/>
        <c:noMultiLvlLbl val="0"/>
      </c:catAx>
      <c:valAx>
        <c:axId val="1558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8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LCOE SAM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'csp Assuna'!$V$15</c:f>
              <c:strCache>
                <c:ptCount val="1"/>
                <c:pt idx="0">
                  <c:v>EGC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'csp Assuna'!$U$16:$U$19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'csp Assuna'!$V$16:$V$19</c:f>
              <c:numCache>
                <c:formatCode>0.000</c:formatCode>
                <c:ptCount val="4"/>
                <c:pt idx="0">
                  <c:v>3.0499999999999999E-2</c:v>
                </c:pt>
                <c:pt idx="1">
                  <c:v>3.4200000000000001E-2</c:v>
                </c:pt>
                <c:pt idx="2">
                  <c:v>3.3500000000000002E-2</c:v>
                </c:pt>
                <c:pt idx="3">
                  <c:v>3.3099999999999997E-2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7-42FA-B2EF-0C9B4F85A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9864"/>
        <c:axId val="56891912"/>
      </c:barChart>
      <c:catAx>
        <c:axId val="5688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Leistung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91912"/>
        <c:crosses val="autoZero"/>
        <c:auto val="1"/>
        <c:lblAlgn val="ctr"/>
        <c:lblOffset val="100"/>
        <c:noMultiLvlLbl val="0"/>
      </c:catAx>
      <c:valAx>
        <c:axId val="568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€/kwh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8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LEGC SAM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100 MW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'csp Assuna'!$Q$33:$Q$37</c:f>
              <c:numCache>
                <c:formatCode>0.00</c:formatCode>
                <c:ptCount val="5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</c:numCache>
            </c:numRef>
          </c:cat>
          <c:val>
            <c:numRef>
              <c:f>'csp Assuna'!$R$33:$R$37</c:f>
              <c:numCache>
                <c:formatCode>0.000</c:formatCode>
                <c:ptCount val="5"/>
                <c:pt idx="0">
                  <c:v>0.23699999999999999</c:v>
                </c:pt>
                <c:pt idx="1">
                  <c:v>0.2349</c:v>
                </c:pt>
                <c:pt idx="2">
                  <c:v>0.23499999999999999</c:v>
                </c:pt>
                <c:pt idx="3">
                  <c:v>0.23910000000000001</c:v>
                </c:pt>
                <c:pt idx="4">
                  <c:v>0.24249999999999999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04B-4AFD-8B59-5E4E7FCF32BD}"/>
            </c:ext>
          </c:extLst>
        </c:ser>
        <c:ser>
          <c:idx val="2"/>
          <c:order val="1"/>
          <c:tx>
            <c:v>200 MW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'csp Assuna'!$Q$33:$Q$37</c:f>
              <c:numCache>
                <c:formatCode>0.00</c:formatCode>
                <c:ptCount val="5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</c:numCache>
            </c:numRef>
          </c:cat>
          <c:val>
            <c:numRef>
              <c:f>'csp Assuna'!$S$33:$S$37</c:f>
              <c:numCache>
                <c:formatCode>0.000</c:formatCode>
                <c:ptCount val="5"/>
                <c:pt idx="0">
                  <c:v>0.18</c:v>
                </c:pt>
                <c:pt idx="1">
                  <c:v>0.17460000000000001</c:v>
                </c:pt>
                <c:pt idx="2">
                  <c:v>0.17249999999999999</c:v>
                </c:pt>
                <c:pt idx="3">
                  <c:v>0.17469999999999999</c:v>
                </c:pt>
                <c:pt idx="4">
                  <c:v>0.17749999999999999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4B-4AFD-8B59-5E4E7FCF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13864"/>
        <c:axId val="1409035784"/>
      </c:lineChart>
      <c:catAx>
        <c:axId val="140831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Multiple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9035784"/>
        <c:crosses val="autoZero"/>
        <c:auto val="1"/>
        <c:lblAlgn val="ctr"/>
        <c:lblOffset val="100"/>
        <c:noMultiLvlLbl val="0"/>
      </c:catAx>
      <c:valAx>
        <c:axId val="1409035784"/>
        <c:scaling>
          <c:orientation val="minMax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€/KW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83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LEGC SAM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 MW PV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'csp Assuna'!$U$16:$U$19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'csp Assuna'!$V$16:$V$19</c:f>
              <c:numCache>
                <c:formatCode>0.000</c:formatCode>
                <c:ptCount val="4"/>
                <c:pt idx="0">
                  <c:v>3.0499999999999999E-2</c:v>
                </c:pt>
                <c:pt idx="1">
                  <c:v>3.4200000000000001E-2</c:v>
                </c:pt>
                <c:pt idx="2">
                  <c:v>3.3500000000000002E-2</c:v>
                </c:pt>
                <c:pt idx="3">
                  <c:v>3.3099999999999997E-2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A2-431B-990A-9175E340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049608"/>
        <c:axId val="1329051656"/>
      </c:lineChart>
      <c:catAx>
        <c:axId val="132904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9051656"/>
        <c:crosses val="autoZero"/>
        <c:auto val="1"/>
        <c:lblAlgn val="ctr"/>
        <c:lblOffset val="100"/>
        <c:noMultiLvlLbl val="0"/>
      </c:catAx>
      <c:valAx>
        <c:axId val="13290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€/KW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90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LEGC SAM 200 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 MW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'csp Assuna'!$Q$33:$Q$37</c:f>
              <c:numCache>
                <c:formatCode>0.00</c:formatCode>
                <c:ptCount val="5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</c:numCache>
            </c:numRef>
          </c:cat>
          <c:val>
            <c:numRef>
              <c:f>'csp Assuna'!$P$33:$P$37</c:f>
              <c:numCache>
                <c:formatCode>0.000</c:formatCode>
                <c:ptCount val="5"/>
                <c:pt idx="0">
                  <c:v>0.18</c:v>
                </c:pt>
                <c:pt idx="1">
                  <c:v>0.17460000000000001</c:v>
                </c:pt>
                <c:pt idx="2">
                  <c:v>0.17249999999999999</c:v>
                </c:pt>
                <c:pt idx="3">
                  <c:v>0.17469999999999999</c:v>
                </c:pt>
                <c:pt idx="4">
                  <c:v>0.17749999999999999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4-4C46-A87C-B274EBDE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13864"/>
        <c:axId val="1409035784"/>
      </c:lineChart>
      <c:catAx>
        <c:axId val="140831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Multiple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9035784"/>
        <c:crosses val="autoZero"/>
        <c:auto val="1"/>
        <c:lblAlgn val="ctr"/>
        <c:lblOffset val="100"/>
        <c:noMultiLvlLbl val="0"/>
      </c:catAx>
      <c:valAx>
        <c:axId val="1409035784"/>
        <c:scaling>
          <c:orientation val="minMax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€/KW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83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LEGC SAM 100 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LEGC 100 MW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'csp Assuna'!$Q$33:$Q$37</c:f>
              <c:numCache>
                <c:formatCode>0.00</c:formatCode>
                <c:ptCount val="5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</c:numCache>
            </c:numRef>
          </c:cat>
          <c:val>
            <c:numRef>
              <c:f>'csp Assuna'!$R$33:$R$37</c:f>
              <c:numCache>
                <c:formatCode>0.000</c:formatCode>
                <c:ptCount val="5"/>
                <c:pt idx="0">
                  <c:v>0.23699999999999999</c:v>
                </c:pt>
                <c:pt idx="1">
                  <c:v>0.2349</c:v>
                </c:pt>
                <c:pt idx="2">
                  <c:v>0.23499999999999999</c:v>
                </c:pt>
                <c:pt idx="3">
                  <c:v>0.23910000000000001</c:v>
                </c:pt>
                <c:pt idx="4">
                  <c:v>0.24249999999999999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B-488D-B794-68B669DD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13864"/>
        <c:axId val="1409035784"/>
      </c:lineChart>
      <c:catAx>
        <c:axId val="140831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Multiple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9035784"/>
        <c:crosses val="autoZero"/>
        <c:auto val="1"/>
        <c:lblAlgn val="ctr"/>
        <c:lblOffset val="100"/>
        <c:noMultiLvlLbl val="0"/>
      </c:catAx>
      <c:valAx>
        <c:axId val="1409035784"/>
        <c:scaling>
          <c:orientation val="minMax"/>
          <c:min val="0.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€/KW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83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156082"/>
            </a:solidFill>
            <a:ln>
              <a:noFill/>
            </a:ln>
            <a:effectLst/>
          </c:spPr>
          <c:invertIfNegative val="0"/>
          <c:cat>
            <c:numRef>
              <c:f>'Asuna PV 10'!$L$9:$L$12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'Asuna PV 10'!$N$9:$N$12</c:f>
              <c:numCache>
                <c:formatCode>General</c:formatCode>
                <c:ptCount val="4"/>
                <c:pt idx="0" formatCode="0.00">
                  <c:v>9.3299999999999994E-2</c:v>
                </c:pt>
                <c:pt idx="1">
                  <c:v>9.24</c:v>
                </c:pt>
                <c:pt idx="2">
                  <c:v>9.24</c:v>
                </c:pt>
                <c:pt idx="3">
                  <c:v>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4D10-866D-F886D410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9864"/>
        <c:axId val="56891912"/>
      </c:barChart>
      <c:catAx>
        <c:axId val="5688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91912"/>
        <c:crosses val="autoZero"/>
        <c:auto val="1"/>
        <c:lblAlgn val="ctr"/>
        <c:lblOffset val="100"/>
        <c:noMultiLvlLbl val="0"/>
      </c:catAx>
      <c:valAx>
        <c:axId val="568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8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EGC Sam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Sample!$V$15</c:f>
              <c:strCache>
                <c:ptCount val="1"/>
                <c:pt idx="0">
                  <c:v>EGC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Sample!$U$16:$U$19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Sample!$V$16:$V$19</c:f>
              <c:numCache>
                <c:formatCode>General</c:formatCode>
                <c:ptCount val="4"/>
                <c:pt idx="0">
                  <c:v>3.05</c:v>
                </c:pt>
                <c:pt idx="1">
                  <c:v>3.42</c:v>
                </c:pt>
                <c:pt idx="2">
                  <c:v>3.35</c:v>
                </c:pt>
                <c:pt idx="3">
                  <c:v>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D9-424B-B093-903E10AF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9864"/>
        <c:axId val="56891912"/>
      </c:barChart>
      <c:catAx>
        <c:axId val="5688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Leistung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91912"/>
        <c:crosses val="autoZero"/>
        <c:auto val="1"/>
        <c:lblAlgn val="ctr"/>
        <c:lblOffset val="100"/>
        <c:noMultiLvlLbl val="0"/>
      </c:catAx>
      <c:valAx>
        <c:axId val="568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€/kwh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88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11.jpeg"/><Relationship Id="rId5" Type="http://schemas.openxmlformats.org/officeDocument/2006/relationships/image" Target="../media/image10.jpe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image" Target="../media/image6.png"/><Relationship Id="rId7" Type="http://schemas.openxmlformats.org/officeDocument/2006/relationships/chart" Target="../charts/chart21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image" Target="../media/image6.png"/><Relationship Id="rId7" Type="http://schemas.openxmlformats.org/officeDocument/2006/relationships/chart" Target="../charts/chart24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6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chart" Target="../charts/chart6.xml"/><Relationship Id="rId5" Type="http://schemas.openxmlformats.org/officeDocument/2006/relationships/image" Target="../media/image8.png"/><Relationship Id="rId10" Type="http://schemas.openxmlformats.org/officeDocument/2006/relationships/chart" Target="../charts/chart5.xml"/><Relationship Id="rId4" Type="http://schemas.openxmlformats.org/officeDocument/2006/relationships/image" Target="../media/image7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6.png"/><Relationship Id="rId7" Type="http://schemas.openxmlformats.org/officeDocument/2006/relationships/chart" Target="../charts/chart8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10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6.png"/><Relationship Id="rId7" Type="http://schemas.openxmlformats.org/officeDocument/2006/relationships/chart" Target="../charts/chart11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6.png"/><Relationship Id="rId7" Type="http://schemas.openxmlformats.org/officeDocument/2006/relationships/chart" Target="../charts/chart14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327025</xdr:colOff>
      <xdr:row>7</xdr:row>
      <xdr:rowOff>431800</xdr:rowOff>
    </xdr:from>
    <xdr:to>
      <xdr:col>20</xdr:col>
      <xdr:colOff>22225</xdr:colOff>
      <xdr:row>23</xdr:row>
      <xdr:rowOff>76200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717D4E45-5149-DA7C-E88C-C6923ED26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333375</xdr:colOff>
      <xdr:row>24</xdr:row>
      <xdr:rowOff>0</xdr:rowOff>
    </xdr:from>
    <xdr:to>
      <xdr:col>17</xdr:col>
      <xdr:colOff>66675</xdr:colOff>
      <xdr:row>43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AAB7D8-C4B9-1BFF-4854-AEC7C2E79341}"/>
            </a:ext>
            <a:ext uri="{147F2762-F138-4A5C-976F-8EAC2B608ADB}">
              <a16:predDERef xmlns:a16="http://schemas.microsoft.com/office/drawing/2014/main" pred="{717D4E45-5149-DA7C-E88C-C6923ED26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550" y="4419600"/>
          <a:ext cx="2781300" cy="457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262766</xdr:colOff>
      <xdr:row>25</xdr:row>
      <xdr:rowOff>76200</xdr:rowOff>
    </xdr:from>
    <xdr:to>
      <xdr:col>24</xdr:col>
      <xdr:colOff>438150</xdr:colOff>
      <xdr:row>33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22B4A4-2260-6F48-6237-DB80D7303B3F}"/>
            </a:ext>
            <a:ext uri="{147F2762-F138-4A5C-976F-8EAC2B608ADB}">
              <a16:predDERef xmlns:a16="http://schemas.microsoft.com/office/drawing/2014/main" pred="{9BAAB7D8-C4B9-1BFF-4854-AEC7C2E79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88291" y="4705350"/>
          <a:ext cx="4442584" cy="2183342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7</xdr:row>
      <xdr:rowOff>104775</xdr:rowOff>
    </xdr:from>
    <xdr:to>
      <xdr:col>28</xdr:col>
      <xdr:colOff>238125</xdr:colOff>
      <xdr:row>22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14DA54-C4C3-BC2E-CC2B-9CD21DFD0725}"/>
            </a:ext>
            <a:ext uri="{147F2762-F138-4A5C-976F-8EAC2B608ADB}">
              <a16:predDERef xmlns:a16="http://schemas.microsoft.com/office/drawing/2014/main" pred="{6B22B4A4-2260-6F48-6237-DB80D7303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68625" y="1438275"/>
          <a:ext cx="5000625" cy="3143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1745</xdr:colOff>
      <xdr:row>25</xdr:row>
      <xdr:rowOff>137811</xdr:rowOff>
    </xdr:from>
    <xdr:to>
      <xdr:col>10</xdr:col>
      <xdr:colOff>0</xdr:colOff>
      <xdr:row>41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11E7A-F294-2EF1-07C1-849E180CB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26</xdr:row>
      <xdr:rowOff>30902</xdr:rowOff>
    </xdr:from>
    <xdr:to>
      <xdr:col>13</xdr:col>
      <xdr:colOff>260350</xdr:colOff>
      <xdr:row>42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BB867-8B58-BD31-812A-BFABDDCC50EB}"/>
            </a:ext>
            <a:ext uri="{147F2762-F138-4A5C-976F-8EAC2B608ADB}">
              <a16:predDERef xmlns:a16="http://schemas.microsoft.com/office/drawing/2014/main" pred="{D3811E7A-F294-2EF1-07C1-849E180CB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525516</xdr:colOff>
      <xdr:row>44</xdr:row>
      <xdr:rowOff>121604</xdr:rowOff>
    </xdr:from>
    <xdr:to>
      <xdr:col>11</xdr:col>
      <xdr:colOff>457200</xdr:colOff>
      <xdr:row>61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ADDB29-2589-2EA7-A287-0584E2B616C9}"/>
            </a:ext>
            <a:ext uri="{147F2762-F138-4A5C-976F-8EAC2B608ADB}">
              <a16:predDERef xmlns:a16="http://schemas.microsoft.com/office/drawing/2014/main" pred="{0D2BB867-8B58-BD31-812A-BFABDDCC5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406773</xdr:colOff>
      <xdr:row>68</xdr:row>
      <xdr:rowOff>104775</xdr:rowOff>
    </xdr:from>
    <xdr:to>
      <xdr:col>35</xdr:col>
      <xdr:colOff>101973</xdr:colOff>
      <xdr:row>82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0F3BB0-358A-1CEC-23C3-7508FF297A69}"/>
            </a:ext>
            <a:ext uri="{147F2762-F138-4A5C-976F-8EAC2B608ADB}">
              <a16:predDERef xmlns:a16="http://schemas.microsoft.com/office/drawing/2014/main" pred="{57ADDB29-2589-2EA7-A287-0584E2B61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28</xdr:row>
      <xdr:rowOff>78798</xdr:rowOff>
    </xdr:from>
    <xdr:to>
      <xdr:col>33</xdr:col>
      <xdr:colOff>504825</xdr:colOff>
      <xdr:row>45</xdr:row>
      <xdr:rowOff>4075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D7FD483-666E-4FB0-9903-985958A681B5}"/>
            </a:ext>
            <a:ext uri="{147F2762-F138-4A5C-976F-8EAC2B608ADB}">
              <a16:predDERef xmlns:a16="http://schemas.microsoft.com/office/drawing/2014/main" pred="{3F0F3BB0-358A-1CEC-23C3-7508FF297A69}"/>
            </a:ext>
          </a:extLst>
        </xdr:cNvPr>
        <xdr:cNvSpPr txBox="1"/>
      </xdr:nvSpPr>
      <xdr:spPr>
        <a:xfrm>
          <a:off x="27974636" y="5251162"/>
          <a:ext cx="9140825" cy="3065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marL="0" indent="0" algn="l"/>
          <a:r>
            <a:rPr lang="en-US" sz="1100" b="0" i="0" u="none" strike="noStrike">
              <a:solidFill>
                <a:schemeClr val="tx2">
                  <a:lumMod val="50000"/>
                  <a:lumOff val="50000"/>
                </a:schemeClr>
              </a:solidFill>
              <a:latin typeface="Aptos Narrow" panose="020B0004020202020204" pitchFamily="34" charset="0"/>
            </a:rPr>
            <a:t>Website Fehler</a:t>
          </a:r>
        </a:p>
        <a:p>
          <a:pPr marL="0" indent="0" algn="l"/>
          <a:r>
            <a:rPr lang="en-US" sz="1100" b="0" i="0" u="none" strike="noStrike">
              <a:solidFill>
                <a:schemeClr val="tx2">
                  <a:lumMod val="50000"/>
                  <a:lumOff val="50000"/>
                </a:schemeClr>
              </a:solidFill>
              <a:latin typeface="Aptos Narrow" panose="020B0004020202020204" pitchFamily="34" charset="0"/>
            </a:rPr>
            <a:t>https://gsg-freiberg.de/wp-content/uploads/Fehlerrechnung.pdf</a:t>
          </a:r>
          <a:endParaRPr lang="en-US" sz="1100" b="0" i="0" u="none" strike="noStrike">
            <a:solidFill>
              <a:srgbClr val="FF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FF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Was ist der Unterschied zwischen Leistungszahl und Jahresarbeitszahl (JAZ)?</a:t>
          </a:r>
          <a:endParaRPr lang="en-US" sz="1100" b="0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Die Leistungszahl beschreibt die</a:t>
          </a:r>
          <a:r>
            <a:rPr lang="en-US" sz="1100" b="0" i="0" u="none" strike="noStrike" baseline="0">
              <a:solidFill>
                <a:schemeClr val="tx1"/>
              </a:solidFill>
              <a:latin typeface="Aptos Narrow" panose="020B0004020202020204" pitchFamily="34" charset="0"/>
            </a:rPr>
            <a:t> momentane im Labor unter Standardnorm gemessene Leistung der Wärmepumpe;</a:t>
          </a:r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 die Jahresarbeitszahl ist ähnlich wie Leistungszahl aber direkt bei der Verwendung (bspw. Zuhause)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über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ein Jahr </a:t>
          </a:r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gemessen.</a:t>
          </a:r>
          <a:endParaRPr lang="en-US" sz="1100" b="0" i="0" u="none" strike="noStrike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Wie ließe sich die Leistungszahl verbessern?</a:t>
          </a:r>
          <a:endParaRPr lang="en-US" sz="1100" b="0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Effizientere Wärmepumpe (höhe JAZ</a:t>
          </a:r>
          <a:r>
            <a:rPr lang="en-US" sz="1100" b="0" i="0" u="none" strike="noStrike" baseline="0">
              <a:solidFill>
                <a:schemeClr val="tx1"/>
              </a:solidFill>
              <a:latin typeface="Aptos Narrow" panose="020B0004020202020204" pitchFamily="34" charset="0"/>
            </a:rPr>
            <a:t> oder COP)</a:t>
          </a:r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, isolierung der Kupferleitungen, Rührwerk (zum verbessern des Wärmeübergangs), Niedrigere Vorlauftemperatur, Wärmequelle konstant halten,</a:t>
          </a:r>
          <a:r>
            <a:rPr lang="en-US" sz="1100" b="0" i="0" u="none" strike="noStrike" baseline="0">
              <a:solidFill>
                <a:schemeClr val="tx1"/>
              </a:solidFill>
              <a:latin typeface="Aptos Narrow" panose="020B0004020202020204" pitchFamily="34" charset="0"/>
            </a:rPr>
            <a:t> und Kenntnis der Nutzer.</a:t>
          </a:r>
          <a:endParaRPr lang="en-US" sz="1100" b="0" i="0" u="none" strike="noStrike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Welcher systematische Fehler wird bei dieser Messung in Kauf genommen?</a:t>
          </a:r>
          <a:endParaRPr lang="en-US" sz="1100" b="0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Wärmefluss in die Umgebung, veraltete</a:t>
          </a:r>
          <a:r>
            <a:rPr lang="en-US" sz="1100" b="0" i="0" u="none" strike="noStrike" baseline="0">
              <a:solidFill>
                <a:schemeClr val="tx1"/>
              </a:solidFill>
              <a:latin typeface="Aptos Narrow" panose="020B0004020202020204" pitchFamily="34" charset="0"/>
            </a:rPr>
            <a:t> Gerät, Messgerät nicht möglichst genau kalibriert, Temperatur des Wassers nicht gleich verteilt</a:t>
          </a:r>
          <a:endParaRPr lang="en-US" sz="1100" b="0" i="0" u="none" strike="noStrike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Jemand will Ihnen eine Wärmepumpe zur Erzeugung von Warmwasser</a:t>
          </a:r>
        </a:p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verkaufen. Welchen Wert sollte die JAZ nicht unterschreiten?</a:t>
          </a:r>
          <a:endParaRPr lang="en-US" sz="1100" b="0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Warmwassererzeugung bedeutet relative niedrige Vorlauftemperatur</a:t>
          </a:r>
          <a:r>
            <a:rPr lang="en-US" sz="1100" b="0" i="0" u="none" strike="noStrike" baseline="0">
              <a:solidFill>
                <a:schemeClr val="tx1"/>
              </a:solidFill>
              <a:latin typeface="Aptos Narrow" panose="020B0004020202020204" pitchFamily="34" charset="0"/>
            </a:rPr>
            <a:t> =&gt; Höhere JAZ. </a:t>
          </a:r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Sie muss immer deutlich besser als 2,5 oder ggf. 3 sein</a:t>
          </a:r>
          <a:r>
            <a:rPr lang="en-US" sz="1100" b="0" i="0" u="none" strike="noStrike" baseline="0">
              <a:solidFill>
                <a:schemeClr val="tx1"/>
              </a:solidFill>
              <a:latin typeface="Aptos Narrow" panose="020B0004020202020204" pitchFamily="34" charset="0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könnte (sonst man auch direkt mit einer Widerstandheizung heizen (elektrisch))</a:t>
          </a:r>
        </a:p>
      </xdr:txBody>
    </xdr:sp>
    <xdr:clientData/>
  </xdr:twoCellAnchor>
  <xdr:twoCellAnchor editAs="oneCell">
    <xdr:from>
      <xdr:col>32</xdr:col>
      <xdr:colOff>283644</xdr:colOff>
      <xdr:row>11</xdr:row>
      <xdr:rowOff>14246</xdr:rowOff>
    </xdr:from>
    <xdr:to>
      <xdr:col>35</xdr:col>
      <xdr:colOff>478885</xdr:colOff>
      <xdr:row>29</xdr:row>
      <xdr:rowOff>170873</xdr:rowOff>
    </xdr:to>
    <xdr:pic>
      <xdr:nvPicPr>
        <xdr:cNvPr id="8" name="Bild 7">
          <a:extLst>
            <a:ext uri="{FF2B5EF4-FFF2-40B4-BE49-F238E27FC236}">
              <a16:creationId xmlns:a16="http://schemas.microsoft.com/office/drawing/2014/main" id="{C3B97DD3-B842-2528-4272-BFF6AFBF8C73}"/>
            </a:ext>
            <a:ext uri="{147F2762-F138-4A5C-976F-8EAC2B608ADB}">
              <a16:predDERef xmlns:a16="http://schemas.microsoft.com/office/drawing/2014/main" pred="{CD7FD483-666E-4FB0-9903-985958A68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32544" y="2039896"/>
          <a:ext cx="2024041" cy="3471327"/>
        </a:xfrm>
        <a:prstGeom prst="rect">
          <a:avLst/>
        </a:prstGeom>
      </xdr:spPr>
    </xdr:pic>
    <xdr:clientData/>
  </xdr:twoCellAnchor>
  <xdr:twoCellAnchor editAs="oneCell">
    <xdr:from>
      <xdr:col>25</xdr:col>
      <xdr:colOff>268020</xdr:colOff>
      <xdr:row>16</xdr:row>
      <xdr:rowOff>150916</xdr:rowOff>
    </xdr:from>
    <xdr:to>
      <xdr:col>25</xdr:col>
      <xdr:colOff>2664375</xdr:colOff>
      <xdr:row>26</xdr:row>
      <xdr:rowOff>56902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257D2FE-1A7F-3D9C-D054-73E01D2CF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42656" y="3106552"/>
          <a:ext cx="2396355" cy="17532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36</xdr:row>
      <xdr:rowOff>180179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8300C-6AA5-46AE-87D3-E77DA9A5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865633"/>
          <a:ext cx="4669261" cy="2204296"/>
        </a:xfrm>
        <a:prstGeom prst="rect">
          <a:avLst/>
        </a:prstGeom>
      </xdr:spPr>
    </xdr:pic>
    <xdr:clientData/>
  </xdr:twoCellAnchor>
  <xdr:twoCellAnchor editAs="oneCell">
    <xdr:from>
      <xdr:col>2</xdr:col>
      <xdr:colOff>3938653</xdr:colOff>
      <xdr:row>31</xdr:row>
      <xdr:rowOff>135164</xdr:rowOff>
    </xdr:from>
    <xdr:to>
      <xdr:col>3</xdr:col>
      <xdr:colOff>4274988</xdr:colOff>
      <xdr:row>39</xdr:row>
      <xdr:rowOff>160755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8555FD-3A14-4CA1-8DA1-59A0C97D5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8503" y="6104164"/>
          <a:ext cx="4400335" cy="149879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144231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78F93F-FB2B-4D45-8307-4F81A5735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6477" y="4820181"/>
          <a:ext cx="4720406" cy="1293050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9</xdr:col>
      <xdr:colOff>917228</xdr:colOff>
      <xdr:row>33</xdr:row>
      <xdr:rowOff>150351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363511-F5F0-49B9-A54E-80CABB0B2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1429" y="4642472"/>
          <a:ext cx="4539449" cy="1845179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10</xdr:col>
      <xdr:colOff>1045883</xdr:colOff>
      <xdr:row>40</xdr:row>
      <xdr:rowOff>114598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19404C-AC91-4E14-A5EB-9546186EC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9883" y="6588685"/>
          <a:ext cx="5962650" cy="1152263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37</xdr:row>
      <xdr:rowOff>97118</xdr:rowOff>
    </xdr:from>
    <xdr:to>
      <xdr:col>2</xdr:col>
      <xdr:colOff>3830709</xdr:colOff>
      <xdr:row>40</xdr:row>
      <xdr:rowOff>157765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AA89D7-DED1-4BBF-B435-5F2D5780A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353" y="7171018"/>
          <a:ext cx="4625206" cy="613097"/>
        </a:xfrm>
        <a:prstGeom prst="rect">
          <a:avLst/>
        </a:prstGeom>
      </xdr:spPr>
    </xdr:pic>
    <xdr:clientData/>
  </xdr:twoCellAnchor>
  <xdr:twoCellAnchor>
    <xdr:from>
      <xdr:col>10</xdr:col>
      <xdr:colOff>127756</xdr:colOff>
      <xdr:row>23</xdr:row>
      <xdr:rowOff>69184</xdr:rowOff>
    </xdr:from>
    <xdr:to>
      <xdr:col>14</xdr:col>
      <xdr:colOff>432159</xdr:colOff>
      <xdr:row>38</xdr:row>
      <xdr:rowOff>15452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3197A3-EF18-4908-B626-575DEDB96B1E}"/>
            </a:ext>
            <a:ext uri="{147F2762-F138-4A5C-976F-8EAC2B608ADB}">
              <a16:predDERef xmlns:a16="http://schemas.microsoft.com/office/drawing/2014/main" pred="{65AA89D7-DED1-4BBF-B435-5F2D5780A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24918</xdr:colOff>
      <xdr:row>22</xdr:row>
      <xdr:rowOff>131503</xdr:rowOff>
    </xdr:from>
    <xdr:to>
      <xdr:col>19</xdr:col>
      <xdr:colOff>585969</xdr:colOff>
      <xdr:row>37</xdr:row>
      <xdr:rowOff>101601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23FB64-394D-471F-971D-4FE1CBF1E688}"/>
            </a:ext>
            <a:ext uri="{147F2762-F138-4A5C-976F-8EAC2B608ADB}">
              <a16:predDERef xmlns:a16="http://schemas.microsoft.com/office/drawing/2014/main" pred="{003197A3-EF18-4908-B626-575DEDB96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185677</xdr:colOff>
      <xdr:row>5</xdr:row>
      <xdr:rowOff>187641</xdr:rowOff>
    </xdr:from>
    <xdr:to>
      <xdr:col>25</xdr:col>
      <xdr:colOff>484741</xdr:colOff>
      <xdr:row>20</xdr:row>
      <xdr:rowOff>20341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0F04E5-5772-4BE3-9599-1650BD614576}"/>
            </a:ext>
            <a:ext uri="{147F2762-F138-4A5C-976F-8EAC2B608ADB}">
              <a16:predDERef xmlns:a16="http://schemas.microsoft.com/office/drawing/2014/main" pred="{FD23FB64-394D-471F-971D-4FE1CBF1E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36</xdr:row>
      <xdr:rowOff>180179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EF8400-8CAB-4F14-BF51-02E79FCE9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865633"/>
          <a:ext cx="4669261" cy="2204296"/>
        </a:xfrm>
        <a:prstGeom prst="rect">
          <a:avLst/>
        </a:prstGeom>
      </xdr:spPr>
    </xdr:pic>
    <xdr:clientData/>
  </xdr:twoCellAnchor>
  <xdr:twoCellAnchor editAs="oneCell">
    <xdr:from>
      <xdr:col>2</xdr:col>
      <xdr:colOff>3938653</xdr:colOff>
      <xdr:row>31</xdr:row>
      <xdr:rowOff>135164</xdr:rowOff>
    </xdr:from>
    <xdr:to>
      <xdr:col>3</xdr:col>
      <xdr:colOff>4274988</xdr:colOff>
      <xdr:row>39</xdr:row>
      <xdr:rowOff>160755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7D4D01-26CD-4783-9A06-5090FBD6A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8503" y="6104164"/>
          <a:ext cx="4400335" cy="149879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144231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B549B9-826C-4542-BED3-5ED4636F3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6477" y="4820181"/>
          <a:ext cx="4720406" cy="1293050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9</xdr:col>
      <xdr:colOff>917228</xdr:colOff>
      <xdr:row>33</xdr:row>
      <xdr:rowOff>150351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0EF828-289C-4576-A108-985356232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1429" y="4642472"/>
          <a:ext cx="4539449" cy="1845179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10</xdr:col>
      <xdr:colOff>1045883</xdr:colOff>
      <xdr:row>40</xdr:row>
      <xdr:rowOff>114598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3AFB40-D279-452C-8851-AC0FC32BE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9883" y="6588685"/>
          <a:ext cx="5962650" cy="1152263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37</xdr:row>
      <xdr:rowOff>97118</xdr:rowOff>
    </xdr:from>
    <xdr:to>
      <xdr:col>2</xdr:col>
      <xdr:colOff>3830709</xdr:colOff>
      <xdr:row>40</xdr:row>
      <xdr:rowOff>157765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176CD2-5182-489D-8779-A01DB5831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353" y="7171018"/>
          <a:ext cx="4625206" cy="613097"/>
        </a:xfrm>
        <a:prstGeom prst="rect">
          <a:avLst/>
        </a:prstGeom>
      </xdr:spPr>
    </xdr:pic>
    <xdr:clientData/>
  </xdr:twoCellAnchor>
  <xdr:twoCellAnchor>
    <xdr:from>
      <xdr:col>10</xdr:col>
      <xdr:colOff>127756</xdr:colOff>
      <xdr:row>23</xdr:row>
      <xdr:rowOff>69184</xdr:rowOff>
    </xdr:from>
    <xdr:to>
      <xdr:col>14</xdr:col>
      <xdr:colOff>432159</xdr:colOff>
      <xdr:row>38</xdr:row>
      <xdr:rowOff>15452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5CA2FF-2F58-4BF0-AC6B-7E3D72895ED9}"/>
            </a:ext>
            <a:ext uri="{147F2762-F138-4A5C-976F-8EAC2B608ADB}">
              <a16:predDERef xmlns:a16="http://schemas.microsoft.com/office/drawing/2014/main" pred="{10176CD2-5182-489D-8779-A01DB5831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24918</xdr:colOff>
      <xdr:row>22</xdr:row>
      <xdr:rowOff>131503</xdr:rowOff>
    </xdr:from>
    <xdr:to>
      <xdr:col>19</xdr:col>
      <xdr:colOff>585969</xdr:colOff>
      <xdr:row>37</xdr:row>
      <xdr:rowOff>101601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D7CDF6-92BB-4BB3-AC8F-15AB09F3C139}"/>
            </a:ext>
            <a:ext uri="{147F2762-F138-4A5C-976F-8EAC2B608ADB}">
              <a16:predDERef xmlns:a16="http://schemas.microsoft.com/office/drawing/2014/main" pred="{025CA2FF-2F58-4BF0-AC6B-7E3D72895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185677</xdr:colOff>
      <xdr:row>5</xdr:row>
      <xdr:rowOff>187641</xdr:rowOff>
    </xdr:from>
    <xdr:to>
      <xdr:col>25</xdr:col>
      <xdr:colOff>484741</xdr:colOff>
      <xdr:row>20</xdr:row>
      <xdr:rowOff>20341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46362C-FC5F-4264-8F48-07B3C6F1E5F2}"/>
            </a:ext>
            <a:ext uri="{147F2762-F138-4A5C-976F-8EAC2B608ADB}">
              <a16:predDERef xmlns:a16="http://schemas.microsoft.com/office/drawing/2014/main" pred="{E3D7CDF6-92BB-4BB3-AC8F-15AB09F3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36</xdr:row>
      <xdr:rowOff>45522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D0BFA8-16E5-402A-B165-CB9793E70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783083"/>
          <a:ext cx="4605761" cy="2169371"/>
        </a:xfrm>
        <a:prstGeom prst="rect">
          <a:avLst/>
        </a:prstGeom>
      </xdr:spPr>
    </xdr:pic>
    <xdr:clientData/>
  </xdr:twoCellAnchor>
  <xdr:twoCellAnchor editAs="oneCell">
    <xdr:from>
      <xdr:col>2</xdr:col>
      <xdr:colOff>3938653</xdr:colOff>
      <xdr:row>31</xdr:row>
      <xdr:rowOff>135164</xdr:rowOff>
    </xdr:from>
    <xdr:to>
      <xdr:col>3</xdr:col>
      <xdr:colOff>4274988</xdr:colOff>
      <xdr:row>39</xdr:row>
      <xdr:rowOff>69614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49D5F6-89EF-4C3B-9B72-E0BB5EAB523E}"/>
            </a:ext>
            <a:ext uri="{147F2762-F138-4A5C-976F-8EAC2B608ADB}">
              <a16:predDERef xmlns:a16="http://schemas.microsoft.com/office/drawing/2014/main" pred="{85D0BFA8-16E5-402A-B165-CB9793E70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8328" y="6002564"/>
          <a:ext cx="4279685" cy="147339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55144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EE04BE-1EE3-43B0-8150-75921CA6A1ED}"/>
            </a:ext>
            <a:ext uri="{147F2762-F138-4A5C-976F-8EAC2B608ADB}">
              <a16:predDERef xmlns:a16="http://schemas.microsoft.com/office/drawing/2014/main" pred="{CF49D5F6-89EF-4C3B-9B72-E0BB5EAB5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56777" y="4740806"/>
          <a:ext cx="4402906" cy="1270825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10</xdr:col>
      <xdr:colOff>304640</xdr:colOff>
      <xdr:row>33</xdr:row>
      <xdr:rowOff>25219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D2C2CD-22FB-4897-92CE-DA7284FB967F}"/>
            </a:ext>
            <a:ext uri="{147F2762-F138-4A5C-976F-8EAC2B608ADB}">
              <a16:predDERef xmlns:a16="http://schemas.microsoft.com/office/drawing/2014/main" pred="{B1EE04BE-1EE3-43B0-8150-75921CA6A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84229" y="4566272"/>
          <a:ext cx="4460261" cy="1813429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12</xdr:col>
      <xdr:colOff>351118</xdr:colOff>
      <xdr:row>40</xdr:row>
      <xdr:rowOff>49978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775D31-3CA3-4AFB-82C3-DB2494C5969E}"/>
            </a:ext>
            <a:ext uri="{147F2762-F138-4A5C-976F-8EAC2B608ADB}">
              <a16:predDERef xmlns:a16="http://schemas.microsoft.com/office/drawing/2014/main" pred="{86D2C2CD-22FB-4897-92CE-DA7284FB9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32683" y="6477560"/>
          <a:ext cx="5877485" cy="1133213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37</xdr:row>
      <xdr:rowOff>97118</xdr:rowOff>
    </xdr:from>
    <xdr:to>
      <xdr:col>2</xdr:col>
      <xdr:colOff>3830709</xdr:colOff>
      <xdr:row>40</xdr:row>
      <xdr:rowOff>129190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48768E-6AD4-473D-86DF-F597B9D4E2F3}"/>
            </a:ext>
            <a:ext uri="{147F2762-F138-4A5C-976F-8EAC2B608ADB}">
              <a16:predDERef xmlns:a16="http://schemas.microsoft.com/office/drawing/2014/main" pred="{82775D31-3CA3-4AFB-82C3-DB2494C59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353" y="7050368"/>
          <a:ext cx="4561706" cy="603572"/>
        </a:xfrm>
        <a:prstGeom prst="rect">
          <a:avLst/>
        </a:prstGeom>
      </xdr:spPr>
    </xdr:pic>
    <xdr:clientData/>
  </xdr:twoCellAnchor>
  <xdr:twoCellAnchor>
    <xdr:from>
      <xdr:col>10</xdr:col>
      <xdr:colOff>114300</xdr:colOff>
      <xdr:row>9</xdr:row>
      <xdr:rowOff>104775</xdr:rowOff>
    </xdr:from>
    <xdr:to>
      <xdr:col>17</xdr:col>
      <xdr:colOff>419100</xdr:colOff>
      <xdr:row>23</xdr:row>
      <xdr:rowOff>95250</xdr:rowOff>
    </xdr:to>
    <xdr:graphicFrame macro="">
      <xdr:nvGraphicFramePr>
        <xdr:cNvPr id="8" name="Diagramm 8">
          <a:extLst>
            <a:ext uri="{FF2B5EF4-FFF2-40B4-BE49-F238E27FC236}">
              <a16:creationId xmlns:a16="http://schemas.microsoft.com/office/drawing/2014/main" id="{3E811084-D533-4A65-9CCC-5AFA12885E43}"/>
            </a:ext>
            <a:ext uri="{147F2762-F138-4A5C-976F-8EAC2B608ADB}">
              <a16:predDERef xmlns:a16="http://schemas.microsoft.com/office/drawing/2014/main" pred="{3948768E-6AD4-473D-86DF-F597B9D4E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333375</xdr:colOff>
      <xdr:row>8</xdr:row>
      <xdr:rowOff>28575</xdr:rowOff>
    </xdr:from>
    <xdr:to>
      <xdr:col>32</xdr:col>
      <xdr:colOff>28575</xdr:colOff>
      <xdr:row>21</xdr:row>
      <xdr:rowOff>142875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6A96C68-A3CA-44D5-AC13-D7C5ABA97813}"/>
            </a:ext>
            <a:ext uri="{147F2762-F138-4A5C-976F-8EAC2B608ADB}">
              <a16:predDERef xmlns:a16="http://schemas.microsoft.com/office/drawing/2014/main" pred="{3E811084-D533-4A65-9CCC-5AFA12885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104775</xdr:colOff>
      <xdr:row>24</xdr:row>
      <xdr:rowOff>123825</xdr:rowOff>
    </xdr:from>
    <xdr:to>
      <xdr:col>43</xdr:col>
      <xdr:colOff>409575</xdr:colOff>
      <xdr:row>39</xdr:row>
      <xdr:rowOff>9525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017619F-2CEF-7890-5ECA-07FA19C6EF52}"/>
            </a:ext>
            <a:ext uri="{147F2762-F138-4A5C-976F-8EAC2B608ADB}">
              <a16:predDERef xmlns:a16="http://schemas.microsoft.com/office/drawing/2014/main" pred="{36A96C68-A3CA-44D5-AC13-D7C5ABA9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361950</xdr:colOff>
      <xdr:row>7</xdr:row>
      <xdr:rowOff>190500</xdr:rowOff>
    </xdr:from>
    <xdr:to>
      <xdr:col>40</xdr:col>
      <xdr:colOff>57150</xdr:colOff>
      <xdr:row>22</xdr:row>
      <xdr:rowOff>47625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DA3F24E-D092-8902-B55B-D791C08AD952}"/>
            </a:ext>
            <a:ext uri="{147F2762-F138-4A5C-976F-8EAC2B608ADB}">
              <a16:predDERef xmlns:a16="http://schemas.microsoft.com/office/drawing/2014/main" pred="{C017619F-2CEF-7890-5ECA-07FA19C6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85725</xdr:colOff>
      <xdr:row>24</xdr:row>
      <xdr:rowOff>114300</xdr:rowOff>
    </xdr:from>
    <xdr:to>
      <xdr:col>28</xdr:col>
      <xdr:colOff>390525</xdr:colOff>
      <xdr:row>39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C0E6ACFD-B20F-47B1-AAFC-7BCA74EC497A}"/>
            </a:ext>
            <a:ext uri="{147F2762-F138-4A5C-976F-8EAC2B608ADB}">
              <a16:predDERef xmlns:a16="http://schemas.microsoft.com/office/drawing/2014/main" pred="{EDA3F24E-D092-8902-B55B-D791C08AD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104775</xdr:colOff>
      <xdr:row>25</xdr:row>
      <xdr:rowOff>152400</xdr:rowOff>
    </xdr:from>
    <xdr:to>
      <xdr:col>36</xdr:col>
      <xdr:colOff>409575</xdr:colOff>
      <xdr:row>40</xdr:row>
      <xdr:rowOff>38100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87CCE0F-657E-41BA-A65F-4137F043E0B3}"/>
            </a:ext>
            <a:ext uri="{147F2762-F138-4A5C-976F-8EAC2B608ADB}">
              <a16:predDERef xmlns:a16="http://schemas.microsoft.com/office/drawing/2014/main" pred="{C0E6ACFD-B20F-47B1-AAFC-7BCA74EC4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36</xdr:row>
      <xdr:rowOff>180179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FBCEE-138D-EDB5-A62B-4E6C6EB6D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827533"/>
          <a:ext cx="4707361" cy="2204296"/>
        </a:xfrm>
        <a:prstGeom prst="rect">
          <a:avLst/>
        </a:prstGeom>
      </xdr:spPr>
    </xdr:pic>
    <xdr:clientData/>
  </xdr:twoCellAnchor>
  <xdr:twoCellAnchor editAs="oneCell">
    <xdr:from>
      <xdr:col>2</xdr:col>
      <xdr:colOff>3938653</xdr:colOff>
      <xdr:row>31</xdr:row>
      <xdr:rowOff>135164</xdr:rowOff>
    </xdr:from>
    <xdr:to>
      <xdr:col>3</xdr:col>
      <xdr:colOff>4274988</xdr:colOff>
      <xdr:row>39</xdr:row>
      <xdr:rowOff>160755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10FA55-4345-6532-7B84-BE22FBD03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8503" y="6066064"/>
          <a:ext cx="4400335" cy="149879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144231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1068E1-34C7-84A2-E3B1-FA823DDE0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6477" y="4782081"/>
          <a:ext cx="4714056" cy="1293050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10</xdr:col>
      <xdr:colOff>304640</xdr:colOff>
      <xdr:row>33</xdr:row>
      <xdr:rowOff>150351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E79BD2-D3CF-D1BB-D322-490D447E2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1429" y="4537243"/>
          <a:ext cx="4522854" cy="1817965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12</xdr:col>
      <xdr:colOff>351118</xdr:colOff>
      <xdr:row>40</xdr:row>
      <xdr:rowOff>114598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616A2C-2E84-9664-BAEF-75D0E621F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9883" y="6626411"/>
          <a:ext cx="5969000" cy="1167952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37</xdr:row>
      <xdr:rowOff>97118</xdr:rowOff>
    </xdr:from>
    <xdr:to>
      <xdr:col>2</xdr:col>
      <xdr:colOff>3830709</xdr:colOff>
      <xdr:row>40</xdr:row>
      <xdr:rowOff>157765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EFB954-67F5-04A2-A4FF-FE2C6FA8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353" y="7216589"/>
          <a:ext cx="4630062" cy="620941"/>
        </a:xfrm>
        <a:prstGeom prst="rect">
          <a:avLst/>
        </a:prstGeom>
      </xdr:spPr>
    </xdr:pic>
    <xdr:clientData/>
  </xdr:twoCellAnchor>
  <xdr:twoCellAnchor>
    <xdr:from>
      <xdr:col>10</xdr:col>
      <xdr:colOff>114300</xdr:colOff>
      <xdr:row>9</xdr:row>
      <xdr:rowOff>104775</xdr:rowOff>
    </xdr:from>
    <xdr:to>
      <xdr:col>17</xdr:col>
      <xdr:colOff>419100</xdr:colOff>
      <xdr:row>23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0E52917-FA07-4F8A-AB38-C7863A15D2E4}"/>
            </a:ext>
            <a:ext uri="{147F2762-F138-4A5C-976F-8EAC2B608ADB}">
              <a16:predDERef xmlns:a16="http://schemas.microsoft.com/office/drawing/2014/main" pred="{95EFB954-67F5-04A2-A4FF-FE2C6FA8D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333375</xdr:colOff>
      <xdr:row>8</xdr:row>
      <xdr:rowOff>28575</xdr:rowOff>
    </xdr:from>
    <xdr:to>
      <xdr:col>32</xdr:col>
      <xdr:colOff>28575</xdr:colOff>
      <xdr:row>21</xdr:row>
      <xdr:rowOff>142875</xdr:rowOff>
    </xdr:to>
    <xdr:graphicFrame macro="">
      <xdr:nvGraphicFramePr>
        <xdr:cNvPr id="10" name="Diagramm 8">
          <a:extLst>
            <a:ext uri="{FF2B5EF4-FFF2-40B4-BE49-F238E27FC236}">
              <a16:creationId xmlns:a16="http://schemas.microsoft.com/office/drawing/2014/main" id="{E39F9E9E-7E5F-4307-946E-C3FE90638935}"/>
            </a:ext>
            <a:ext uri="{147F2762-F138-4A5C-976F-8EAC2B608ADB}">
              <a16:predDERef xmlns:a16="http://schemas.microsoft.com/office/drawing/2014/main" pred="{B0E52917-FA07-4F8A-AB38-C7863A15D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36</xdr:row>
      <xdr:rowOff>75404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06ED38-7DFA-4381-91AE-424CE2BFA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849758"/>
          <a:ext cx="4605761" cy="216937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77556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AD6EA9-41B8-4A77-8D1A-4B50BAB6B7AE}"/>
            </a:ext>
            <a:ext uri="{147F2762-F138-4A5C-976F-8EAC2B608ADB}">
              <a16:predDERef xmlns:a16="http://schemas.microsoft.com/office/drawing/2014/main" pred="{E5CB780F-CC9D-4FBD-81AA-21770ADD0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6777" y="4797956"/>
          <a:ext cx="4402906" cy="1270825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10</xdr:col>
      <xdr:colOff>304640</xdr:colOff>
      <xdr:row>33</xdr:row>
      <xdr:rowOff>55101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9EF719-C9EE-4823-A824-F46C28EFE6AD}"/>
            </a:ext>
            <a:ext uri="{147F2762-F138-4A5C-976F-8EAC2B608ADB}">
              <a16:predDERef xmlns:a16="http://schemas.microsoft.com/office/drawing/2014/main" pred="{B6AD6EA9-41B8-4A77-8D1A-4B50BAB6B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84229" y="4613897"/>
          <a:ext cx="4460261" cy="1813429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12</xdr:col>
      <xdr:colOff>351118</xdr:colOff>
      <xdr:row>40</xdr:row>
      <xdr:rowOff>57448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2D3543-3DAB-4771-80A4-4B239CB166C1}"/>
            </a:ext>
            <a:ext uri="{147F2762-F138-4A5C-976F-8EAC2B608ADB}">
              <a16:predDERef xmlns:a16="http://schemas.microsoft.com/office/drawing/2014/main" pred="{F09EF719-C9EE-4823-A824-F46C28EF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2683" y="6629960"/>
          <a:ext cx="5877485" cy="1133213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37</xdr:row>
      <xdr:rowOff>97118</xdr:rowOff>
    </xdr:from>
    <xdr:to>
      <xdr:col>2</xdr:col>
      <xdr:colOff>3830709</xdr:colOff>
      <xdr:row>40</xdr:row>
      <xdr:rowOff>129190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99F16B-1512-4538-B4FF-EA2201CB2C18}"/>
            </a:ext>
            <a:ext uri="{147F2762-F138-4A5C-976F-8EAC2B608ADB}">
              <a16:predDERef xmlns:a16="http://schemas.microsoft.com/office/drawing/2014/main" pred="{3B2D3543-3DAB-4771-80A4-4B239CB16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353" y="7231343"/>
          <a:ext cx="4561706" cy="603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36</xdr:row>
      <xdr:rowOff>75404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9DA615-8460-433D-BB5A-88743C1BD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849758"/>
          <a:ext cx="4605761" cy="216937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77556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2EEE10-1AD0-4CFE-94B2-0B6612CC8740}"/>
            </a:ext>
            <a:ext uri="{147F2762-F138-4A5C-976F-8EAC2B608ADB}">
              <a16:predDERef xmlns:a16="http://schemas.microsoft.com/office/drawing/2014/main" pred="{37C30C21-1EA4-4D73-A34B-5A54564C6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6777" y="4797956"/>
          <a:ext cx="4402906" cy="1270825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10</xdr:col>
      <xdr:colOff>304640</xdr:colOff>
      <xdr:row>33</xdr:row>
      <xdr:rowOff>55101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B224BE-05CB-4C80-8BEA-22833498F285}"/>
            </a:ext>
            <a:ext uri="{147F2762-F138-4A5C-976F-8EAC2B608ADB}">
              <a16:predDERef xmlns:a16="http://schemas.microsoft.com/office/drawing/2014/main" pred="{552EEE10-1AD0-4CFE-94B2-0B6612CC8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84229" y="4613897"/>
          <a:ext cx="4460261" cy="1813429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12</xdr:col>
      <xdr:colOff>351118</xdr:colOff>
      <xdr:row>40</xdr:row>
      <xdr:rowOff>57448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6381-5A1F-42F7-BECC-2929D5FD3606}"/>
            </a:ext>
            <a:ext uri="{147F2762-F138-4A5C-976F-8EAC2B608ADB}">
              <a16:predDERef xmlns:a16="http://schemas.microsoft.com/office/drawing/2014/main" pred="{8FB224BE-05CB-4C80-8BEA-22833498F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2683" y="6629960"/>
          <a:ext cx="5877485" cy="1133213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37</xdr:row>
      <xdr:rowOff>97118</xdr:rowOff>
    </xdr:from>
    <xdr:to>
      <xdr:col>2</xdr:col>
      <xdr:colOff>3830709</xdr:colOff>
      <xdr:row>40</xdr:row>
      <xdr:rowOff>129190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F8FD78-8C82-4530-AEFD-DF3A233C4A49}"/>
            </a:ext>
            <a:ext uri="{147F2762-F138-4A5C-976F-8EAC2B608ADB}">
              <a16:predDERef xmlns:a16="http://schemas.microsoft.com/office/drawing/2014/main" pred="{0CA76381-5A1F-42F7-BECC-2929D5FD3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353" y="7231343"/>
          <a:ext cx="4561706" cy="6035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36</xdr:row>
      <xdr:rowOff>75404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C2435F-280F-493B-9993-5389ED4DB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783083"/>
          <a:ext cx="4605761" cy="2169371"/>
        </a:xfrm>
        <a:prstGeom prst="rect">
          <a:avLst/>
        </a:prstGeom>
      </xdr:spPr>
    </xdr:pic>
    <xdr:clientData/>
  </xdr:twoCellAnchor>
  <xdr:twoCellAnchor editAs="oneCell">
    <xdr:from>
      <xdr:col>3</xdr:col>
      <xdr:colOff>90553</xdr:colOff>
      <xdr:row>71</xdr:row>
      <xdr:rowOff>154214</xdr:rowOff>
    </xdr:from>
    <xdr:to>
      <xdr:col>4</xdr:col>
      <xdr:colOff>74463</xdr:colOff>
      <xdr:row>79</xdr:row>
      <xdr:rowOff>103605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848AD8-CF9F-4898-B585-8A0B322CE13E}"/>
            </a:ext>
            <a:ext uri="{147F2762-F138-4A5C-976F-8EAC2B608ADB}">
              <a16:predDERef xmlns:a16="http://schemas.microsoft.com/office/drawing/2014/main" pred="{74C2435F-280F-493B-9993-5389ED4DB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3578" y="13765439"/>
          <a:ext cx="4279685" cy="147339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77556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821402-82F3-4573-95D2-B944EE08BB33}"/>
            </a:ext>
            <a:ext uri="{147F2762-F138-4A5C-976F-8EAC2B608ADB}">
              <a16:predDERef xmlns:a16="http://schemas.microsoft.com/office/drawing/2014/main" pred="{BB848AD8-CF9F-4898-B585-8A0B322CE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56777" y="4740806"/>
          <a:ext cx="4402906" cy="1270825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10</xdr:col>
      <xdr:colOff>304640</xdr:colOff>
      <xdr:row>33</xdr:row>
      <xdr:rowOff>55101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E5101D-83FE-47DA-A586-6058C78B374B}"/>
            </a:ext>
            <a:ext uri="{147F2762-F138-4A5C-976F-8EAC2B608ADB}">
              <a16:predDERef xmlns:a16="http://schemas.microsoft.com/office/drawing/2014/main" pred="{71821402-82F3-4573-95D2-B944EE08B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84229" y="4566272"/>
          <a:ext cx="4460261" cy="1813429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12</xdr:col>
      <xdr:colOff>351118</xdr:colOff>
      <xdr:row>40</xdr:row>
      <xdr:rowOff>57448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F767D6-928F-4206-8F7C-3A09D657C0A5}"/>
            </a:ext>
            <a:ext uri="{147F2762-F138-4A5C-976F-8EAC2B608ADB}">
              <a16:predDERef xmlns:a16="http://schemas.microsoft.com/office/drawing/2014/main" pred="{AEE5101D-83FE-47DA-A586-6058C78B3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32683" y="6477560"/>
          <a:ext cx="5877485" cy="11332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36</xdr:row>
      <xdr:rowOff>75404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E9687D-B15C-463E-B6A1-75C136C4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783083"/>
          <a:ext cx="4605761" cy="2169371"/>
        </a:xfrm>
        <a:prstGeom prst="rect">
          <a:avLst/>
        </a:prstGeom>
      </xdr:spPr>
    </xdr:pic>
    <xdr:clientData/>
  </xdr:twoCellAnchor>
  <xdr:twoCellAnchor editAs="oneCell">
    <xdr:from>
      <xdr:col>2</xdr:col>
      <xdr:colOff>3938653</xdr:colOff>
      <xdr:row>31</xdr:row>
      <xdr:rowOff>135164</xdr:rowOff>
    </xdr:from>
    <xdr:to>
      <xdr:col>3</xdr:col>
      <xdr:colOff>4274988</xdr:colOff>
      <xdr:row>39</xdr:row>
      <xdr:rowOff>84555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DAE552-3AD1-4D75-B1FF-A4F7458CE6A8}"/>
            </a:ext>
            <a:ext uri="{147F2762-F138-4A5C-976F-8EAC2B608ADB}">
              <a16:predDERef xmlns:a16="http://schemas.microsoft.com/office/drawing/2014/main" pred="{38E9687D-B15C-463E-B6A1-75C136C4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8328" y="6002564"/>
          <a:ext cx="4279685" cy="147339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77556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A8EA5B-BFD5-42FC-AF1A-EB798CD34FDA}"/>
            </a:ext>
            <a:ext uri="{147F2762-F138-4A5C-976F-8EAC2B608ADB}">
              <a16:predDERef xmlns:a16="http://schemas.microsoft.com/office/drawing/2014/main" pred="{A8DAE552-3AD1-4D75-B1FF-A4F7458C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56777" y="4740806"/>
          <a:ext cx="4402906" cy="1270825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10</xdr:col>
      <xdr:colOff>304640</xdr:colOff>
      <xdr:row>33</xdr:row>
      <xdr:rowOff>55101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816F31-63F5-4E18-8ABB-8DB7282FD2FB}"/>
            </a:ext>
            <a:ext uri="{147F2762-F138-4A5C-976F-8EAC2B608ADB}">
              <a16:predDERef xmlns:a16="http://schemas.microsoft.com/office/drawing/2014/main" pred="{A3A8EA5B-BFD5-42FC-AF1A-EB798CD34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84229" y="4566272"/>
          <a:ext cx="4460261" cy="1813429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12</xdr:col>
      <xdr:colOff>351118</xdr:colOff>
      <xdr:row>40</xdr:row>
      <xdr:rowOff>57448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D3BDA0-A529-4291-81F6-348DAA9575BE}"/>
            </a:ext>
            <a:ext uri="{147F2762-F138-4A5C-976F-8EAC2B608ADB}">
              <a16:predDERef xmlns:a16="http://schemas.microsoft.com/office/drawing/2014/main" pred="{7A816F31-63F5-4E18-8ABB-8DB7282FD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32683" y="6477560"/>
          <a:ext cx="5877485" cy="1133213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37</xdr:row>
      <xdr:rowOff>97118</xdr:rowOff>
    </xdr:from>
    <xdr:to>
      <xdr:col>2</xdr:col>
      <xdr:colOff>3830709</xdr:colOff>
      <xdr:row>40</xdr:row>
      <xdr:rowOff>129190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492418-CD52-446A-B2DF-CD718039E54A}"/>
            </a:ext>
            <a:ext uri="{147F2762-F138-4A5C-976F-8EAC2B608ADB}">
              <a16:predDERef xmlns:a16="http://schemas.microsoft.com/office/drawing/2014/main" pred="{63D3BDA0-A529-4291-81F6-348DAA957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353" y="7050368"/>
          <a:ext cx="4561706" cy="603572"/>
        </a:xfrm>
        <a:prstGeom prst="rect">
          <a:avLst/>
        </a:prstGeom>
      </xdr:spPr>
    </xdr:pic>
    <xdr:clientData/>
  </xdr:twoCellAnchor>
  <xdr:twoCellAnchor>
    <xdr:from>
      <xdr:col>15</xdr:col>
      <xdr:colOff>600075</xdr:colOff>
      <xdr:row>4</xdr:row>
      <xdr:rowOff>104775</xdr:rowOff>
    </xdr:from>
    <xdr:to>
      <xdr:col>23</xdr:col>
      <xdr:colOff>295275</xdr:colOff>
      <xdr:row>18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A5156AF-6D40-B185-D3C2-7E685588E5D6}"/>
            </a:ext>
            <a:ext uri="{147F2762-F138-4A5C-976F-8EAC2B608ADB}">
              <a16:predDERef xmlns:a16="http://schemas.microsoft.com/office/drawing/2014/main" pred="{90492418-CD52-446A-B2DF-CD718039E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36</xdr:row>
      <xdr:rowOff>180179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E51CB-B07C-4A86-A439-54CC84D9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865633"/>
          <a:ext cx="4669261" cy="2204296"/>
        </a:xfrm>
        <a:prstGeom prst="rect">
          <a:avLst/>
        </a:prstGeom>
      </xdr:spPr>
    </xdr:pic>
    <xdr:clientData/>
  </xdr:twoCellAnchor>
  <xdr:twoCellAnchor editAs="oneCell">
    <xdr:from>
      <xdr:col>2</xdr:col>
      <xdr:colOff>3938653</xdr:colOff>
      <xdr:row>31</xdr:row>
      <xdr:rowOff>135164</xdr:rowOff>
    </xdr:from>
    <xdr:to>
      <xdr:col>3</xdr:col>
      <xdr:colOff>4274988</xdr:colOff>
      <xdr:row>39</xdr:row>
      <xdr:rowOff>160755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F15178-5930-4DCF-A56E-2C0C08B88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8503" y="6104164"/>
          <a:ext cx="4400335" cy="149879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144231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EA3D12-BD57-471F-BE03-C1C76E359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9896" y="4786721"/>
          <a:ext cx="4720650" cy="1286212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9</xdr:col>
      <xdr:colOff>917228</xdr:colOff>
      <xdr:row>33</xdr:row>
      <xdr:rowOff>150351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8B0CA9-963B-4130-B290-C53DB1497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1429" y="4642472"/>
          <a:ext cx="4536461" cy="1845179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10</xdr:col>
      <xdr:colOff>1045883</xdr:colOff>
      <xdr:row>40</xdr:row>
      <xdr:rowOff>114598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65A989-39A2-46DC-9AF3-FDE8BE5D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9883" y="6588685"/>
          <a:ext cx="5953685" cy="1152263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37</xdr:row>
      <xdr:rowOff>97118</xdr:rowOff>
    </xdr:from>
    <xdr:to>
      <xdr:col>2</xdr:col>
      <xdr:colOff>3830709</xdr:colOff>
      <xdr:row>40</xdr:row>
      <xdr:rowOff>157765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DCA291-B50B-4583-A1BE-BCA850687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353" y="7171018"/>
          <a:ext cx="4625206" cy="613097"/>
        </a:xfrm>
        <a:prstGeom prst="rect">
          <a:avLst/>
        </a:prstGeom>
      </xdr:spPr>
    </xdr:pic>
    <xdr:clientData/>
  </xdr:twoCellAnchor>
  <xdr:twoCellAnchor>
    <xdr:from>
      <xdr:col>10</xdr:col>
      <xdr:colOff>127756</xdr:colOff>
      <xdr:row>23</xdr:row>
      <xdr:rowOff>69184</xdr:rowOff>
    </xdr:from>
    <xdr:to>
      <xdr:col>14</xdr:col>
      <xdr:colOff>432159</xdr:colOff>
      <xdr:row>38</xdr:row>
      <xdr:rowOff>15452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F5339D-9A43-712E-9738-2C5C0E10CF51}"/>
            </a:ext>
            <a:ext uri="{147F2762-F138-4A5C-976F-8EAC2B608ADB}">
              <a16:predDERef xmlns:a16="http://schemas.microsoft.com/office/drawing/2014/main" pred="{8ADCA291-B50B-4583-A1BE-BCA850687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24918</xdr:colOff>
      <xdr:row>22</xdr:row>
      <xdr:rowOff>131503</xdr:rowOff>
    </xdr:from>
    <xdr:to>
      <xdr:col>19</xdr:col>
      <xdr:colOff>585969</xdr:colOff>
      <xdr:row>37</xdr:row>
      <xdr:rowOff>101601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CB135B-904D-6E43-0CE3-B87277A296E6}"/>
            </a:ext>
            <a:ext uri="{147F2762-F138-4A5C-976F-8EAC2B608ADB}">
              <a16:predDERef xmlns:a16="http://schemas.microsoft.com/office/drawing/2014/main" pred="{E3F5339D-9A43-712E-9738-2C5C0E10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185677</xdr:colOff>
      <xdr:row>5</xdr:row>
      <xdr:rowOff>187641</xdr:rowOff>
    </xdr:from>
    <xdr:to>
      <xdr:col>25</xdr:col>
      <xdr:colOff>484741</xdr:colOff>
      <xdr:row>20</xdr:row>
      <xdr:rowOff>20341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4A9189-D84A-302E-8B7F-ECFA49225B09}"/>
            </a:ext>
            <a:ext uri="{147F2762-F138-4A5C-976F-8EAC2B608ADB}">
              <a16:predDERef xmlns:a16="http://schemas.microsoft.com/office/drawing/2014/main" pred="{44CB135B-904D-6E43-0CE3-B87277A29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544088</xdr:colOff>
      <xdr:row>25</xdr:row>
      <xdr:rowOff>1533</xdr:rowOff>
    </xdr:from>
    <xdr:to>
      <xdr:col>2</xdr:col>
      <xdr:colOff>3873499</xdr:colOff>
      <xdr:row>37</xdr:row>
      <xdr:rowOff>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4A8176-6D7F-4015-A6D8-803ECE928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88" y="4865633"/>
          <a:ext cx="4669261" cy="2204296"/>
        </a:xfrm>
        <a:prstGeom prst="rect">
          <a:avLst/>
        </a:prstGeom>
      </xdr:spPr>
    </xdr:pic>
    <xdr:clientData/>
  </xdr:twoCellAnchor>
  <xdr:twoCellAnchor editAs="oneCell">
    <xdr:from>
      <xdr:col>2</xdr:col>
      <xdr:colOff>3938653</xdr:colOff>
      <xdr:row>31</xdr:row>
      <xdr:rowOff>135164</xdr:rowOff>
    </xdr:from>
    <xdr:to>
      <xdr:col>3</xdr:col>
      <xdr:colOff>4274988</xdr:colOff>
      <xdr:row>39</xdr:row>
      <xdr:rowOff>160755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B3F8F9-7278-4D5F-A67A-694B6975B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8503" y="6104164"/>
          <a:ext cx="4400335" cy="1498791"/>
        </a:xfrm>
        <a:prstGeom prst="rect">
          <a:avLst/>
        </a:prstGeom>
      </xdr:spPr>
    </xdr:pic>
    <xdr:clientData/>
  </xdr:twoCellAnchor>
  <xdr:twoCellAnchor editAs="oneCell">
    <xdr:from>
      <xdr:col>2</xdr:col>
      <xdr:colOff>3956627</xdr:colOff>
      <xdr:row>24</xdr:row>
      <xdr:rowOff>140231</xdr:rowOff>
    </xdr:from>
    <xdr:to>
      <xdr:col>4</xdr:col>
      <xdr:colOff>110883</xdr:colOff>
      <xdr:row>31</xdr:row>
      <xdr:rowOff>144231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64BC7F-D520-4C65-8604-C551F5E08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6477" y="4820181"/>
          <a:ext cx="4720406" cy="1293050"/>
        </a:xfrm>
        <a:prstGeom prst="rect">
          <a:avLst/>
        </a:prstGeom>
      </xdr:spPr>
    </xdr:pic>
    <xdr:clientData/>
  </xdr:twoCellAnchor>
  <xdr:twoCellAnchor editAs="oneCell">
    <xdr:from>
      <xdr:col>4</xdr:col>
      <xdr:colOff>435429</xdr:colOff>
      <xdr:row>23</xdr:row>
      <xdr:rowOff>146672</xdr:rowOff>
    </xdr:from>
    <xdr:to>
      <xdr:col>9</xdr:col>
      <xdr:colOff>917228</xdr:colOff>
      <xdr:row>33</xdr:row>
      <xdr:rowOff>150351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36261F-E9DA-42DC-A5D7-8507FC49E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1429" y="4642472"/>
          <a:ext cx="4539449" cy="1845179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283883</xdr:colOff>
      <xdr:row>34</xdr:row>
      <xdr:rowOff>67235</xdr:rowOff>
    </xdr:from>
    <xdr:to>
      <xdr:col>9</xdr:col>
      <xdr:colOff>2187662</xdr:colOff>
      <xdr:row>40</xdr:row>
      <xdr:rowOff>114598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75485C-7473-43D3-ADC8-F0D2284F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9883" y="6588685"/>
          <a:ext cx="5962650" cy="1152263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37</xdr:row>
      <xdr:rowOff>97118</xdr:rowOff>
    </xdr:from>
    <xdr:to>
      <xdr:col>2</xdr:col>
      <xdr:colOff>3830709</xdr:colOff>
      <xdr:row>40</xdr:row>
      <xdr:rowOff>157765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B1DE4E-17DB-445C-89BB-E17AE776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353" y="7171018"/>
          <a:ext cx="4625206" cy="613097"/>
        </a:xfrm>
        <a:prstGeom prst="rect">
          <a:avLst/>
        </a:prstGeom>
      </xdr:spPr>
    </xdr:pic>
    <xdr:clientData/>
  </xdr:twoCellAnchor>
  <xdr:twoCellAnchor>
    <xdr:from>
      <xdr:col>10</xdr:col>
      <xdr:colOff>127756</xdr:colOff>
      <xdr:row>23</xdr:row>
      <xdr:rowOff>69184</xdr:rowOff>
    </xdr:from>
    <xdr:to>
      <xdr:col>14</xdr:col>
      <xdr:colOff>432159</xdr:colOff>
      <xdr:row>38</xdr:row>
      <xdr:rowOff>15452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DE7607-65E5-425B-9556-AF181C315019}"/>
            </a:ext>
            <a:ext uri="{147F2762-F138-4A5C-976F-8EAC2B608ADB}">
              <a16:predDERef xmlns:a16="http://schemas.microsoft.com/office/drawing/2014/main" pred="{C2B1DE4E-17DB-445C-89BB-E17AE776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24918</xdr:colOff>
      <xdr:row>22</xdr:row>
      <xdr:rowOff>131503</xdr:rowOff>
    </xdr:from>
    <xdr:to>
      <xdr:col>19</xdr:col>
      <xdr:colOff>585969</xdr:colOff>
      <xdr:row>37</xdr:row>
      <xdr:rowOff>101601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2BEF70-A8BB-4701-A019-9A9884EEAA55}"/>
            </a:ext>
            <a:ext uri="{147F2762-F138-4A5C-976F-8EAC2B608ADB}">
              <a16:predDERef xmlns:a16="http://schemas.microsoft.com/office/drawing/2014/main" pred="{EADE7607-65E5-425B-9556-AF181C315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185677</xdr:colOff>
      <xdr:row>5</xdr:row>
      <xdr:rowOff>187641</xdr:rowOff>
    </xdr:from>
    <xdr:to>
      <xdr:col>25</xdr:col>
      <xdr:colOff>484741</xdr:colOff>
      <xdr:row>20</xdr:row>
      <xdr:rowOff>20341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F043FA-545C-44FB-9489-786080C3663E}"/>
            </a:ext>
            <a:ext uri="{147F2762-F138-4A5C-976F-8EAC2B608ADB}">
              <a16:predDERef xmlns:a16="http://schemas.microsoft.com/office/drawing/2014/main" pred="{0B2BEF70-A8BB-4701-A019-9A9884EEA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ght Lovera" id="{6D6FBE92-BAC2-465D-8E47-189A9522E038}" userId="2d8b1812f0c72e4a" providerId="Windows Live"/>
  <person displayName="night lovera" id="{9D4F5740-BB2F-4297-AB4E-6750973E58B8}" userId="S::night.lovera@hskl.onmicrosoft.com::ad4dd429-f415-4371-b142-ad206ba256b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8B42D6C-BD96-41ED-88CB-1681376698C1}" name="Table130" displayName="Table130" ref="B6:D16" totalsRowShown="0" headerRowDxfId="138" dataDxfId="137">
  <autoFilter ref="B6:D16" xr:uid="{6F3CD612-F882-4313-994E-6610C6CBF366}"/>
  <tableColumns count="3">
    <tableColumn id="1" xr3:uid="{BB9A379E-F700-45FC-A80B-2E7418ACBADE}" name="No." dataDxfId="136"/>
    <tableColumn id="2" xr3:uid="{58E6C12F-0059-4DB3-BD3D-5D4583B3E17E}" name="Input" dataDxfId="135"/>
    <tableColumn id="3" xr3:uid="{6218E599-7F62-4689-9C02-A485DCAE68FE}" name="Value" dataDxfId="13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6C7442-E82E-442A-A10E-5CE1AE8F0763}" name="Table27" displayName="Table27" ref="B17:D22" totalsRowShown="0">
  <autoFilter ref="B17:D22" xr:uid="{A89FE214-F480-43D5-A909-CE6100A7F2B4}"/>
  <tableColumns count="3">
    <tableColumn id="1" xr3:uid="{FAF0A2E7-539F-46B0-8674-716657846BC8}" name="No."/>
    <tableColumn id="2" xr3:uid="{079EA7A1-78B9-4B65-8B1A-54B41775CB9D}" name="Output"/>
    <tableColumn id="3" xr3:uid="{F41D05E5-4EE8-4436-9B5B-3A4114BF2E95}" name="Value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0852DB-F4AF-4D39-ABDE-9FFC500975A2}" name="Table112" displayName="Table112" ref="B6:D16" totalsRowShown="0" headerRowDxfId="113" dataDxfId="112">
  <autoFilter ref="B6:D16" xr:uid="{6F3CD612-F882-4313-994E-6610C6CBF366}"/>
  <tableColumns count="3">
    <tableColumn id="1" xr3:uid="{B70BDDC2-9A93-47D0-A7A3-486FECB73D33}" name="No." dataDxfId="111"/>
    <tableColumn id="2" xr3:uid="{2BD04588-8951-414D-96B6-A1AEB87BE4CC}" name="Input" dataDxfId="110"/>
    <tableColumn id="3" xr3:uid="{336C1667-C2F4-4F51-AEF6-E17CF3780CE1}" name="Value" dataDxfId="109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C72DB1-FFDA-4930-A8EB-7D0CC25F08F6}" name="Table213" displayName="Table213" ref="B17:D22" totalsRowShown="0">
  <autoFilter ref="B17:D22" xr:uid="{A89FE214-F480-43D5-A909-CE6100A7F2B4}"/>
  <tableColumns count="3">
    <tableColumn id="1" xr3:uid="{2122B9D8-071C-409B-B6BC-4C35369AE24B}" name="No."/>
    <tableColumn id="2" xr3:uid="{8690DB08-A64B-4186-84A8-56C0A831868A}" name="Output"/>
    <tableColumn id="3" xr3:uid="{A0D0ED15-9FB0-4583-8A27-77FB69425A14}" name="Value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D5CF6E-2020-4D0A-A73F-85CD671782FC}" name="Table14" displayName="Table14" ref="B6:D16" totalsRowShown="0" headerRowDxfId="108" dataDxfId="107">
  <autoFilter ref="B6:D16" xr:uid="{6F3CD612-F882-4313-994E-6610C6CBF366}"/>
  <tableColumns count="3">
    <tableColumn id="1" xr3:uid="{9FEF6AF8-1A91-4372-80F9-64EAFBF9EB79}" name="No." dataDxfId="106"/>
    <tableColumn id="2" xr3:uid="{EDD15939-A66C-4D50-A7EE-80E6EC0456D1}" name="Input" dataDxfId="105"/>
    <tableColumn id="3" xr3:uid="{CEB8475D-C851-4C4E-80A6-44F133391369}" name="Value" dataDxfId="104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24A1F7-B93A-4DAB-8DC0-32C674A9D7AF}" name="Table25" displayName="Table25" ref="B17:D22" totalsRowShown="0">
  <autoFilter ref="B17:D22" xr:uid="{A89FE214-F480-43D5-A909-CE6100A7F2B4}"/>
  <tableColumns count="3">
    <tableColumn id="1" xr3:uid="{F0A20E7E-C3A8-42F3-A1CD-F72FAD80BE0B}" name="No."/>
    <tableColumn id="2" xr3:uid="{210A2F55-3232-4044-B6F1-4D96137E7C8A}" name="Output"/>
    <tableColumn id="3" xr3:uid="{FD6673A4-FCAA-440E-BC73-ADF78BB2EACB}" name="Value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BC18E6-D6B4-4B24-A42F-5B3A96220DB2}" name="Table13" displayName="Table13" ref="J7:M12" totalsRowShown="0">
  <autoFilter ref="J7:M12" xr:uid="{0DBC18E6-D6B4-4B24-A42F-5B3A96220DB2}"/>
  <tableColumns count="4">
    <tableColumn id="1" xr3:uid="{76EBA8D1-6C90-4792-9F5C-4E6C6ED402A0}" name="Inverterzahlen "/>
    <tableColumn id="2" xr3:uid="{487B7EF5-53BB-45E1-AF60-EB69A8D295A8}" name="LCOE [cent/kWh]"/>
    <tableColumn id="3" xr3:uid="{83AA5D7C-46A8-47EF-93B1-0DE18DA0B14C}" name="CAPEX [$]"/>
    <tableColumn id="4" xr3:uid="{2FD204BB-B7D4-4247-B88F-4EA843B867A6}" name="EE [kWh]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61C681C-65C4-4DF1-82D3-82756A9F98F9}" name="Table15" displayName="Table15" ref="J14:L20" totalsRowShown="0">
  <autoFilter ref="J14:L20" xr:uid="{061C681C-65C4-4DF1-82D3-82756A9F98F9}"/>
  <tableColumns count="3">
    <tableColumn id="1" xr3:uid="{750CE63F-EBA0-4C6B-B561-9866A1192AD8}" name="Neigungswinkel [°]"/>
    <tableColumn id="2" xr3:uid="{B3FBFC22-7534-4FE3-A60B-341F343AF206}" name="LCOE [cent/kWh]"/>
    <tableColumn id="3" xr3:uid="{D3B654A9-F806-4281-B15C-3ABD815DB81A}" name="EE [MWh]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BB62704-AA18-4B30-A78A-7F9A243D2728}" name="Table1316" displayName="Table1316" ref="O7:R11" totalsRowShown="0">
  <autoFilter ref="O7:R11" xr:uid="{FBB62704-AA18-4B30-A78A-7F9A243D2728}"/>
  <tableColumns count="4">
    <tableColumn id="1" xr3:uid="{92C3F8C9-43B8-4DF9-9BB9-F30A9E05F2FB}" name="Inverterzahlen "/>
    <tableColumn id="2" xr3:uid="{C0F6E450-C3A0-439F-9020-0F5FAFE80C07}" name="LCOE [cent/kWh]"/>
    <tableColumn id="3" xr3:uid="{BAA51EE2-DC92-4740-889E-39B600D1CB21}" name="CAPEX [$]"/>
    <tableColumn id="4" xr3:uid="{D6854F65-5D5B-406E-A9A1-7709B3084DFD}" name="EE [MWh]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BB050C1-AB03-4199-A2C1-2FFD31EC4393}" name="Table1417" displayName="Table1417" ref="B6:D16" totalsRowShown="0" headerRowDxfId="103" dataDxfId="102">
  <autoFilter ref="B6:D16" xr:uid="{6F3CD612-F882-4313-994E-6610C6CBF366}"/>
  <tableColumns count="3">
    <tableColumn id="1" xr3:uid="{4918A3D6-519A-4224-9EF4-D718BE9209E7}" name="No." dataDxfId="101"/>
    <tableColumn id="2" xr3:uid="{DF655B53-C210-49E7-9B95-DE284D13B33E}" name="Input" dataDxfId="100"/>
    <tableColumn id="3" xr3:uid="{899C15C0-9EEC-4AB3-B0DC-C744776D5FFC}" name="Value" dataDxfId="99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527E6F5-493F-4899-A37E-A4A9C5587CE1}" name="Table2518" displayName="Table2518" ref="B17:D22" totalsRowShown="0">
  <autoFilter ref="B17:D22" xr:uid="{A89FE214-F480-43D5-A909-CE6100A7F2B4}"/>
  <tableColumns count="3">
    <tableColumn id="1" xr3:uid="{D547B540-D008-477C-A599-F556560626D4}" name="No."/>
    <tableColumn id="2" xr3:uid="{29F1A32C-A026-4D4F-8B16-D08F69366B8F}" name="Output"/>
    <tableColumn id="3" xr3:uid="{E150E257-B134-4A89-838B-7D9BA65F544F}" name="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EB53825-7866-43A1-B95F-10BC5038AE2D}" name="Table232" displayName="Table232" ref="B17:D22" totalsRowShown="0">
  <autoFilter ref="B17:D22" xr:uid="{A89FE214-F480-43D5-A909-CE6100A7F2B4}"/>
  <tableColumns count="3">
    <tableColumn id="1" xr3:uid="{69EF0A41-B976-4E06-9DA1-E5C1DACD635E}" name="No."/>
    <tableColumn id="2" xr3:uid="{C56BDB62-514D-4209-837B-6579CF384E43}" name="Output"/>
    <tableColumn id="3" xr3:uid="{7E0BE7B6-D740-4C9F-88B3-A5348F2CDBD2}" name="Value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B524B58-A27E-4613-8AEC-D214AFBFDBF2}" name="Table1319" displayName="Table1319" ref="J7:M12" totalsRowShown="0">
  <autoFilter ref="J7:M12" xr:uid="{0DBC18E6-D6B4-4B24-A42F-5B3A96220DB2}"/>
  <tableColumns count="4">
    <tableColumn id="1" xr3:uid="{F4CA5F31-3A56-4833-A615-D928858EB003}" name="Inverterzahlen (DATEN AUS DODGE CITY)"/>
    <tableColumn id="2" xr3:uid="{385252F7-EBDC-48C6-BE62-385C1AF71399}" name="LCOE [cent/kWh]"/>
    <tableColumn id="3" xr3:uid="{A8DAE252-DFF6-4C56-94B9-B1A9298DFB54}" name="CAPEX [$]"/>
    <tableColumn id="4" xr3:uid="{E1BD659F-13CB-463F-A44D-9DFFDF282AC9}" name="EE [kWh]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F918E04-4C41-4EE1-9F82-BDF611C35741}" name="Table1520" displayName="Table1520" ref="J14:L21" totalsRowShown="0">
  <autoFilter ref="J14:L21" xr:uid="{061C681C-65C4-4DF1-82D3-82756A9F98F9}"/>
  <tableColumns count="3">
    <tableColumn id="1" xr3:uid="{2237CFE1-E67E-4C6C-95D0-4FCD2E9366AA}" name="Neigungswinkel [°]"/>
    <tableColumn id="2" xr3:uid="{41390A6D-62B5-4ED6-B7BA-8DE3B6F6CBB9}" name="LCOE [cent/kWh]"/>
    <tableColumn id="3" xr3:uid="{E9422AA3-EB9A-412F-AD35-04C5842A6FC8}" name="EE [M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0BB74E3-C7D8-4E6D-88DD-5924587BACD6}" name="Table131621" displayName="Table131621" ref="O7:R11" totalsRowShown="0">
  <autoFilter ref="O7:R11" xr:uid="{FBB62704-AA18-4B30-A78A-7F9A243D2728}"/>
  <tableColumns count="4">
    <tableColumn id="1" xr3:uid="{7E769BFA-1266-4348-8D5D-BE278B032F79}" name="Inverterzahlen "/>
    <tableColumn id="2" xr3:uid="{BFF5BEB2-AF7C-423C-8D7E-C146AF3BC2B8}" name="LCOE [cent/kWh]"/>
    <tableColumn id="3" xr3:uid="{E90F5DF8-8236-4A66-B708-F1A9A54ADC4C}" name="CAPEX [$]"/>
    <tableColumn id="4" xr3:uid="{46936C06-EFFD-4B70-866A-3559E319D499}" name="EE [MWh]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24175E8-321F-4ACF-811F-9EF6FEAB029D}" name="Table33" displayName="Table33" ref="D5:L25" totalsRowShown="0" headerRowDxfId="98" headerRowBorderDxfId="97" tableBorderDxfId="96">
  <autoFilter ref="D5:L25" xr:uid="{824175E8-321F-4ACF-811F-9EF6FEAB029D}"/>
  <tableColumns count="9">
    <tableColumn id="1" xr3:uid="{FD0B739B-FB05-43A4-9FB7-3FA82A69F71D}" name="Zeit"/>
    <tableColumn id="2" xr3:uid="{FA360994-8ED3-4D4B-8249-B5B41D918AD4}" name="momentane Pelektrich [kW]" dataDxfId="95"/>
    <tableColumn id="3" xr3:uid="{26086FED-FCB7-4F9E-A46E-9716BE80269F}" name="Tkalt [C]" dataDxfId="94"/>
    <tableColumn id="4" xr3:uid="{804A1054-79F2-47D0-8A18-E39775E422EA}" name="Twarm[C]" dataDxfId="93"/>
    <tableColumn id="5" xr3:uid="{98012DF7-A811-4A40-9CFF-3BEA37DF7ADF}" name="Qnutzt = m*c*dT [kJ]" dataDxfId="92">
      <calculatedColumnFormula>$B$6*$B$8*ABS(G6-G5)</calculatedColumnFormula>
    </tableColumn>
    <tableColumn id="6" xr3:uid="{528C560F-BE02-439E-9FF1-1BDF1664D194}" name="Summe der Q [kJ]" dataDxfId="91">
      <calculatedColumnFormula>H6+I5</calculatedColumnFormula>
    </tableColumn>
    <tableColumn id="7" xr3:uid="{663B2CCC-BE45-4185-B66C-42E9689EB421}" name="Summe der Welektrisch in einer Minute (momentane* die vergangene Zeit) [kJ]" dataDxfId="90">
      <calculatedColumnFormula>(60*E6)+J5</calculatedColumnFormula>
    </tableColumn>
    <tableColumn id="8" xr3:uid="{4187E10A-0AB2-4EC1-AEA6-8A1816F4C724}" name="Leistungszahl (Summe der Q in kJ/Summe der Welektrisch in kJ)" dataDxfId="89">
      <calculatedColumnFormula>ROUND(I6/J6,2)</calculatedColumnFormula>
    </tableColumn>
    <tableColumn id="9" xr3:uid="{5A5E261E-01BB-45D2-A41D-7E4DE18A6640}" name="Leistungszahl mit rel. Fehler" dataDxfId="88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5319CA3-5F7C-4072-BB5D-B105BA609DD9}" name="Table142227" displayName="Table142227" ref="B6:D16" totalsRowShown="0" headerRowDxfId="87" dataDxfId="86">
  <autoFilter ref="B6:D16" xr:uid="{6F3CD612-F882-4313-994E-6610C6CBF366}"/>
  <tableColumns count="3">
    <tableColumn id="1" xr3:uid="{BC48436C-A485-4A52-BF16-66CA023B2A41}" name="No." dataDxfId="85"/>
    <tableColumn id="2" xr3:uid="{BDB5A8D4-D840-4C97-B7DF-88629F968384}" name="Input" dataDxfId="84"/>
    <tableColumn id="3" xr3:uid="{64144774-80B2-4852-A791-7A6BD66B5F54}" name="Value" dataDxfId="83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FB8A682-56B4-4A4D-B498-64A7816DCBFE}" name="Table252328" displayName="Table252328" ref="B17:D22" totalsRowShown="0">
  <autoFilter ref="B17:D22" xr:uid="{A89FE214-F480-43D5-A909-CE6100A7F2B4}"/>
  <tableColumns count="3">
    <tableColumn id="1" xr3:uid="{1BF14226-31F9-4E09-8929-F0CCE60A4BD7}" name="No."/>
    <tableColumn id="2" xr3:uid="{7AA3E81D-7FAF-491B-A816-445D112EED59}" name="Output"/>
    <tableColumn id="3" xr3:uid="{C5E5551F-C3DC-4C9E-A5BE-13C98EFFEF0B}" name="Value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6D434E2-887B-49F2-8B5B-CDC2E6CC1894}" name="Table132429" displayName="Table132429" ref="J7:M14" totalsRowShown="0">
  <autoFilter ref="J7:M14" xr:uid="{0DBC18E6-D6B4-4B24-A42F-5B3A96220DB2}"/>
  <tableColumns count="4">
    <tableColumn id="1" xr3:uid="{F9A1A0C5-D23B-45FA-BB49-675BD899E39E}" name="Solar Multiple"/>
    <tableColumn id="2" xr3:uid="{98016C6F-785A-48FE-8379-A45234ED0DE8}" name="LCOE [cent/kWh]"/>
    <tableColumn id="3" xr3:uid="{999693B5-50A3-481F-A72E-F0D015079367}" name="CAPEX [$]"/>
    <tableColumn id="4" xr3:uid="{DE1D3FD6-3547-4815-B4D2-8A4CD97974F0}" name="EE [kWh]"/>
  </tableColumns>
  <tableStyleInfo name="TableStyleMedium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D1C9900-FCDF-4C7F-A2E6-104E14D14E28}" name="Table13162631" displayName="Table13162631" ref="O7:R11" totalsRowShown="0">
  <autoFilter ref="O7:R11" xr:uid="{FBB62704-AA18-4B30-A78A-7F9A243D2728}"/>
  <tableColumns count="4">
    <tableColumn id="1" xr3:uid="{41E34A55-3BC6-4564-926A-CE80BE6786CB}" name="Inverterzahlen "/>
    <tableColumn id="2" xr3:uid="{FF4FAECD-78E8-4792-9A6A-D1086B99A69E}" name="LCOE [cent/kWh]"/>
    <tableColumn id="3" xr3:uid="{5BA69EBC-C250-4691-8BE8-AF72212D4257}" name="CAPEX [$]"/>
    <tableColumn id="4" xr3:uid="{9838B3FA-B381-4F39-9BE5-F3A2F2C86BA7}" name="EE [MWh]"/>
  </tableColumns>
  <tableStyleInfo name="TableStyleMedium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97DB52-4BFE-40D0-B81F-F91F668367C9}" name="Table1422" displayName="Table1422" ref="B6:D16" totalsRowShown="0" headerRowDxfId="82" dataDxfId="81">
  <autoFilter ref="B6:D16" xr:uid="{6F3CD612-F882-4313-994E-6610C6CBF366}"/>
  <tableColumns count="3">
    <tableColumn id="1" xr3:uid="{B595EA73-9C35-43A2-9F25-65963E19D504}" name="No." dataDxfId="80"/>
    <tableColumn id="2" xr3:uid="{32B3D1F2-5B44-4E99-B77C-F667CAC9438A}" name="Input" dataDxfId="79"/>
    <tableColumn id="3" xr3:uid="{99FD07DF-1A0E-4647-A3CA-7C4C57D7CE93}" name="Value" dataDxfId="78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9F62E27-98D4-4AC2-A1D8-FF5D29FAD629}" name="Table2523" displayName="Table2523" ref="B17:D22" totalsRowShown="0">
  <autoFilter ref="B17:D22" xr:uid="{A89FE214-F480-43D5-A909-CE6100A7F2B4}"/>
  <tableColumns count="3">
    <tableColumn id="1" xr3:uid="{439B50AF-C731-4208-A9EA-AF6F65F55A7C}" name="No."/>
    <tableColumn id="2" xr3:uid="{36467716-A2CB-4D70-8AAE-1AB5DFA4ECCB}" name="Output"/>
    <tableColumn id="3" xr3:uid="{FE3BE83E-FD75-4E38-84E4-F9334DBCFDBF}" name="Valu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3CD612-F882-4313-994E-6610C6CBF366}" name="Table1" displayName="Table1" ref="B6:D16" totalsRowShown="0" headerRowDxfId="133" dataDxfId="132">
  <autoFilter ref="B6:D16" xr:uid="{6F3CD612-F882-4313-994E-6610C6CBF366}"/>
  <tableColumns count="3">
    <tableColumn id="1" xr3:uid="{9D781EB3-6046-42AC-BCE8-CF1A96BDA00E}" name="No." dataDxfId="131"/>
    <tableColumn id="2" xr3:uid="{81725440-448B-4EAC-9C4F-CB59C4B8EB43}" name="Input" dataDxfId="130"/>
    <tableColumn id="3" xr3:uid="{5B501A1C-60FA-46C1-9411-4399B624A5D2}" name="Value" dataDxfId="12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93FA4F6-EFC4-46D9-A769-D2F976DBDFAB}" name="Table1324" displayName="Table1324" ref="J7:M12" totalsRowShown="0">
  <autoFilter ref="J7:M12" xr:uid="{0DBC18E6-D6B4-4B24-A42F-5B3A96220DB2}"/>
  <tableColumns count="4">
    <tableColumn id="1" xr3:uid="{E0CDF66C-B20A-4507-B1A0-780DF2DE912A}" name="Inverterzahlen "/>
    <tableColumn id="2" xr3:uid="{8A030DB9-B7C8-42F6-9697-A16AF1E5B93E}" name="LCOE [cent/kWh]"/>
    <tableColumn id="3" xr3:uid="{72C43053-B1C5-4ECF-9AB7-3777D18F4C28}" name="CAPEX [$]"/>
    <tableColumn id="4" xr3:uid="{57EAC44D-B75C-4076-BC19-8C492CD12439}" name="EE [kWh]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F17DACD-B8C4-4C99-81C1-B6EAA91FAC38}" name="Table1525" displayName="Table1525" ref="J14:L20" totalsRowShown="0">
  <autoFilter ref="J14:L20" xr:uid="{061C681C-65C4-4DF1-82D3-82756A9F98F9}"/>
  <tableColumns count="3">
    <tableColumn id="1" xr3:uid="{AF296726-EAFB-4198-9FCE-F645923F803E}" name="Neigungswinkel [°]"/>
    <tableColumn id="2" xr3:uid="{BAD2FF96-BBB9-471A-A2D4-341451A0E749}" name="LCOE [cent/kWh]"/>
    <tableColumn id="3" xr3:uid="{5110848B-7E39-4ECB-8AEB-3FAE9493060F}" name="EE [MWh]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0D05AD4-C5FD-4038-B38B-2AF83DF4E98F}" name="Table131626" displayName="Table131626" ref="O7:R11" totalsRowShown="0">
  <autoFilter ref="O7:R11" xr:uid="{FBB62704-AA18-4B30-A78A-7F9A243D2728}"/>
  <tableColumns count="4">
    <tableColumn id="1" xr3:uid="{98C047DA-49C7-47A6-8726-BF4267C3F17C}" name="Inverterzahlen "/>
    <tableColumn id="2" xr3:uid="{53F65C42-F00D-48DD-89AE-840A5C48464F}" name="LCOE [cent/kWh]"/>
    <tableColumn id="3" xr3:uid="{32B30483-ABD0-4570-BDAF-21BA7828CFCB}" name="CAPEX [$]"/>
    <tableColumn id="4" xr3:uid="{0B921696-4067-42F4-A88A-92ADDDC8004E}" name="EE [MWh]"/>
  </tableColumns>
  <tableStyleInfo name="TableStyleMedium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4620EC-F708-42C8-9B61-C63574CDA970}" name="Table3235" displayName="Table3235" ref="D10:Y14" totalsRowShown="0" headerRowDxfId="77" dataDxfId="76">
  <autoFilter ref="D10:Y14" xr:uid="{A0D7781E-C4C1-4B1C-8BA2-0D326B21ACC9}"/>
  <tableColumns count="22">
    <tableColumn id="1" xr3:uid="{82CDF2D2-29D2-4444-A4BA-B70056D09907}" name="Year" dataDxfId="75"/>
    <tableColumn id="2" xr3:uid="{D5814DD0-2F70-4DA9-A018-84A42CACE7A8}" name="1" dataDxfId="74"/>
    <tableColumn id="3" xr3:uid="{824589B4-5BCB-4804-91A2-4AB45C5F436F}" name="2" dataDxfId="73"/>
    <tableColumn id="4" xr3:uid="{66C4FAC7-C36E-42FB-8EBD-4B13631BACF1}" name="3" dataDxfId="72"/>
    <tableColumn id="5" xr3:uid="{B08B88BD-0C01-4F76-807E-48B5945060D4}" name="4" dataDxfId="71"/>
    <tableColumn id="6" xr3:uid="{2C9C4E2B-8279-4616-8CE9-1F79DB78469B}" name="5" dataDxfId="70"/>
    <tableColumn id="7" xr3:uid="{B704F4CA-C3DA-4B5F-A7A4-6E1C6FCBA044}" name="6" dataDxfId="69"/>
    <tableColumn id="8" xr3:uid="{CBCC9044-DC72-49B8-8128-C705625F157C}" name="7" dataDxfId="68"/>
    <tableColumn id="9" xr3:uid="{0F5AF4B4-CE8E-414E-A773-93B1A0963CF0}" name="8" dataDxfId="67"/>
    <tableColumn id="10" xr3:uid="{DFF29AD1-CB1F-4F3A-B6A5-0C9409FF7AB6}" name="9" dataDxfId="66"/>
    <tableColumn id="11" xr3:uid="{55AB0CEE-76F5-4B77-BD58-F62B696CD95A}" name="10" dataDxfId="65"/>
    <tableColumn id="12" xr3:uid="{046D8E87-1B0B-481E-84DF-E88B98812C8D}" name="11" dataDxfId="64"/>
    <tableColumn id="13" xr3:uid="{B482BEF1-0557-44F0-AD4D-33A6C5539BF3}" name="12" dataDxfId="63"/>
    <tableColumn id="14" xr3:uid="{4FAD8857-8709-46CD-BF11-0A19C9B3A008}" name="13" dataDxfId="62"/>
    <tableColumn id="15" xr3:uid="{D35155B8-5E84-40F8-8616-73A442A1C8F5}" name="14" dataDxfId="61"/>
    <tableColumn id="16" xr3:uid="{44202E24-84D2-4318-B902-9482B85729B9}" name="15" dataDxfId="60"/>
    <tableColumn id="17" xr3:uid="{3FB7877D-3720-46D3-8018-CC6A8347AA03}" name="16" dataDxfId="59"/>
    <tableColumn id="18" xr3:uid="{A281149E-3D21-4C1C-A924-29AD508665ED}" name="17" dataDxfId="58"/>
    <tableColumn id="19" xr3:uid="{F2D9B28F-1EA3-4473-A032-42A803459F01}" name="18" dataDxfId="57"/>
    <tableColumn id="20" xr3:uid="{2468589E-E616-48E4-846D-D4E1F55D3587}" name="19" dataDxfId="56"/>
    <tableColumn id="21" xr3:uid="{1E6AC10A-E401-4042-998B-00C3FD79D906}" name="20" dataDxfId="55"/>
    <tableColumn id="22" xr3:uid="{250A8970-E237-48E5-9440-84EE7222496C}" name="TOTAL" dataDxfId="54">
      <calculatedColumnFormula>SUM(E11:X11)</calculatedColumnFormula>
    </tableColumn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0D7781E-C4C1-4B1C-8BA2-0D326B21ACC9}" name="Table32" displayName="Table32" ref="D10:Y14" totalsRowShown="0" headerRowDxfId="53" dataDxfId="52">
  <autoFilter ref="D10:Y14" xr:uid="{A0D7781E-C4C1-4B1C-8BA2-0D326B21ACC9}"/>
  <tableColumns count="22">
    <tableColumn id="1" xr3:uid="{F3F14CA7-BEB2-43BD-B999-11125FD34270}" name="Year" dataDxfId="51"/>
    <tableColumn id="2" xr3:uid="{A7D704EC-AD9E-4680-96EF-808DAE800B8D}" name="1" dataDxfId="50"/>
    <tableColumn id="3" xr3:uid="{266EA0E2-01DE-4D96-B920-AAA89649217E}" name="2" dataDxfId="49"/>
    <tableColumn id="4" xr3:uid="{6C062E57-5F83-4A3A-B933-79F7C9FF33F3}" name="3" dataDxfId="48"/>
    <tableColumn id="5" xr3:uid="{25CD6839-91ED-4BFD-9E36-72B54BCE3B44}" name="4" dataDxfId="47"/>
    <tableColumn id="6" xr3:uid="{B2D7735C-EAD0-4AF2-899E-30ECC606AD12}" name="5" dataDxfId="46"/>
    <tableColumn id="7" xr3:uid="{1C10083D-C543-4384-AC9B-2D24C6AF8521}" name="6" dataDxfId="45"/>
    <tableColumn id="8" xr3:uid="{CCD833BA-5D15-480F-912C-C00F795AB6DA}" name="7" dataDxfId="44"/>
    <tableColumn id="9" xr3:uid="{66855A99-CA14-4D43-8E51-CB568DC2FD93}" name="8" dataDxfId="43"/>
    <tableColumn id="10" xr3:uid="{C345BF71-9CEC-483F-AA2D-5D513D2BC1F7}" name="9" dataDxfId="42"/>
    <tableColumn id="11" xr3:uid="{622E518D-5A02-4DC0-AFD2-2DC854951A2B}" name="10" dataDxfId="41"/>
    <tableColumn id="12" xr3:uid="{08CEBF16-4261-4507-BECF-F3522DD809E2}" name="11" dataDxfId="40"/>
    <tableColumn id="13" xr3:uid="{783F19E7-7AFA-48F4-9E4A-DE3482656D82}" name="12" dataDxfId="39"/>
    <tableColumn id="14" xr3:uid="{A8E2D03D-4DBB-4D24-91F9-34CCA52904A9}" name="13" dataDxfId="38"/>
    <tableColumn id="15" xr3:uid="{D5A43562-4873-4939-8394-8FA11D45BA44}" name="14" dataDxfId="37"/>
    <tableColumn id="16" xr3:uid="{78CDAE16-243C-4594-BFA3-BF69C7F6A87E}" name="15" dataDxfId="36"/>
    <tableColumn id="17" xr3:uid="{49F826AC-2CA4-496C-984C-43BAC1960DE8}" name="16" dataDxfId="35"/>
    <tableColumn id="18" xr3:uid="{7C9FC006-3EE9-4B92-8E17-94EA8136B7DC}" name="17" dataDxfId="34"/>
    <tableColumn id="19" xr3:uid="{0CC6B32F-844E-49D9-96C6-1B151BA19565}" name="18" dataDxfId="33"/>
    <tableColumn id="20" xr3:uid="{864D126C-C254-42E1-AF1A-AC06D63D2785}" name="19" dataDxfId="32"/>
    <tableColumn id="21" xr3:uid="{0EBFE4DF-7DC5-4D6A-A5E2-E3F4DC5F1B7E}" name="20" dataDxfId="31"/>
    <tableColumn id="22" xr3:uid="{4E22C4BF-EDD1-4061-9AE5-9354F1C87C39}" name="TOTAL" dataDxfId="30">
      <calculatedColumnFormula>SUM(E11:X11)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9FE214-F480-43D5-A909-CE6100A7F2B4}" name="Table2" displayName="Table2" ref="B17:D22" totalsRowShown="0">
  <autoFilter ref="B17:D22" xr:uid="{A89FE214-F480-43D5-A909-CE6100A7F2B4}"/>
  <tableColumns count="3">
    <tableColumn id="1" xr3:uid="{5E2F970E-DE8C-4986-AE54-406A1FBC9D47}" name="No."/>
    <tableColumn id="2" xr3:uid="{DCB84F10-EDE3-4C1B-AF3F-F8ACD8ADC33D}" name="Output"/>
    <tableColumn id="3" xr3:uid="{5B210412-889B-4DA5-958D-4B3ED1946661}" name="Valu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8D26A1-D604-4747-ABA4-45F30E4A5CF2}" name="Table16810" displayName="Table16810" ref="B6:D16" totalsRowShown="0" headerRowDxfId="128" dataDxfId="127">
  <autoFilter ref="B6:D16" xr:uid="{6F3CD612-F882-4313-994E-6610C6CBF366}"/>
  <tableColumns count="3">
    <tableColumn id="1" xr3:uid="{4872A4B9-2235-47B6-90F8-CA42B500D10E}" name="No." dataDxfId="126"/>
    <tableColumn id="2" xr3:uid="{30DAD3E9-6CC8-4822-A499-3BF886F491EE}" name="Input" dataDxfId="125"/>
    <tableColumn id="3" xr3:uid="{21A8B66B-A61C-491C-B3EB-4B8286207D53}" name="Value" dataDxfId="12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74B0DA-FC09-4EBA-BEC9-F4FB1F640356}" name="Table27911" displayName="Table27911" ref="B17:D22" totalsRowShown="0">
  <autoFilter ref="B17:D22" xr:uid="{A89FE214-F480-43D5-A909-CE6100A7F2B4}"/>
  <tableColumns count="3">
    <tableColumn id="1" xr3:uid="{5994200A-DF8A-48D9-90D4-ED7720675899}" name="No."/>
    <tableColumn id="2" xr3:uid="{7A507CC3-605A-4073-B19F-2731822E0B1B}" name="Output"/>
    <tableColumn id="3" xr3:uid="{3509AF76-B376-4EEC-9AAE-7AE489C79C35}" name="Value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AA72F0-FA73-4BF3-B214-6ED1B157DBE2}" name="Table168" displayName="Table168" ref="B6:D16" totalsRowShown="0" headerRowDxfId="123" dataDxfId="122">
  <autoFilter ref="B6:D16" xr:uid="{6F3CD612-F882-4313-994E-6610C6CBF366}"/>
  <tableColumns count="3">
    <tableColumn id="1" xr3:uid="{042BCE12-C4D0-4182-A4AE-883A2EFACD0F}" name="No." dataDxfId="121"/>
    <tableColumn id="2" xr3:uid="{B7E7B1A5-ECEC-480D-9E53-076608BF755D}" name="Input" dataDxfId="120"/>
    <tableColumn id="3" xr3:uid="{A87E693D-C67B-47D3-A2D5-957D513C6640}" name="Value" dataDxfId="11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01AA4D-0003-423B-953F-8782D6F4D01C}" name="Table279" displayName="Table279" ref="B17:D22" totalsRowShown="0">
  <autoFilter ref="B17:D22" xr:uid="{A89FE214-F480-43D5-A909-CE6100A7F2B4}"/>
  <tableColumns count="3">
    <tableColumn id="1" xr3:uid="{63350BEC-030F-4EB1-AB81-047F4BE73F3D}" name="No."/>
    <tableColumn id="2" xr3:uid="{D8190F51-8E82-4C1E-AE00-AFEBFEA95004}" name="Output"/>
    <tableColumn id="3" xr3:uid="{5CBEF152-214E-4424-A4F5-28BA721BDF2F}" name="Value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ED80B3-9A25-4502-A690-97FC06A6D4B7}" name="Table16" displayName="Table16" ref="B6:D16" totalsRowShown="0" headerRowDxfId="118" dataDxfId="117">
  <autoFilter ref="B6:D16" xr:uid="{6F3CD612-F882-4313-994E-6610C6CBF366}"/>
  <tableColumns count="3">
    <tableColumn id="1" xr3:uid="{816B31E0-DAE3-4C2B-A348-5A3409DD3050}" name="No." dataDxfId="116"/>
    <tableColumn id="2" xr3:uid="{58BED414-4034-4073-8161-17EDD2EC7263}" name="Input" dataDxfId="115"/>
    <tableColumn id="3" xr3:uid="{9F711A0D-DF46-4E01-B976-9F3060EBDC2F}" name="Value" dataDxfId="11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A8C93898-B293-46D9-AC41-4BD666AB6B88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36E8695C-D5AB-4861-8A91-97BE897C84E2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4" dT="2024-04-17T13:19:48.40" personId="{6D6FBE92-BAC2-465D-8E47-189A9522E038}" id="{DC86688D-8216-4674-AA0C-148FD3C7DACF}">
    <text>CAPEX *80%</text>
  </threadedComment>
  <threadedComment ref="D6" dT="2024-04-17T13:19:37.84" personId="{6D6FBE92-BAC2-465D-8E47-189A9522E038}" id="{8EAE8324-BAEE-478E-B45C-3E8119FF14EC}">
    <text>Energy Yield * LCOE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D4" dT="2024-04-17T13:19:48.40" personId="{6D6FBE92-BAC2-465D-8E47-189A9522E038}" id="{9730D5A4-CCF1-4043-A015-4CB2444250B0}">
    <text>CAPEX *80%</text>
  </threadedComment>
  <threadedComment ref="D6" dT="2024-04-17T13:19:37.84" personId="{6D6FBE92-BAC2-465D-8E47-189A9522E038}" id="{DF1A7938-20FF-422C-A32E-34A25E50285F}">
    <text>Energy Yield * LCOE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9ED40AF6-4912-482A-9F58-C51D9E1D5395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A0E30EE1-A7FB-4D17-852D-9E14ED9693C0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5D973DAF-FA7F-4268-81AD-A72552A8720B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14DE7FEB-379A-4D25-8F39-644AE8C6E41F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0C8E531C-3654-4472-B80A-10BB7B333276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3394769F-9FBA-488F-B3B2-D2F1F5F4BCF3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29377010-6142-47EF-A721-A759C223801D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9" dT="2024-04-07T22:52:57.69" personId="{9D4F5740-BB2F-4297-AB4E-6750973E58B8}" id="{FE66EBBE-F80F-48E2-BE0D-6B724758B2F8}">
    <text>https://www.investopedia.com/terms/r/returnonequity.asp</text>
    <extLst>
      <x:ext xmlns:xltc2="http://schemas.microsoft.com/office/spreadsheetml/2020/threadedcomments2" uri="{F7C98A9C-CBB3-438F-8F68-D28B6AF4A901}">
        <xltc2:checksum>2029544337</xltc2:checksum>
        <xltc2:hyperlink startIndex="0" length="55" url="https://www.investopedia.com/terms/r/returnonequity.asp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9.xml"/><Relationship Id="rId3" Type="http://schemas.openxmlformats.org/officeDocument/2006/relationships/table" Target="../tables/table24.xml"/><Relationship Id="rId7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Relationship Id="rId9" Type="http://schemas.microsoft.com/office/2017/10/relationships/threadedComment" Target="../threadedComments/threadedComment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33.xml"/><Relationship Id="rId1" Type="http://schemas.openxmlformats.org/officeDocument/2006/relationships/vmlDrawing" Target="../drawings/vmlDrawing11.vml"/><Relationship Id="rId4" Type="http://schemas.microsoft.com/office/2017/10/relationships/threadedComment" Target="../threadedComments/threadedComment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34.xml"/><Relationship Id="rId1" Type="http://schemas.openxmlformats.org/officeDocument/2006/relationships/vmlDrawing" Target="../drawings/vmlDrawing12.vml"/><Relationship Id="rId4" Type="http://schemas.microsoft.com/office/2017/10/relationships/threadedComment" Target="../threadedComments/threadedComment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6" Type="http://schemas.microsoft.com/office/2017/10/relationships/threadedComment" Target="../threadedComments/threadedComment4.xml"/><Relationship Id="rId5" Type="http://schemas.openxmlformats.org/officeDocument/2006/relationships/comments" Target="../comments4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6" Type="http://schemas.microsoft.com/office/2017/10/relationships/threadedComment" Target="../threadedComments/threadedComment5.xml"/><Relationship Id="rId5" Type="http://schemas.openxmlformats.org/officeDocument/2006/relationships/comments" Target="../comments5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6" Type="http://schemas.microsoft.com/office/2017/10/relationships/threadedComment" Target="../threadedComments/threadedComment6.xml"/><Relationship Id="rId5" Type="http://schemas.openxmlformats.org/officeDocument/2006/relationships/comments" Target="../comments6.xml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7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Relationship Id="rId9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9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2418-390B-4414-A679-DF4E6EF12E04}">
  <dimension ref="B1:O58"/>
  <sheetViews>
    <sheetView tabSelected="1" topLeftCell="A11" zoomScale="70" zoomScaleNormal="70" workbookViewId="0">
      <selection activeCell="K26" sqref="K26"/>
    </sheetView>
  </sheetViews>
  <sheetFormatPr defaultRowHeight="14.5" x14ac:dyDescent="0.35"/>
  <cols>
    <col min="2" max="2" width="31.81640625" bestFit="1" customWidth="1"/>
    <col min="3" max="3" width="13.54296875" customWidth="1"/>
    <col min="4" max="4" width="11" customWidth="1"/>
    <col min="5" max="5" width="13.81640625" customWidth="1"/>
    <col min="6" max="6" width="18.54296875" bestFit="1" customWidth="1"/>
    <col min="7" max="7" width="12" customWidth="1"/>
    <col min="8" max="8" width="10.54296875" customWidth="1"/>
    <col min="9" max="10" width="11.26953125" customWidth="1"/>
    <col min="11" max="11" width="11.1796875" customWidth="1"/>
    <col min="12" max="12" width="11.26953125" customWidth="1"/>
  </cols>
  <sheetData>
    <row r="1" spans="2:15" x14ac:dyDescent="0.35">
      <c r="F1" s="80" t="s">
        <v>0</v>
      </c>
      <c r="G1" s="80" t="s">
        <v>1</v>
      </c>
    </row>
    <row r="2" spans="2:15" x14ac:dyDescent="0.35">
      <c r="B2" t="s">
        <v>2</v>
      </c>
      <c r="C2" t="s">
        <v>3</v>
      </c>
    </row>
    <row r="3" spans="2:15" x14ac:dyDescent="0.35">
      <c r="B3" t="s">
        <v>4</v>
      </c>
      <c r="C3" t="s">
        <v>5</v>
      </c>
    </row>
    <row r="4" spans="2:15" x14ac:dyDescent="0.35">
      <c r="B4" t="s">
        <v>6</v>
      </c>
      <c r="C4" t="s">
        <v>7</v>
      </c>
    </row>
    <row r="5" spans="2:15" x14ac:dyDescent="0.35">
      <c r="B5" t="s">
        <v>8</v>
      </c>
      <c r="C5">
        <v>1</v>
      </c>
    </row>
    <row r="6" spans="2:15" x14ac:dyDescent="0.35">
      <c r="B6" t="s">
        <v>9</v>
      </c>
      <c r="C6">
        <v>4.18</v>
      </c>
    </row>
    <row r="8" spans="2:15" ht="34.5" customHeight="1" x14ac:dyDescent="0.35">
      <c r="B8" s="70" t="s">
        <v>10</v>
      </c>
      <c r="C8" s="71">
        <v>1</v>
      </c>
      <c r="D8" s="71">
        <v>2</v>
      </c>
      <c r="E8" s="71">
        <v>3</v>
      </c>
      <c r="F8" s="71">
        <v>4</v>
      </c>
      <c r="G8" s="71">
        <v>5</v>
      </c>
      <c r="H8" s="71">
        <v>6</v>
      </c>
      <c r="I8" s="71">
        <v>7</v>
      </c>
      <c r="J8" s="71">
        <v>8</v>
      </c>
      <c r="K8" s="71">
        <v>9</v>
      </c>
      <c r="L8" s="71">
        <v>10</v>
      </c>
      <c r="M8" s="42"/>
      <c r="N8" s="42"/>
      <c r="O8" s="42"/>
    </row>
    <row r="10" spans="2:15" x14ac:dyDescent="0.35">
      <c r="B10" t="s">
        <v>11</v>
      </c>
      <c r="C10">
        <v>239.6</v>
      </c>
      <c r="D10">
        <v>227.14</v>
      </c>
      <c r="E10">
        <v>220.8</v>
      </c>
      <c r="F10">
        <v>216.3</v>
      </c>
      <c r="G10">
        <v>205.6</v>
      </c>
      <c r="H10">
        <v>197.7</v>
      </c>
      <c r="I10">
        <v>194</v>
      </c>
      <c r="J10">
        <v>185.9</v>
      </c>
      <c r="K10">
        <v>180.3</v>
      </c>
      <c r="L10" s="73">
        <v>186.7</v>
      </c>
    </row>
    <row r="11" spans="2:15" x14ac:dyDescent="0.35">
      <c r="B11" t="s">
        <v>12</v>
      </c>
      <c r="C11">
        <f>(C10*2*60)/1000</f>
        <v>28.751999999999999</v>
      </c>
      <c r="D11">
        <f t="shared" ref="D11:L11" si="0">(D10*2*60)/1000</f>
        <v>27.256799999999998</v>
      </c>
      <c r="E11">
        <f t="shared" si="0"/>
        <v>26.495999999999999</v>
      </c>
      <c r="F11">
        <f t="shared" si="0"/>
        <v>25.956</v>
      </c>
      <c r="G11">
        <f t="shared" si="0"/>
        <v>24.672000000000001</v>
      </c>
      <c r="H11">
        <f t="shared" si="0"/>
        <v>23.724</v>
      </c>
      <c r="I11">
        <f t="shared" si="0"/>
        <v>23.28</v>
      </c>
      <c r="J11">
        <f t="shared" si="0"/>
        <v>22.308</v>
      </c>
      <c r="K11">
        <f t="shared" si="0"/>
        <v>21.635999999999999</v>
      </c>
      <c r="L11">
        <f t="shared" si="0"/>
        <v>22.404</v>
      </c>
    </row>
    <row r="13" spans="2:15" x14ac:dyDescent="0.35">
      <c r="B13" t="s">
        <v>13</v>
      </c>
      <c r="C13">
        <v>17.8</v>
      </c>
      <c r="D13">
        <v>17.8</v>
      </c>
      <c r="E13">
        <v>17.8</v>
      </c>
      <c r="F13">
        <v>17.899999999999999</v>
      </c>
      <c r="G13">
        <v>17.899999999999999</v>
      </c>
      <c r="H13">
        <v>17.899999999999999</v>
      </c>
      <c r="I13">
        <v>18</v>
      </c>
      <c r="J13">
        <v>18</v>
      </c>
      <c r="K13">
        <v>18</v>
      </c>
      <c r="L13">
        <v>18</v>
      </c>
    </row>
    <row r="14" spans="2:15" x14ac:dyDescent="0.35">
      <c r="B14" t="s">
        <v>14</v>
      </c>
      <c r="C14">
        <v>45.4</v>
      </c>
      <c r="D14">
        <v>47.1</v>
      </c>
      <c r="E14">
        <v>48.3</v>
      </c>
      <c r="F14">
        <v>49</v>
      </c>
      <c r="G14">
        <v>50.1</v>
      </c>
      <c r="H14">
        <v>51</v>
      </c>
      <c r="I14">
        <v>52.3</v>
      </c>
      <c r="J14">
        <v>53.1</v>
      </c>
      <c r="K14">
        <v>53.8</v>
      </c>
      <c r="L14">
        <v>54.5</v>
      </c>
    </row>
    <row r="15" spans="2:15" x14ac:dyDescent="0.35">
      <c r="B15" t="s">
        <v>15</v>
      </c>
      <c r="C15">
        <v>1080</v>
      </c>
      <c r="D15">
        <v>1078</v>
      </c>
      <c r="E15">
        <v>1078</v>
      </c>
      <c r="F15">
        <v>1080</v>
      </c>
      <c r="G15">
        <v>1078</v>
      </c>
      <c r="H15">
        <v>1080</v>
      </c>
      <c r="I15">
        <v>1081</v>
      </c>
      <c r="J15">
        <v>1080</v>
      </c>
      <c r="K15">
        <v>1081</v>
      </c>
      <c r="L15">
        <v>1080</v>
      </c>
    </row>
    <row r="16" spans="2:15" x14ac:dyDescent="0.35">
      <c r="B16" t="s">
        <v>16</v>
      </c>
      <c r="C16">
        <v>18.899999999999999</v>
      </c>
      <c r="D16">
        <v>18.7</v>
      </c>
      <c r="E16">
        <v>18.7</v>
      </c>
      <c r="F16">
        <v>19</v>
      </c>
      <c r="G16">
        <v>19.100000000000001</v>
      </c>
      <c r="H16">
        <v>19.100000000000001</v>
      </c>
      <c r="I16">
        <v>19.2</v>
      </c>
      <c r="J16">
        <v>19.3</v>
      </c>
      <c r="K16">
        <v>19.5</v>
      </c>
      <c r="L16">
        <v>19.5</v>
      </c>
    </row>
    <row r="17" spans="2:15" x14ac:dyDescent="0.35">
      <c r="B17" t="s">
        <v>17</v>
      </c>
      <c r="C17">
        <f>(C13+C14)/2</f>
        <v>31.6</v>
      </c>
      <c r="D17">
        <f t="shared" ref="D17:L17" si="1">(D13+D14)/2</f>
        <v>32.450000000000003</v>
      </c>
      <c r="E17">
        <f t="shared" si="1"/>
        <v>33.049999999999997</v>
      </c>
      <c r="F17">
        <f t="shared" si="1"/>
        <v>33.450000000000003</v>
      </c>
      <c r="G17">
        <f t="shared" si="1"/>
        <v>34</v>
      </c>
      <c r="H17">
        <f t="shared" si="1"/>
        <v>34.450000000000003</v>
      </c>
      <c r="I17">
        <f t="shared" si="1"/>
        <v>35.15</v>
      </c>
      <c r="J17">
        <f t="shared" si="1"/>
        <v>35.549999999999997</v>
      </c>
      <c r="K17">
        <f t="shared" si="1"/>
        <v>35.9</v>
      </c>
      <c r="L17">
        <f t="shared" si="1"/>
        <v>36.25</v>
      </c>
    </row>
    <row r="18" spans="2:15" x14ac:dyDescent="0.35">
      <c r="B18" t="s">
        <v>18</v>
      </c>
      <c r="C18">
        <f>C17-C16</f>
        <v>12.700000000000003</v>
      </c>
      <c r="D18">
        <f t="shared" ref="D18:L18" si="2">D17-D16</f>
        <v>13.750000000000004</v>
      </c>
      <c r="E18">
        <f t="shared" si="2"/>
        <v>14.349999999999998</v>
      </c>
      <c r="F18">
        <f t="shared" si="2"/>
        <v>14.450000000000003</v>
      </c>
      <c r="G18">
        <f t="shared" si="2"/>
        <v>14.899999999999999</v>
      </c>
      <c r="H18">
        <f t="shared" si="2"/>
        <v>15.350000000000001</v>
      </c>
      <c r="I18">
        <f t="shared" si="2"/>
        <v>15.95</v>
      </c>
      <c r="J18">
        <f t="shared" si="2"/>
        <v>16.249999999999996</v>
      </c>
      <c r="K18">
        <f t="shared" si="2"/>
        <v>16.399999999999999</v>
      </c>
      <c r="L18">
        <f t="shared" si="2"/>
        <v>16.75</v>
      </c>
    </row>
    <row r="19" spans="2:15" x14ac:dyDescent="0.35">
      <c r="B19" s="56" t="s">
        <v>19</v>
      </c>
    </row>
    <row r="20" spans="2:15" x14ac:dyDescent="0.35">
      <c r="B20" s="79" t="s">
        <v>20</v>
      </c>
    </row>
    <row r="21" spans="2:15" x14ac:dyDescent="0.35">
      <c r="B21" t="s">
        <v>21</v>
      </c>
      <c r="C21">
        <f t="shared" ref="C21:L21" si="3">C14-C13</f>
        <v>27.599999999999998</v>
      </c>
      <c r="D21">
        <f t="shared" si="3"/>
        <v>29.3</v>
      </c>
      <c r="E21">
        <f t="shared" si="3"/>
        <v>30.499999999999996</v>
      </c>
      <c r="F21">
        <f t="shared" si="3"/>
        <v>31.1</v>
      </c>
      <c r="G21">
        <f t="shared" si="3"/>
        <v>32.200000000000003</v>
      </c>
      <c r="H21">
        <f t="shared" si="3"/>
        <v>33.1</v>
      </c>
      <c r="I21">
        <f t="shared" si="3"/>
        <v>34.299999999999997</v>
      </c>
      <c r="J21">
        <f t="shared" si="3"/>
        <v>35.1</v>
      </c>
      <c r="K21">
        <f t="shared" si="3"/>
        <v>35.799999999999997</v>
      </c>
      <c r="L21">
        <f t="shared" si="3"/>
        <v>36.5</v>
      </c>
    </row>
    <row r="22" spans="2:15" x14ac:dyDescent="0.35">
      <c r="B22" t="s">
        <v>22</v>
      </c>
      <c r="C22">
        <f>C6*C11*C21/3.6</f>
        <v>921.40575999999987</v>
      </c>
      <c r="D22">
        <f t="shared" ref="D22:L22" si="4">4.18*D11*D21/3.6</f>
        <v>927.29147866666653</v>
      </c>
      <c r="E22">
        <f t="shared" si="4"/>
        <v>938.32639999999981</v>
      </c>
      <c r="F22">
        <f t="shared" si="4"/>
        <v>937.28557999999998</v>
      </c>
      <c r="G22">
        <f t="shared" si="4"/>
        <v>922.4312533333333</v>
      </c>
      <c r="H22">
        <f t="shared" si="4"/>
        <v>911.77922000000001</v>
      </c>
      <c r="I22">
        <f t="shared" si="4"/>
        <v>927.15186666666659</v>
      </c>
      <c r="J22">
        <f t="shared" si="4"/>
        <v>909.16254000000004</v>
      </c>
      <c r="K22">
        <f t="shared" si="4"/>
        <v>899.3604399999997</v>
      </c>
      <c r="L22">
        <f t="shared" si="4"/>
        <v>949.49396666666667</v>
      </c>
    </row>
    <row r="23" spans="2:15" x14ac:dyDescent="0.35">
      <c r="B23" s="75" t="s">
        <v>23</v>
      </c>
      <c r="C23">
        <f>C22/(C15)</f>
        <v>0.8531534814814814</v>
      </c>
      <c r="D23">
        <f>D22/(D15)</f>
        <v>0.86019617687074823</v>
      </c>
      <c r="E23">
        <f t="shared" ref="E23:L23" si="5">E22/(E15)</f>
        <v>0.8704326530612243</v>
      </c>
      <c r="F23">
        <f t="shared" si="5"/>
        <v>0.86785701851851849</v>
      </c>
      <c r="G23">
        <f t="shared" si="5"/>
        <v>0.85568761904761903</v>
      </c>
      <c r="H23">
        <f t="shared" si="5"/>
        <v>0.84424001851851849</v>
      </c>
      <c r="I23">
        <f t="shared" si="5"/>
        <v>0.8576798026518655</v>
      </c>
      <c r="J23">
        <f t="shared" si="5"/>
        <v>0.84181716666666673</v>
      </c>
      <c r="K23">
        <f t="shared" si="5"/>
        <v>0.83197080481036045</v>
      </c>
      <c r="L23">
        <f t="shared" si="5"/>
        <v>0.87916108024691353</v>
      </c>
    </row>
    <row r="25" spans="2:15" hidden="1" x14ac:dyDescent="0.35"/>
    <row r="26" spans="2:15" ht="63.75" customHeight="1" x14ac:dyDescent="0.35">
      <c r="B26" s="77" t="s">
        <v>24</v>
      </c>
      <c r="C26" s="74">
        <v>1</v>
      </c>
      <c r="D26" s="74">
        <v>2</v>
      </c>
      <c r="E26" s="74">
        <v>3</v>
      </c>
      <c r="F26" s="74">
        <v>4</v>
      </c>
      <c r="G26" s="74">
        <v>5</v>
      </c>
      <c r="H26" s="74">
        <v>6</v>
      </c>
      <c r="I26" s="74">
        <v>7</v>
      </c>
      <c r="J26" s="74">
        <v>8</v>
      </c>
      <c r="K26" s="74">
        <v>9</v>
      </c>
      <c r="L26" s="74">
        <v>10</v>
      </c>
      <c r="M26" s="42"/>
      <c r="N26" s="42"/>
      <c r="O26" s="42"/>
    </row>
    <row r="28" spans="2:15" x14ac:dyDescent="0.35">
      <c r="B28" t="s">
        <v>11</v>
      </c>
      <c r="C28">
        <v>128.5</v>
      </c>
      <c r="D28">
        <v>120.1</v>
      </c>
      <c r="E28">
        <v>119.6</v>
      </c>
      <c r="F28">
        <v>114.9</v>
      </c>
      <c r="G28">
        <v>108.3</v>
      </c>
      <c r="H28">
        <v>103.8</v>
      </c>
      <c r="I28">
        <v>94.6</v>
      </c>
      <c r="J28">
        <v>91.3</v>
      </c>
      <c r="K28">
        <v>86.7</v>
      </c>
    </row>
    <row r="29" spans="2:15" x14ac:dyDescent="0.35">
      <c r="B29" t="s">
        <v>12</v>
      </c>
      <c r="C29">
        <f>(C28*2*60)/1000</f>
        <v>15.42</v>
      </c>
      <c r="D29">
        <f t="shared" ref="D29" si="6">(D28*2*60)/1000</f>
        <v>14.412000000000001</v>
      </c>
      <c r="E29">
        <f t="shared" ref="E29" si="7">(E28*2*60)/1000</f>
        <v>14.352</v>
      </c>
      <c r="F29">
        <f t="shared" ref="F29" si="8">(F28*2*60)/1000</f>
        <v>13.788</v>
      </c>
      <c r="G29">
        <f t="shared" ref="G29" si="9">(G28*2*60)/1000</f>
        <v>12.996</v>
      </c>
      <c r="H29">
        <f t="shared" ref="H29" si="10">(H28*2*60)/1000</f>
        <v>12.456</v>
      </c>
      <c r="I29">
        <f t="shared" ref="I29" si="11">(I28*2*60)/1000</f>
        <v>11.352</v>
      </c>
      <c r="J29">
        <f t="shared" ref="J29" si="12">(J28*2*60)/1000</f>
        <v>10.956</v>
      </c>
      <c r="K29">
        <f t="shared" ref="K29" si="13">(K28*2*60)/1000</f>
        <v>10.404</v>
      </c>
      <c r="L29">
        <f t="shared" ref="L29" si="14">(L28*2*60)/1000</f>
        <v>0</v>
      </c>
    </row>
    <row r="31" spans="2:15" x14ac:dyDescent="0.35">
      <c r="B31" t="s">
        <v>13</v>
      </c>
      <c r="C31">
        <v>29.6</v>
      </c>
      <c r="D31">
        <v>29.6</v>
      </c>
      <c r="E31">
        <v>29.6</v>
      </c>
      <c r="F31">
        <v>29.6</v>
      </c>
      <c r="G31">
        <v>29.6</v>
      </c>
      <c r="H31">
        <v>29.7</v>
      </c>
      <c r="I31">
        <v>29.7</v>
      </c>
      <c r="J31">
        <v>29.7</v>
      </c>
      <c r="K31">
        <v>29.7</v>
      </c>
    </row>
    <row r="32" spans="2:15" x14ac:dyDescent="0.35">
      <c r="B32" t="s">
        <v>14</v>
      </c>
      <c r="C32">
        <v>75.8</v>
      </c>
      <c r="D32">
        <v>78</v>
      </c>
      <c r="E32">
        <v>79.900000000000006</v>
      </c>
      <c r="F32">
        <v>81.900000000000006</v>
      </c>
      <c r="G32">
        <v>84.2</v>
      </c>
      <c r="H32">
        <v>86.5</v>
      </c>
      <c r="I32">
        <v>89.3</v>
      </c>
      <c r="J32">
        <v>92.6</v>
      </c>
      <c r="K32">
        <v>95.5</v>
      </c>
    </row>
    <row r="33" spans="2:12" x14ac:dyDescent="0.35">
      <c r="B33" t="s">
        <v>15</v>
      </c>
      <c r="C33">
        <v>1072</v>
      </c>
      <c r="D33">
        <v>1068</v>
      </c>
      <c r="E33">
        <v>1072</v>
      </c>
      <c r="F33">
        <v>1070</v>
      </c>
      <c r="G33">
        <v>1070</v>
      </c>
      <c r="H33">
        <v>1071</v>
      </c>
      <c r="I33">
        <v>1071</v>
      </c>
      <c r="J33">
        <v>1070</v>
      </c>
      <c r="K33">
        <v>1070</v>
      </c>
    </row>
    <row r="34" spans="2:12" x14ac:dyDescent="0.35">
      <c r="B34" t="s">
        <v>16</v>
      </c>
      <c r="C34">
        <v>19.899999999999999</v>
      </c>
      <c r="D34">
        <v>20.100000000000001</v>
      </c>
      <c r="E34">
        <v>20.100000000000001</v>
      </c>
      <c r="F34">
        <v>20.399999999999999</v>
      </c>
      <c r="G34">
        <v>20.3</v>
      </c>
      <c r="H34">
        <v>20.3</v>
      </c>
      <c r="I34">
        <v>20.3</v>
      </c>
      <c r="J34">
        <v>20.6</v>
      </c>
      <c r="K34">
        <v>20.6</v>
      </c>
    </row>
    <row r="35" spans="2:12" x14ac:dyDescent="0.35">
      <c r="B35" t="s">
        <v>17</v>
      </c>
      <c r="C35">
        <f>(C31+C32)/2</f>
        <v>52.7</v>
      </c>
      <c r="D35">
        <f t="shared" ref="D35:K35" si="15">(D31+D32)/2</f>
        <v>53.8</v>
      </c>
      <c r="E35">
        <f t="shared" si="15"/>
        <v>54.75</v>
      </c>
      <c r="F35">
        <f t="shared" si="15"/>
        <v>55.75</v>
      </c>
      <c r="G35">
        <f t="shared" si="15"/>
        <v>56.900000000000006</v>
      </c>
      <c r="H35">
        <f t="shared" si="15"/>
        <v>58.1</v>
      </c>
      <c r="I35">
        <f t="shared" si="15"/>
        <v>59.5</v>
      </c>
      <c r="J35">
        <f t="shared" si="15"/>
        <v>61.15</v>
      </c>
      <c r="K35">
        <f t="shared" si="15"/>
        <v>62.6</v>
      </c>
    </row>
    <row r="36" spans="2:12" x14ac:dyDescent="0.35">
      <c r="B36" t="s">
        <v>18</v>
      </c>
      <c r="C36">
        <f>C35-C34</f>
        <v>32.800000000000004</v>
      </c>
      <c r="D36">
        <f t="shared" ref="D36:K36" si="16">D35-D34</f>
        <v>33.699999999999996</v>
      </c>
      <c r="E36">
        <f t="shared" si="16"/>
        <v>34.65</v>
      </c>
      <c r="F36">
        <f t="shared" si="16"/>
        <v>35.35</v>
      </c>
      <c r="G36">
        <f t="shared" si="16"/>
        <v>36.600000000000009</v>
      </c>
      <c r="H36">
        <f t="shared" si="16"/>
        <v>37.799999999999997</v>
      </c>
      <c r="I36">
        <f t="shared" si="16"/>
        <v>39.200000000000003</v>
      </c>
      <c r="J36">
        <f t="shared" si="16"/>
        <v>40.549999999999997</v>
      </c>
      <c r="K36">
        <f t="shared" si="16"/>
        <v>42</v>
      </c>
    </row>
    <row r="37" spans="2:12" x14ac:dyDescent="0.35">
      <c r="B37" s="76" t="s">
        <v>19</v>
      </c>
    </row>
    <row r="38" spans="2:12" x14ac:dyDescent="0.35">
      <c r="B38" s="79" t="s">
        <v>20</v>
      </c>
    </row>
    <row r="39" spans="2:12" x14ac:dyDescent="0.35">
      <c r="B39" t="s">
        <v>21</v>
      </c>
      <c r="C39">
        <f t="shared" ref="C39:L39" si="17">C32-C31</f>
        <v>46.199999999999996</v>
      </c>
      <c r="D39">
        <f t="shared" si="17"/>
        <v>48.4</v>
      </c>
      <c r="E39">
        <f t="shared" si="17"/>
        <v>50.300000000000004</v>
      </c>
      <c r="F39">
        <f t="shared" si="17"/>
        <v>52.300000000000004</v>
      </c>
      <c r="G39">
        <f t="shared" si="17"/>
        <v>54.6</v>
      </c>
      <c r="H39">
        <f t="shared" si="17"/>
        <v>56.8</v>
      </c>
      <c r="I39">
        <f t="shared" si="17"/>
        <v>59.599999999999994</v>
      </c>
      <c r="J39">
        <f t="shared" si="17"/>
        <v>62.899999999999991</v>
      </c>
      <c r="K39">
        <f t="shared" si="17"/>
        <v>65.8</v>
      </c>
      <c r="L39">
        <f t="shared" si="17"/>
        <v>0</v>
      </c>
    </row>
    <row r="40" spans="2:12" x14ac:dyDescent="0.35">
      <c r="B40" t="s">
        <v>22</v>
      </c>
      <c r="C40">
        <f t="shared" ref="C40:K40" si="18">$C$6*C29*C39/3.6</f>
        <v>827.18019999999967</v>
      </c>
      <c r="D40">
        <f t="shared" si="18"/>
        <v>809.92237333333321</v>
      </c>
      <c r="E40">
        <f t="shared" si="18"/>
        <v>838.21261333333337</v>
      </c>
      <c r="F40">
        <f t="shared" si="18"/>
        <v>837.29162000000008</v>
      </c>
      <c r="G40">
        <f t="shared" si="18"/>
        <v>823.90307999999993</v>
      </c>
      <c r="H40">
        <f t="shared" si="18"/>
        <v>821.48703999999975</v>
      </c>
      <c r="I40">
        <f t="shared" si="18"/>
        <v>785.58362666666665</v>
      </c>
      <c r="J40">
        <f t="shared" si="18"/>
        <v>800.15928666666639</v>
      </c>
      <c r="K40">
        <f t="shared" si="18"/>
        <v>794.87715999999989</v>
      </c>
      <c r="L40">
        <f>4.18*L29*L39/3.6</f>
        <v>0</v>
      </c>
    </row>
    <row r="41" spans="2:12" x14ac:dyDescent="0.35">
      <c r="B41" s="75" t="s">
        <v>23</v>
      </c>
      <c r="C41">
        <f t="shared" ref="C41:K41" si="19">C40/(C33)</f>
        <v>0.7716233208955221</v>
      </c>
      <c r="D41">
        <f t="shared" si="19"/>
        <v>0.75835428214731571</v>
      </c>
      <c r="E41">
        <f t="shared" si="19"/>
        <v>0.78191475124378107</v>
      </c>
      <c r="F41">
        <f t="shared" si="19"/>
        <v>0.7825155327102804</v>
      </c>
      <c r="G41">
        <f t="shared" si="19"/>
        <v>0.77000287850467286</v>
      </c>
      <c r="H41">
        <f t="shared" si="19"/>
        <v>0.76702804855275419</v>
      </c>
      <c r="I41">
        <f t="shared" si="19"/>
        <v>0.73350478680361031</v>
      </c>
      <c r="J41">
        <f t="shared" si="19"/>
        <v>0.74781241744548266</v>
      </c>
      <c r="K41">
        <f t="shared" si="19"/>
        <v>0.74287585046728966</v>
      </c>
      <c r="L41">
        <v>0</v>
      </c>
    </row>
    <row r="43" spans="2:12" ht="60.75" customHeight="1" x14ac:dyDescent="0.35">
      <c r="B43" s="78" t="s">
        <v>25</v>
      </c>
      <c r="C43" s="72">
        <v>1</v>
      </c>
      <c r="D43" s="72">
        <v>2</v>
      </c>
      <c r="E43" s="72">
        <v>3</v>
      </c>
      <c r="F43" s="72">
        <v>4</v>
      </c>
      <c r="G43" s="72">
        <v>5</v>
      </c>
      <c r="H43" s="72">
        <v>6</v>
      </c>
      <c r="I43" s="72">
        <v>7</v>
      </c>
      <c r="J43" s="72">
        <v>8</v>
      </c>
      <c r="K43" s="72">
        <v>9</v>
      </c>
      <c r="L43" s="72">
        <v>10</v>
      </c>
    </row>
    <row r="45" spans="2:12" x14ac:dyDescent="0.35">
      <c r="B45" t="s">
        <v>11</v>
      </c>
      <c r="C45">
        <v>626.4</v>
      </c>
      <c r="D45">
        <v>614.70000000000005</v>
      </c>
      <c r="E45">
        <v>602</v>
      </c>
      <c r="F45">
        <v>606.29999999999995</v>
      </c>
      <c r="G45">
        <v>601</v>
      </c>
    </row>
    <row r="46" spans="2:12" x14ac:dyDescent="0.35">
      <c r="B46" t="s">
        <v>12</v>
      </c>
      <c r="C46">
        <f>(C45*2*60)/1000</f>
        <v>75.168000000000006</v>
      </c>
      <c r="D46">
        <f t="shared" ref="D46" si="20">(D45*2*60)/1000</f>
        <v>73.763999999999996</v>
      </c>
      <c r="E46">
        <f t="shared" ref="E46" si="21">(E45*2*60)/1000</f>
        <v>72.239999999999995</v>
      </c>
      <c r="F46">
        <f t="shared" ref="F46" si="22">(F45*2*60)/1000</f>
        <v>72.756</v>
      </c>
      <c r="G46">
        <f t="shared" ref="G46" si="23">(G45*2*60)/1000</f>
        <v>72.12</v>
      </c>
      <c r="H46">
        <f t="shared" ref="H46" si="24">(H45*2*60)/1000</f>
        <v>0</v>
      </c>
      <c r="I46">
        <f t="shared" ref="I46" si="25">(I45*2*60)/1000</f>
        <v>0</v>
      </c>
      <c r="J46">
        <f t="shared" ref="J46" si="26">(J45*2*60)/1000</f>
        <v>0</v>
      </c>
      <c r="K46">
        <f t="shared" ref="K46" si="27">(K45*2*60)/1000</f>
        <v>0</v>
      </c>
      <c r="L46">
        <f t="shared" ref="L46" si="28">(L45*2*60)/1000</f>
        <v>0</v>
      </c>
    </row>
    <row r="48" spans="2:12" x14ac:dyDescent="0.35">
      <c r="B48" t="s">
        <v>13</v>
      </c>
      <c r="C48">
        <v>29.2</v>
      </c>
      <c r="D48">
        <v>29.2</v>
      </c>
      <c r="E48">
        <v>29.2</v>
      </c>
      <c r="F48">
        <v>29.1</v>
      </c>
      <c r="G48">
        <v>29.1</v>
      </c>
    </row>
    <row r="49" spans="2:12" x14ac:dyDescent="0.35">
      <c r="B49" t="s">
        <v>14</v>
      </c>
      <c r="C49">
        <v>40.299999999999997</v>
      </c>
      <c r="D49">
        <v>40.5</v>
      </c>
      <c r="E49">
        <v>40.5</v>
      </c>
      <c r="F49">
        <v>40.6</v>
      </c>
      <c r="G49">
        <v>40.6</v>
      </c>
    </row>
    <row r="50" spans="2:12" x14ac:dyDescent="0.35">
      <c r="B50" t="s">
        <v>15</v>
      </c>
      <c r="C50">
        <v>1071</v>
      </c>
      <c r="D50">
        <v>1072</v>
      </c>
      <c r="E50">
        <v>1070</v>
      </c>
      <c r="F50">
        <v>1070</v>
      </c>
      <c r="G50">
        <v>1069</v>
      </c>
    </row>
    <row r="51" spans="2:12" x14ac:dyDescent="0.35">
      <c r="B51" t="s">
        <v>16</v>
      </c>
      <c r="C51">
        <v>20.399999999999999</v>
      </c>
      <c r="D51">
        <v>20.399999999999999</v>
      </c>
      <c r="E51">
        <v>20.6</v>
      </c>
      <c r="F51">
        <v>20.7</v>
      </c>
      <c r="G51">
        <v>20.9</v>
      </c>
    </row>
    <row r="52" spans="2:12" x14ac:dyDescent="0.35">
      <c r="B52" t="s">
        <v>17</v>
      </c>
      <c r="C52">
        <f>(C48+C49)/2</f>
        <v>34.75</v>
      </c>
      <c r="D52">
        <f t="shared" ref="D52:G52" si="29">(D48+D49)/2</f>
        <v>34.85</v>
      </c>
      <c r="E52">
        <f t="shared" si="29"/>
        <v>34.85</v>
      </c>
      <c r="F52">
        <f t="shared" si="29"/>
        <v>34.85</v>
      </c>
      <c r="G52">
        <f t="shared" si="29"/>
        <v>34.85</v>
      </c>
    </row>
    <row r="53" spans="2:12" x14ac:dyDescent="0.35">
      <c r="B53" t="s">
        <v>18</v>
      </c>
      <c r="C53">
        <f>C52-C51</f>
        <v>14.350000000000001</v>
      </c>
      <c r="D53">
        <f t="shared" ref="D53:G53" si="30">D52-D51</f>
        <v>14.450000000000003</v>
      </c>
      <c r="E53">
        <f t="shared" si="30"/>
        <v>14.25</v>
      </c>
      <c r="F53">
        <f t="shared" si="30"/>
        <v>14.150000000000002</v>
      </c>
      <c r="G53">
        <f t="shared" si="30"/>
        <v>13.950000000000003</v>
      </c>
    </row>
    <row r="54" spans="2:12" x14ac:dyDescent="0.35">
      <c r="B54" s="75" t="s">
        <v>19</v>
      </c>
    </row>
    <row r="55" spans="2:12" x14ac:dyDescent="0.35">
      <c r="B55" s="79" t="s">
        <v>20</v>
      </c>
    </row>
    <row r="56" spans="2:12" x14ac:dyDescent="0.35">
      <c r="B56" t="s">
        <v>21</v>
      </c>
      <c r="C56">
        <f t="shared" ref="C56:L56" si="31">C49-C48</f>
        <v>11.099999999999998</v>
      </c>
      <c r="D56">
        <f t="shared" si="31"/>
        <v>11.3</v>
      </c>
      <c r="E56">
        <f t="shared" si="31"/>
        <v>11.3</v>
      </c>
      <c r="F56">
        <f t="shared" si="31"/>
        <v>11.5</v>
      </c>
      <c r="G56">
        <f t="shared" si="31"/>
        <v>11.5</v>
      </c>
      <c r="H56">
        <f t="shared" si="31"/>
        <v>0</v>
      </c>
      <c r="I56">
        <f t="shared" si="31"/>
        <v>0</v>
      </c>
      <c r="J56">
        <f t="shared" si="31"/>
        <v>0</v>
      </c>
      <c r="K56">
        <f t="shared" si="31"/>
        <v>0</v>
      </c>
      <c r="L56">
        <f t="shared" si="31"/>
        <v>0</v>
      </c>
    </row>
    <row r="57" spans="2:12" x14ac:dyDescent="0.35">
      <c r="B57" t="s">
        <v>22</v>
      </c>
      <c r="C57">
        <f>$C$6*C46*C56/3.6</f>
        <v>968.79023999999981</v>
      </c>
      <c r="D57">
        <f>$C$6*D46*D56/3.6</f>
        <v>967.82465999999999</v>
      </c>
      <c r="E57">
        <f>$C$6*E46*E56/3.6</f>
        <v>947.82893333333323</v>
      </c>
      <c r="F57">
        <f>$C$6*F46*F56/3.6</f>
        <v>971.49469999999985</v>
      </c>
      <c r="G57">
        <f>$C$6*G46*G56/3.6</f>
        <v>963.00233333333324</v>
      </c>
      <c r="H57">
        <f>4.18*H46*H56/3.6</f>
        <v>0</v>
      </c>
      <c r="I57">
        <f>4.18*I46*I56/3.6</f>
        <v>0</v>
      </c>
      <c r="J57">
        <f>4.18*J46*J56/3.6</f>
        <v>0</v>
      </c>
      <c r="K57">
        <f>4.18*K46*K56/3.6</f>
        <v>0</v>
      </c>
      <c r="L57">
        <f>4.18*L46*L56/3.6</f>
        <v>0</v>
      </c>
    </row>
    <row r="58" spans="2:12" x14ac:dyDescent="0.35">
      <c r="B58" s="75" t="s">
        <v>23</v>
      </c>
      <c r="C58">
        <f>C57/(C50)</f>
        <v>0.90456605042016791</v>
      </c>
      <c r="D58">
        <f>D57/(D50)</f>
        <v>0.90282151119402987</v>
      </c>
      <c r="E58">
        <f>E57/(E50)</f>
        <v>0.88582143302180671</v>
      </c>
      <c r="F58">
        <f>F57/(F50)</f>
        <v>0.90793897196261664</v>
      </c>
      <c r="G58">
        <f>G57/(G50)</f>
        <v>0.90084409105082619</v>
      </c>
      <c r="H58">
        <v>0</v>
      </c>
      <c r="I58">
        <v>0</v>
      </c>
      <c r="J58">
        <v>0</v>
      </c>
      <c r="K58">
        <v>0</v>
      </c>
      <c r="L58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AA24-A23A-4FF1-AA79-B09DCE76835C}">
  <sheetPr>
    <pageSetUpPr fitToPage="1"/>
  </sheetPr>
  <dimension ref="A1:AU67"/>
  <sheetViews>
    <sheetView topLeftCell="A25" zoomScaleNormal="100" workbookViewId="0">
      <selection activeCell="J15" sqref="J15"/>
    </sheetView>
  </sheetViews>
  <sheetFormatPr defaultRowHeight="14.5" x14ac:dyDescent="0.35"/>
  <cols>
    <col min="1" max="1" width="16.453125" customWidth="1"/>
    <col min="2" max="2" width="5.7265625" customWidth="1"/>
    <col min="4" max="4" width="18.36328125" customWidth="1"/>
    <col min="5" max="5" width="26.1796875" customWidth="1"/>
    <col min="6" max="6" width="7.26953125" customWidth="1"/>
    <col min="7" max="7" width="8.453125" customWidth="1"/>
    <col min="8" max="8" width="10.36328125" customWidth="1"/>
    <col min="9" max="9" width="11.36328125" customWidth="1"/>
    <col min="10" max="10" width="21.54296875" customWidth="1"/>
    <col min="11" max="11" width="18.1796875" customWidth="1"/>
    <col min="12" max="12" width="25.81640625" customWidth="1"/>
    <col min="13" max="13" width="23.453125" customWidth="1"/>
    <col min="14" max="14" width="16.453125" customWidth="1"/>
    <col min="15" max="15" width="12.453125" customWidth="1"/>
    <col min="16" max="17" width="10.81640625" bestFit="1" customWidth="1"/>
    <col min="18" max="18" width="9.81640625" bestFit="1" customWidth="1"/>
    <col min="19" max="19" width="8" bestFit="1" customWidth="1"/>
    <col min="20" max="20" width="8.453125" bestFit="1" customWidth="1"/>
    <col min="21" max="23" width="10.81640625" bestFit="1" customWidth="1"/>
    <col min="24" max="24" width="8.453125" bestFit="1" customWidth="1"/>
    <col min="25" max="25" width="9.1796875" style="57"/>
    <col min="26" max="26" width="62.26953125" bestFit="1" customWidth="1"/>
    <col min="47" max="47" width="9.1796875" style="57"/>
  </cols>
  <sheetData>
    <row r="1" spans="1:46" x14ac:dyDescent="0.35">
      <c r="Z1" s="84" t="s">
        <v>69</v>
      </c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</row>
    <row r="2" spans="1:46" x14ac:dyDescent="0.35"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</row>
    <row r="3" spans="1:46" ht="14.5" customHeight="1" x14ac:dyDescent="0.35">
      <c r="D3" s="86" t="s">
        <v>70</v>
      </c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46" ht="14.5" customHeight="1" x14ac:dyDescent="0.35"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Z4" s="54" t="s">
        <v>71</v>
      </c>
      <c r="AA4" s="54">
        <v>1</v>
      </c>
      <c r="AB4" s="54">
        <v>2</v>
      </c>
      <c r="AC4" s="54">
        <v>3</v>
      </c>
      <c r="AD4" s="54">
        <v>4</v>
      </c>
      <c r="AE4" s="54">
        <v>5</v>
      </c>
      <c r="AF4" s="54">
        <v>6</v>
      </c>
      <c r="AG4" s="54">
        <v>7</v>
      </c>
      <c r="AH4" s="54">
        <v>8</v>
      </c>
      <c r="AI4" s="54">
        <v>9</v>
      </c>
      <c r="AJ4" s="54">
        <v>10</v>
      </c>
      <c r="AK4" s="54">
        <v>11</v>
      </c>
      <c r="AL4" s="54">
        <v>12</v>
      </c>
      <c r="AM4" s="54">
        <v>13</v>
      </c>
      <c r="AN4" s="54">
        <v>14</v>
      </c>
      <c r="AO4" s="54">
        <v>15</v>
      </c>
      <c r="AP4" s="54">
        <v>16</v>
      </c>
      <c r="AQ4" s="54">
        <v>17</v>
      </c>
      <c r="AR4" s="54">
        <v>18</v>
      </c>
      <c r="AS4" s="54">
        <v>19</v>
      </c>
      <c r="AT4" s="54">
        <v>20</v>
      </c>
    </row>
    <row r="5" spans="1:46" x14ac:dyDescent="0.35">
      <c r="A5" s="51" t="s">
        <v>72</v>
      </c>
      <c r="B5" s="51">
        <v>14.5</v>
      </c>
      <c r="D5" s="69" t="s">
        <v>73</v>
      </c>
      <c r="E5" s="69" t="s">
        <v>74</v>
      </c>
      <c r="F5" s="69" t="s">
        <v>75</v>
      </c>
      <c r="G5" s="69" t="s">
        <v>76</v>
      </c>
      <c r="H5" s="69" t="s">
        <v>77</v>
      </c>
      <c r="I5" s="69" t="s">
        <v>78</v>
      </c>
      <c r="J5" s="69" t="s">
        <v>79</v>
      </c>
      <c r="K5" s="69" t="s">
        <v>80</v>
      </c>
      <c r="L5" s="69" t="s">
        <v>81</v>
      </c>
      <c r="M5" s="85" t="s">
        <v>82</v>
      </c>
      <c r="N5" s="85" t="str">
        <f>2.41 &amp; " +/- " &amp; 1.29</f>
        <v>2,41 +/- 1,29</v>
      </c>
      <c r="Z5" s="53" t="s">
        <v>83</v>
      </c>
      <c r="AA5" s="53">
        <v>0.1047</v>
      </c>
      <c r="AB5" s="53">
        <v>0.1057</v>
      </c>
      <c r="AC5" s="53">
        <v>0.107</v>
      </c>
      <c r="AD5" s="53">
        <v>0.11</v>
      </c>
      <c r="AE5" s="53">
        <v>0.11</v>
      </c>
      <c r="AF5" s="53">
        <v>0.114</v>
      </c>
      <c r="AG5" s="53">
        <v>0.11700000000000001</v>
      </c>
      <c r="AH5" s="53">
        <v>0.12</v>
      </c>
      <c r="AI5" s="53">
        <v>0.12</v>
      </c>
      <c r="AJ5" s="53">
        <v>0.122</v>
      </c>
      <c r="AK5" s="53">
        <v>0.108</v>
      </c>
      <c r="AL5" s="53">
        <v>0.109</v>
      </c>
      <c r="AM5" s="53">
        <v>0.11</v>
      </c>
      <c r="AN5" s="53">
        <v>0.11</v>
      </c>
      <c r="AO5" s="53">
        <v>0.113</v>
      </c>
      <c r="AP5" s="53">
        <v>0.112</v>
      </c>
      <c r="AQ5" s="53">
        <v>0.123</v>
      </c>
      <c r="AR5" s="53">
        <v>0.112</v>
      </c>
      <c r="AS5" s="53">
        <v>0.114</v>
      </c>
      <c r="AT5" s="53">
        <v>0.11600000000000001</v>
      </c>
    </row>
    <row r="6" spans="1:46" x14ac:dyDescent="0.35">
      <c r="A6" s="51" t="s">
        <v>84</v>
      </c>
      <c r="B6" s="51">
        <v>4</v>
      </c>
      <c r="D6" t="s">
        <v>85</v>
      </c>
      <c r="E6" s="63">
        <v>0.1047</v>
      </c>
      <c r="F6" s="65">
        <v>15.5</v>
      </c>
      <c r="G6" s="66">
        <v>14.4</v>
      </c>
      <c r="H6" s="65">
        <f>$B$6*$B$8*ABS(G6-$B$5)</f>
        <v>1.6759999999999942</v>
      </c>
      <c r="I6" s="66">
        <f>H6</f>
        <v>1.6759999999999942</v>
      </c>
      <c r="J6" s="58">
        <f>E6*60*D6</f>
        <v>6.282</v>
      </c>
      <c r="K6" s="60">
        <f t="shared" ref="K6:K25" si="0">ROUND(I6/J6,2)</f>
        <v>0.27</v>
      </c>
      <c r="L6" s="62" t="str">
        <f>K6 &amp; " +/- " &amp; AA8</f>
        <v>0,27 +/- 0</v>
      </c>
      <c r="M6" s="85"/>
      <c r="N6" s="85"/>
      <c r="Z6" s="54" t="s">
        <v>75</v>
      </c>
      <c r="AA6" s="54">
        <v>15.5</v>
      </c>
      <c r="AB6" s="54">
        <v>15.4</v>
      </c>
      <c r="AC6" s="54">
        <v>14.1</v>
      </c>
      <c r="AD6" s="54">
        <v>11.5</v>
      </c>
      <c r="AE6" s="54">
        <v>12.3</v>
      </c>
      <c r="AF6" s="54">
        <v>9.1999999999999993</v>
      </c>
      <c r="AG6" s="54">
        <v>10.6</v>
      </c>
      <c r="AH6" s="54">
        <v>9.6</v>
      </c>
      <c r="AI6" s="54">
        <v>8.8000000000000007</v>
      </c>
      <c r="AJ6" s="54">
        <v>8.1999999999999993</v>
      </c>
      <c r="AK6" s="54">
        <v>7.4</v>
      </c>
      <c r="AL6" s="54">
        <v>5.6</v>
      </c>
      <c r="AM6" s="54">
        <v>6.2</v>
      </c>
      <c r="AN6" s="54">
        <v>5.5</v>
      </c>
      <c r="AO6" s="54">
        <v>4.8</v>
      </c>
      <c r="AP6" s="54">
        <v>4.3</v>
      </c>
      <c r="AQ6" s="54">
        <v>4.5</v>
      </c>
      <c r="AR6" s="54">
        <v>4.1100000000000003</v>
      </c>
      <c r="AS6" s="54">
        <v>4.0999999999999996</v>
      </c>
      <c r="AT6" s="54">
        <v>3.5</v>
      </c>
    </row>
    <row r="7" spans="1:46" x14ac:dyDescent="0.35">
      <c r="A7" s="51" t="s">
        <v>86</v>
      </c>
      <c r="B7" s="51">
        <v>4</v>
      </c>
      <c r="D7" t="s">
        <v>87</v>
      </c>
      <c r="E7" s="63">
        <v>0.1057</v>
      </c>
      <c r="F7" s="65">
        <v>15.4</v>
      </c>
      <c r="G7" s="66">
        <v>14.6</v>
      </c>
      <c r="H7" s="65">
        <f t="shared" ref="H7:H25" si="1">$B$6*$B$8*ABS(G7-G6)</f>
        <v>3.3519999999999883</v>
      </c>
      <c r="I7" s="66">
        <f>H6+H7</f>
        <v>5.0279999999999827</v>
      </c>
      <c r="J7" s="58">
        <f>(60*E7)+J6</f>
        <v>12.624000000000001</v>
      </c>
      <c r="K7" s="60">
        <f t="shared" si="0"/>
        <v>0.4</v>
      </c>
      <c r="L7" s="62" t="str">
        <f>K7 &amp; " +/- " &amp; AB8</f>
        <v>0,4 +/- 0,42</v>
      </c>
      <c r="M7" s="85"/>
      <c r="N7" s="85"/>
      <c r="Z7" s="53" t="s">
        <v>76</v>
      </c>
      <c r="AA7" s="53">
        <v>14.4</v>
      </c>
      <c r="AB7" s="53">
        <v>14.6</v>
      </c>
      <c r="AC7" s="53">
        <v>17</v>
      </c>
      <c r="AD7" s="53">
        <v>17.5</v>
      </c>
      <c r="AE7" s="53">
        <v>19.7</v>
      </c>
      <c r="AF7" s="53">
        <v>20.8</v>
      </c>
      <c r="AG7" s="53">
        <v>21.6</v>
      </c>
      <c r="AH7" s="53">
        <v>22.3</v>
      </c>
      <c r="AI7" s="53">
        <v>24.6</v>
      </c>
      <c r="AJ7" s="53">
        <v>25</v>
      </c>
      <c r="AK7" s="53">
        <v>25.9</v>
      </c>
      <c r="AL7" s="53">
        <v>26.3</v>
      </c>
      <c r="AM7" s="53">
        <v>27</v>
      </c>
      <c r="AN7" s="53">
        <v>27.6</v>
      </c>
      <c r="AO7" s="53">
        <v>28.3</v>
      </c>
      <c r="AP7" s="53">
        <v>28.3</v>
      </c>
      <c r="AQ7" s="53">
        <v>28</v>
      </c>
      <c r="AR7" s="53">
        <v>27.8</v>
      </c>
      <c r="AS7" s="53">
        <v>27.7</v>
      </c>
      <c r="AT7" s="53">
        <v>27.7</v>
      </c>
    </row>
    <row r="8" spans="1:46" x14ac:dyDescent="0.35">
      <c r="A8" s="52" t="s">
        <v>88</v>
      </c>
      <c r="B8" s="52">
        <v>4.1900000000000004</v>
      </c>
      <c r="D8" t="s">
        <v>89</v>
      </c>
      <c r="E8" s="63">
        <v>0.107</v>
      </c>
      <c r="F8" s="65">
        <v>14.1</v>
      </c>
      <c r="G8" s="66">
        <v>17</v>
      </c>
      <c r="H8" s="65">
        <f t="shared" si="1"/>
        <v>40.224000000000011</v>
      </c>
      <c r="I8" s="66">
        <f>H8+I7</f>
        <v>45.251999999999995</v>
      </c>
      <c r="J8" s="58">
        <f t="shared" ref="J8:J25" si="2">(60*E8)+J7</f>
        <v>19.044</v>
      </c>
      <c r="K8" s="60">
        <f t="shared" si="0"/>
        <v>2.38</v>
      </c>
      <c r="L8" s="62" t="str">
        <f>K8 &amp; " +/- " &amp; AC8</f>
        <v>2,38 +/- 5,03</v>
      </c>
      <c r="M8" s="85"/>
      <c r="N8" s="85"/>
      <c r="Z8" t="s">
        <v>90</v>
      </c>
      <c r="AA8">
        <f>ROUND(SQRT(($B$8*(AA7-14.4))^2*AB15^2),2)</f>
        <v>0</v>
      </c>
      <c r="AB8">
        <f t="shared" ref="AB8:AT8" si="3">ROUND(SQRT(($B$8*(AB7-AA7))^2*$AB$15^2),2)</f>
        <v>0.42</v>
      </c>
      <c r="AC8">
        <f t="shared" si="3"/>
        <v>5.03</v>
      </c>
      <c r="AD8">
        <f t="shared" si="3"/>
        <v>1.05</v>
      </c>
      <c r="AE8">
        <f t="shared" si="3"/>
        <v>4.6100000000000003</v>
      </c>
      <c r="AF8">
        <f t="shared" si="3"/>
        <v>2.2999999999999998</v>
      </c>
      <c r="AG8">
        <f t="shared" si="3"/>
        <v>1.68</v>
      </c>
      <c r="AH8">
        <f t="shared" si="3"/>
        <v>1.47</v>
      </c>
      <c r="AI8">
        <f t="shared" si="3"/>
        <v>4.82</v>
      </c>
      <c r="AJ8">
        <f t="shared" si="3"/>
        <v>0.84</v>
      </c>
      <c r="AK8">
        <f t="shared" si="3"/>
        <v>1.89</v>
      </c>
      <c r="AL8">
        <f t="shared" si="3"/>
        <v>0.84</v>
      </c>
      <c r="AM8">
        <f t="shared" si="3"/>
        <v>1.47</v>
      </c>
      <c r="AN8">
        <f t="shared" si="3"/>
        <v>1.26</v>
      </c>
      <c r="AO8">
        <f t="shared" si="3"/>
        <v>1.47</v>
      </c>
      <c r="AP8">
        <f t="shared" si="3"/>
        <v>0</v>
      </c>
      <c r="AQ8">
        <f t="shared" si="3"/>
        <v>0.63</v>
      </c>
      <c r="AR8">
        <f t="shared" si="3"/>
        <v>0.42</v>
      </c>
      <c r="AS8">
        <f t="shared" si="3"/>
        <v>0.21</v>
      </c>
      <c r="AT8">
        <f t="shared" si="3"/>
        <v>0</v>
      </c>
    </row>
    <row r="9" spans="1:46" x14ac:dyDescent="0.35">
      <c r="D9" t="s">
        <v>91</v>
      </c>
      <c r="E9" s="63">
        <v>0.11</v>
      </c>
      <c r="F9" s="65">
        <v>11.5</v>
      </c>
      <c r="G9" s="66">
        <v>17.5</v>
      </c>
      <c r="H9" s="65">
        <f t="shared" si="1"/>
        <v>8.3800000000000008</v>
      </c>
      <c r="I9" s="66">
        <f>H9+I8</f>
        <v>53.631999999999998</v>
      </c>
      <c r="J9" s="58">
        <f t="shared" si="2"/>
        <v>25.643999999999998</v>
      </c>
      <c r="K9" s="60">
        <f t="shared" si="0"/>
        <v>2.09</v>
      </c>
      <c r="L9" s="62" t="str">
        <f>K9 &amp; " +/- " &amp; AD8</f>
        <v>2,09 +/- 1,05</v>
      </c>
      <c r="M9" s="85"/>
      <c r="N9" s="85"/>
    </row>
    <row r="10" spans="1:46" x14ac:dyDescent="0.35">
      <c r="D10" t="s">
        <v>92</v>
      </c>
      <c r="E10" s="63">
        <v>0.11</v>
      </c>
      <c r="F10" s="65">
        <v>12.3</v>
      </c>
      <c r="G10" s="66">
        <v>19.7</v>
      </c>
      <c r="H10" s="65">
        <f t="shared" si="1"/>
        <v>36.871999999999993</v>
      </c>
      <c r="I10" s="66">
        <f t="shared" ref="I10:I25" si="4">H10+I9</f>
        <v>90.503999999999991</v>
      </c>
      <c r="J10" s="58">
        <f t="shared" si="2"/>
        <v>32.244</v>
      </c>
      <c r="K10" s="60">
        <f t="shared" si="0"/>
        <v>2.81</v>
      </c>
      <c r="L10" s="62" t="str">
        <f>K10 &amp; " +/- " &amp; AE8</f>
        <v>2,81 +/- 4,61</v>
      </c>
      <c r="M10" s="85"/>
      <c r="N10" s="85"/>
    </row>
    <row r="11" spans="1:46" x14ac:dyDescent="0.35">
      <c r="D11" t="s">
        <v>93</v>
      </c>
      <c r="E11" s="63">
        <v>0.114</v>
      </c>
      <c r="F11" s="65">
        <v>9.1999999999999993</v>
      </c>
      <c r="G11" s="66">
        <v>20.8</v>
      </c>
      <c r="H11" s="65">
        <f t="shared" si="1"/>
        <v>18.436000000000025</v>
      </c>
      <c r="I11" s="66">
        <f t="shared" si="4"/>
        <v>108.94000000000001</v>
      </c>
      <c r="J11" s="58">
        <f t="shared" si="2"/>
        <v>39.084000000000003</v>
      </c>
      <c r="K11" s="60">
        <f t="shared" si="0"/>
        <v>2.79</v>
      </c>
      <c r="L11" s="62" t="str">
        <f>K11 &amp; " +/- " &amp; AF8</f>
        <v>2,79 +/- 2,3</v>
      </c>
      <c r="M11" s="85"/>
      <c r="N11" s="85"/>
      <c r="W11" s="59"/>
      <c r="X11" s="59"/>
      <c r="Z11" s="56" t="s">
        <v>94</v>
      </c>
      <c r="AA11" s="56">
        <f>4*4.18</f>
        <v>16.72</v>
      </c>
    </row>
    <row r="12" spans="1:46" x14ac:dyDescent="0.35">
      <c r="D12" t="s">
        <v>95</v>
      </c>
      <c r="E12" s="63">
        <v>0.11700000000000001</v>
      </c>
      <c r="F12" s="65">
        <v>10.6</v>
      </c>
      <c r="G12" s="66">
        <v>21.6</v>
      </c>
      <c r="H12" s="65">
        <f t="shared" si="1"/>
        <v>13.408000000000014</v>
      </c>
      <c r="I12" s="66">
        <f t="shared" si="4"/>
        <v>122.34800000000003</v>
      </c>
      <c r="J12" s="58">
        <f t="shared" si="2"/>
        <v>46.104000000000006</v>
      </c>
      <c r="K12" s="60">
        <f t="shared" si="0"/>
        <v>2.65</v>
      </c>
      <c r="L12" s="62" t="str">
        <f>K12 &amp; " +/- " &amp; AG8</f>
        <v>2,65 +/- 1,68</v>
      </c>
      <c r="M12" s="85"/>
      <c r="N12" s="85"/>
      <c r="Z12" s="56" t="s">
        <v>96</v>
      </c>
      <c r="AA12" s="56">
        <v>14.4</v>
      </c>
      <c r="AK12">
        <f>AVERAGE(AF8:AT8)</f>
        <v>1.2866666666666666</v>
      </c>
    </row>
    <row r="13" spans="1:46" x14ac:dyDescent="0.35">
      <c r="D13" t="s">
        <v>97</v>
      </c>
      <c r="E13" s="63">
        <v>0.12</v>
      </c>
      <c r="F13" s="65">
        <v>9.6</v>
      </c>
      <c r="G13" s="66">
        <v>22.3</v>
      </c>
      <c r="H13" s="65">
        <f t="shared" si="1"/>
        <v>11.731999999999989</v>
      </c>
      <c r="I13" s="66">
        <f t="shared" si="4"/>
        <v>134.08000000000001</v>
      </c>
      <c r="J13" s="58">
        <f t="shared" si="2"/>
        <v>53.304000000000002</v>
      </c>
      <c r="K13" s="60">
        <f t="shared" si="0"/>
        <v>2.52</v>
      </c>
      <c r="L13" s="62" t="str">
        <f>K13 &amp; " +/- " &amp; AH8</f>
        <v>2,52 +/- 1,47</v>
      </c>
      <c r="M13" s="85"/>
      <c r="N13" s="85"/>
      <c r="Z13" t="s">
        <v>98</v>
      </c>
    </row>
    <row r="14" spans="1:46" x14ac:dyDescent="0.35">
      <c r="D14" t="s">
        <v>99</v>
      </c>
      <c r="E14" s="63">
        <v>0.12</v>
      </c>
      <c r="F14" s="65">
        <v>8.8000000000000007</v>
      </c>
      <c r="G14" s="66">
        <v>24.6</v>
      </c>
      <c r="H14" s="65">
        <f t="shared" si="1"/>
        <v>38.548000000000016</v>
      </c>
      <c r="I14" s="66">
        <f t="shared" si="4"/>
        <v>172.62800000000004</v>
      </c>
      <c r="J14" s="58">
        <f t="shared" si="2"/>
        <v>60.504000000000005</v>
      </c>
      <c r="K14" s="60">
        <f t="shared" si="0"/>
        <v>2.85</v>
      </c>
      <c r="L14" s="62" t="str">
        <f>K14 &amp; " +/- " &amp; AI8</f>
        <v>2,85 +/- 4,82</v>
      </c>
      <c r="M14" s="85"/>
      <c r="N14" s="85"/>
      <c r="Z14" t="s">
        <v>100</v>
      </c>
    </row>
    <row r="15" spans="1:46" x14ac:dyDescent="0.35">
      <c r="D15" t="s">
        <v>101</v>
      </c>
      <c r="E15" s="63">
        <v>0.122</v>
      </c>
      <c r="F15" s="65">
        <v>8.1999999999999993</v>
      </c>
      <c r="G15" s="66">
        <v>25</v>
      </c>
      <c r="H15" s="65">
        <f t="shared" si="1"/>
        <v>6.7039999999999766</v>
      </c>
      <c r="I15" s="66">
        <f t="shared" si="4"/>
        <v>179.33200000000002</v>
      </c>
      <c r="J15" s="58">
        <f t="shared" si="2"/>
        <v>67.824000000000012</v>
      </c>
      <c r="K15" s="60">
        <f t="shared" si="0"/>
        <v>2.64</v>
      </c>
      <c r="L15" s="62" t="str">
        <f>K15 &amp; " +/- " &amp; AJ8</f>
        <v>2,64 +/- 0,84</v>
      </c>
      <c r="M15" s="85"/>
      <c r="N15" s="85"/>
      <c r="Z15" t="s">
        <v>102</v>
      </c>
      <c r="AA15">
        <v>0.5</v>
      </c>
      <c r="AB15">
        <v>0.5</v>
      </c>
    </row>
    <row r="16" spans="1:46" x14ac:dyDescent="0.35">
      <c r="D16" t="s">
        <v>103</v>
      </c>
      <c r="E16" s="63">
        <v>0.108</v>
      </c>
      <c r="F16" s="65">
        <v>7.4</v>
      </c>
      <c r="G16" s="66">
        <v>25.9</v>
      </c>
      <c r="H16" s="65">
        <f t="shared" si="1"/>
        <v>15.083999999999978</v>
      </c>
      <c r="I16" s="66">
        <f t="shared" si="4"/>
        <v>194.416</v>
      </c>
      <c r="J16" s="58">
        <f t="shared" si="2"/>
        <v>74.304000000000016</v>
      </c>
      <c r="K16" s="60">
        <f t="shared" si="0"/>
        <v>2.62</v>
      </c>
      <c r="L16" s="62" t="str">
        <f>K16 &amp; " +/- " &amp; AK8</f>
        <v>2,62 +/- 1,89</v>
      </c>
      <c r="M16" s="85"/>
      <c r="N16" s="85"/>
      <c r="Z16" t="s">
        <v>104</v>
      </c>
      <c r="AA16">
        <v>0.5</v>
      </c>
    </row>
    <row r="17" spans="4:27" x14ac:dyDescent="0.35">
      <c r="D17" t="s">
        <v>105</v>
      </c>
      <c r="E17" s="63">
        <v>0.109</v>
      </c>
      <c r="F17" s="65">
        <v>5.6</v>
      </c>
      <c r="G17" s="66">
        <v>26.3</v>
      </c>
      <c r="H17" s="65">
        <f t="shared" si="1"/>
        <v>6.7040000000000362</v>
      </c>
      <c r="I17" s="66">
        <f t="shared" si="4"/>
        <v>201.12000000000003</v>
      </c>
      <c r="J17" s="58">
        <f t="shared" si="2"/>
        <v>80.844000000000023</v>
      </c>
      <c r="K17" s="60">
        <f t="shared" si="0"/>
        <v>2.4900000000000002</v>
      </c>
      <c r="L17" s="62" t="str">
        <f>K17 &amp; " +/- " &amp; AL8</f>
        <v>2,49 +/- 0,84</v>
      </c>
      <c r="M17" s="85"/>
      <c r="N17" s="85"/>
    </row>
    <row r="18" spans="4:27" x14ac:dyDescent="0.35">
      <c r="D18" t="s">
        <v>106</v>
      </c>
      <c r="E18" s="63">
        <v>0.11</v>
      </c>
      <c r="F18" s="65">
        <v>6.2</v>
      </c>
      <c r="G18" s="66">
        <v>27</v>
      </c>
      <c r="H18" s="65">
        <f t="shared" si="1"/>
        <v>11.731999999999989</v>
      </c>
      <c r="I18" s="66">
        <f t="shared" si="4"/>
        <v>212.85200000000003</v>
      </c>
      <c r="J18" s="58">
        <f t="shared" si="2"/>
        <v>87.444000000000017</v>
      </c>
      <c r="K18" s="60">
        <f t="shared" si="0"/>
        <v>2.4300000000000002</v>
      </c>
      <c r="L18" s="62" t="str">
        <f>K18 &amp; " +/- " &amp; AM8</f>
        <v>2,43 +/- 1,47</v>
      </c>
      <c r="M18" s="85"/>
      <c r="N18" s="85"/>
    </row>
    <row r="19" spans="4:27" x14ac:dyDescent="0.35">
      <c r="D19" t="s">
        <v>107</v>
      </c>
      <c r="E19" s="63">
        <v>0.11</v>
      </c>
      <c r="F19" s="65">
        <v>5.5</v>
      </c>
      <c r="G19" s="66">
        <v>27.6</v>
      </c>
      <c r="H19" s="65">
        <f t="shared" si="1"/>
        <v>10.056000000000024</v>
      </c>
      <c r="I19" s="66">
        <f t="shared" si="4"/>
        <v>222.90800000000004</v>
      </c>
      <c r="J19" s="58">
        <f t="shared" si="2"/>
        <v>94.044000000000011</v>
      </c>
      <c r="K19" s="60">
        <f t="shared" si="0"/>
        <v>2.37</v>
      </c>
      <c r="L19" s="62" t="str">
        <f>K19 &amp; " +/- " &amp; AN8</f>
        <v>2,37 +/- 1,26</v>
      </c>
      <c r="M19" s="85"/>
      <c r="N19" s="85"/>
    </row>
    <row r="20" spans="4:27" x14ac:dyDescent="0.35">
      <c r="D20" t="s">
        <v>108</v>
      </c>
      <c r="E20" s="63">
        <v>0.113</v>
      </c>
      <c r="F20" s="65">
        <v>4.8</v>
      </c>
      <c r="G20" s="66">
        <v>28.3</v>
      </c>
      <c r="H20" s="65">
        <f t="shared" si="1"/>
        <v>11.731999999999989</v>
      </c>
      <c r="I20" s="66">
        <f t="shared" si="4"/>
        <v>234.64000000000004</v>
      </c>
      <c r="J20" s="58">
        <f t="shared" si="2"/>
        <v>100.82400000000001</v>
      </c>
      <c r="K20" s="60">
        <f t="shared" si="0"/>
        <v>2.33</v>
      </c>
      <c r="L20" s="62" t="str">
        <f>K20 &amp; " +/- " &amp; AO8</f>
        <v>2,33 +/- 1,47</v>
      </c>
      <c r="M20" s="85"/>
      <c r="N20" s="85"/>
    </row>
    <row r="21" spans="4:27" x14ac:dyDescent="0.35">
      <c r="D21" t="s">
        <v>109</v>
      </c>
      <c r="E21" s="63">
        <v>0.112</v>
      </c>
      <c r="F21" s="65">
        <v>4.3</v>
      </c>
      <c r="G21" s="66">
        <v>28.3</v>
      </c>
      <c r="H21" s="65">
        <f t="shared" si="1"/>
        <v>0</v>
      </c>
      <c r="I21" s="66">
        <f t="shared" si="4"/>
        <v>234.64000000000004</v>
      </c>
      <c r="J21" s="58">
        <f t="shared" si="2"/>
        <v>107.54400000000001</v>
      </c>
      <c r="K21" s="60">
        <f t="shared" si="0"/>
        <v>2.1800000000000002</v>
      </c>
      <c r="L21" s="62" t="str">
        <f>K21 &amp; " +/- " &amp; AP8</f>
        <v>2,18 +/- 0</v>
      </c>
      <c r="M21" s="85"/>
      <c r="N21" s="85"/>
    </row>
    <row r="22" spans="4:27" x14ac:dyDescent="0.35">
      <c r="D22" t="s">
        <v>110</v>
      </c>
      <c r="E22" s="63">
        <v>0.123</v>
      </c>
      <c r="F22" s="65">
        <v>4.5</v>
      </c>
      <c r="G22" s="66">
        <v>28</v>
      </c>
      <c r="H22" s="65">
        <f t="shared" si="1"/>
        <v>5.028000000000012</v>
      </c>
      <c r="I22" s="66">
        <f t="shared" si="4"/>
        <v>239.66800000000006</v>
      </c>
      <c r="J22" s="58">
        <f t="shared" si="2"/>
        <v>114.92400000000001</v>
      </c>
      <c r="K22" s="60">
        <f t="shared" si="0"/>
        <v>2.09</v>
      </c>
      <c r="L22" s="62" t="str">
        <f>K22 &amp; " +/- " &amp;AQ8</f>
        <v>2,09 +/- 0,63</v>
      </c>
      <c r="M22" s="85"/>
      <c r="N22" s="85"/>
    </row>
    <row r="23" spans="4:27" x14ac:dyDescent="0.35">
      <c r="D23" t="s">
        <v>111</v>
      </c>
      <c r="E23" s="63">
        <v>0.112</v>
      </c>
      <c r="F23" s="65">
        <v>4.1100000000000003</v>
      </c>
      <c r="G23" s="66">
        <v>27.8</v>
      </c>
      <c r="H23" s="65">
        <f t="shared" si="1"/>
        <v>3.3519999999999883</v>
      </c>
      <c r="I23" s="66">
        <f t="shared" si="4"/>
        <v>243.02000000000004</v>
      </c>
      <c r="J23" s="58">
        <f t="shared" si="2"/>
        <v>121.64400000000001</v>
      </c>
      <c r="K23" s="60">
        <f t="shared" si="0"/>
        <v>2</v>
      </c>
      <c r="L23" s="62" t="str">
        <f>K23 &amp; " +/- " &amp; AR8</f>
        <v>2 +/- 0,42</v>
      </c>
      <c r="M23" s="85"/>
      <c r="N23" s="85"/>
    </row>
    <row r="24" spans="4:27" x14ac:dyDescent="0.35">
      <c r="D24" t="s">
        <v>112</v>
      </c>
      <c r="E24" s="63">
        <v>0.114</v>
      </c>
      <c r="F24" s="65">
        <v>4.0999999999999996</v>
      </c>
      <c r="G24" s="66">
        <v>27.7</v>
      </c>
      <c r="H24" s="65">
        <f t="shared" si="1"/>
        <v>1.6760000000000239</v>
      </c>
      <c r="I24" s="66">
        <f t="shared" si="4"/>
        <v>244.69600000000005</v>
      </c>
      <c r="J24" s="58">
        <f t="shared" si="2"/>
        <v>128.48400000000001</v>
      </c>
      <c r="K24" s="60">
        <f t="shared" si="0"/>
        <v>1.9</v>
      </c>
      <c r="L24" s="62" t="str">
        <f>K24 &amp; " +/- " &amp; AS8</f>
        <v>1,9 +/- 0,21</v>
      </c>
      <c r="M24" s="85"/>
      <c r="N24" s="85"/>
    </row>
    <row r="25" spans="4:27" x14ac:dyDescent="0.35">
      <c r="D25" t="s">
        <v>113</v>
      </c>
      <c r="E25" s="64">
        <v>0.11600000000000001</v>
      </c>
      <c r="F25" s="67">
        <v>3.5</v>
      </c>
      <c r="G25" s="68">
        <v>27.7</v>
      </c>
      <c r="H25" s="67">
        <f t="shared" si="1"/>
        <v>0</v>
      </c>
      <c r="I25" s="66">
        <f t="shared" si="4"/>
        <v>244.69600000000005</v>
      </c>
      <c r="J25" s="58">
        <f t="shared" si="2"/>
        <v>135.44400000000002</v>
      </c>
      <c r="K25" s="61">
        <f t="shared" si="0"/>
        <v>1.81</v>
      </c>
      <c r="L25" s="62" t="str">
        <f>K25 &amp; " +/- " &amp; AT8</f>
        <v>1,81 +/- 0</v>
      </c>
      <c r="M25" s="85"/>
      <c r="N25" s="85"/>
    </row>
    <row r="27" spans="4:27" x14ac:dyDescent="0.35">
      <c r="M27" s="8">
        <f>AVERAGE(K10:K25)</f>
        <v>2.4049999999999998</v>
      </c>
    </row>
    <row r="28" spans="4:27" x14ac:dyDescent="0.35">
      <c r="Z28" s="54" t="s">
        <v>114</v>
      </c>
      <c r="AA28" s="55">
        <f>(((AA11*(AO7-AA7))/(15*60))/(AVERAGE(AA5:AO5)))</f>
        <v>2.3050860906133455</v>
      </c>
    </row>
    <row r="65" spans="26:46" x14ac:dyDescent="0.35">
      <c r="Z65" s="54" t="s">
        <v>115</v>
      </c>
      <c r="AA65" s="54"/>
      <c r="AB65" s="54">
        <f t="shared" ref="AB65:AT65" si="5">AB7-AA7</f>
        <v>0.19999999999999929</v>
      </c>
      <c r="AC65" s="54">
        <f t="shared" si="5"/>
        <v>2.4000000000000004</v>
      </c>
      <c r="AD65" s="54">
        <f t="shared" si="5"/>
        <v>0.5</v>
      </c>
      <c r="AE65" s="54">
        <f t="shared" si="5"/>
        <v>2.1999999999999993</v>
      </c>
      <c r="AF65" s="54">
        <f t="shared" si="5"/>
        <v>1.1000000000000014</v>
      </c>
      <c r="AG65" s="54">
        <f t="shared" si="5"/>
        <v>0.80000000000000071</v>
      </c>
      <c r="AH65" s="54">
        <f t="shared" si="5"/>
        <v>0.69999999999999929</v>
      </c>
      <c r="AI65" s="54">
        <f t="shared" si="5"/>
        <v>2.3000000000000007</v>
      </c>
      <c r="AJ65" s="54">
        <f t="shared" si="5"/>
        <v>0.39999999999999858</v>
      </c>
      <c r="AK65" s="54">
        <f t="shared" si="5"/>
        <v>0.89999999999999858</v>
      </c>
      <c r="AL65" s="54">
        <f t="shared" si="5"/>
        <v>0.40000000000000213</v>
      </c>
      <c r="AM65" s="54">
        <f t="shared" si="5"/>
        <v>0.69999999999999929</v>
      </c>
      <c r="AN65" s="54">
        <f t="shared" si="5"/>
        <v>0.60000000000000142</v>
      </c>
      <c r="AO65" s="54">
        <f t="shared" si="5"/>
        <v>0.69999999999999929</v>
      </c>
      <c r="AP65" s="54">
        <f t="shared" si="5"/>
        <v>0</v>
      </c>
      <c r="AQ65" s="54">
        <f t="shared" si="5"/>
        <v>-0.30000000000000071</v>
      </c>
      <c r="AR65" s="54">
        <f t="shared" si="5"/>
        <v>-0.19999999999999929</v>
      </c>
      <c r="AS65" s="54">
        <f t="shared" si="5"/>
        <v>-0.10000000000000142</v>
      </c>
      <c r="AT65" s="54">
        <f t="shared" si="5"/>
        <v>0</v>
      </c>
    </row>
    <row r="66" spans="26:46" x14ac:dyDescent="0.35">
      <c r="Z66" s="53" t="s">
        <v>71</v>
      </c>
      <c r="AA66" s="53">
        <v>1</v>
      </c>
      <c r="AB66" s="53">
        <v>2</v>
      </c>
      <c r="AC66" s="53">
        <v>3</v>
      </c>
      <c r="AD66" s="53">
        <v>4</v>
      </c>
      <c r="AE66" s="53">
        <v>5</v>
      </c>
      <c r="AF66" s="53">
        <v>6</v>
      </c>
      <c r="AG66" s="53">
        <v>7</v>
      </c>
      <c r="AH66" s="53">
        <v>8</v>
      </c>
      <c r="AI66" s="53">
        <v>9</v>
      </c>
      <c r="AJ66" s="53">
        <v>10</v>
      </c>
      <c r="AK66" s="53">
        <v>11</v>
      </c>
      <c r="AL66" s="53">
        <v>12</v>
      </c>
      <c r="AM66" s="53">
        <v>13</v>
      </c>
      <c r="AN66" s="53">
        <v>14</v>
      </c>
      <c r="AO66" s="53">
        <v>15</v>
      </c>
      <c r="AP66" s="53">
        <v>16</v>
      </c>
      <c r="AQ66" s="53">
        <v>17</v>
      </c>
      <c r="AR66" s="53">
        <v>18</v>
      </c>
      <c r="AS66" s="53">
        <v>19</v>
      </c>
      <c r="AT66" s="53">
        <v>20</v>
      </c>
    </row>
    <row r="67" spans="26:46" x14ac:dyDescent="0.35">
      <c r="Z67" s="54" t="s">
        <v>116</v>
      </c>
      <c r="AA67" s="55">
        <f>($AA$11*(AA7-$AA$12))/(AA5)</f>
        <v>0</v>
      </c>
      <c r="AB67" s="55">
        <f t="shared" ref="AB67:AT67" si="6">(($AA$11*AB65)/60)/(AB5)</f>
        <v>0.52727846105329357</v>
      </c>
      <c r="AC67" s="55">
        <f t="shared" si="6"/>
        <v>6.2504672897196256</v>
      </c>
      <c r="AD67" s="55">
        <f t="shared" si="6"/>
        <v>1.2666666666666666</v>
      </c>
      <c r="AE67" s="55">
        <f t="shared" si="6"/>
        <v>5.5733333333333315</v>
      </c>
      <c r="AF67" s="55">
        <f t="shared" si="6"/>
        <v>2.6888888888888918</v>
      </c>
      <c r="AG67" s="55">
        <f t="shared" si="6"/>
        <v>1.9054131054131067</v>
      </c>
      <c r="AH67" s="55">
        <f t="shared" si="6"/>
        <v>1.6255555555555541</v>
      </c>
      <c r="AI67" s="55">
        <f t="shared" si="6"/>
        <v>5.341111111111112</v>
      </c>
      <c r="AJ67" s="55">
        <f t="shared" si="6"/>
        <v>0.91366120218578906</v>
      </c>
      <c r="AK67" s="55">
        <f t="shared" si="6"/>
        <v>2.3222222222222184</v>
      </c>
      <c r="AL67" s="55">
        <f t="shared" si="6"/>
        <v>1.0226299694189656</v>
      </c>
      <c r="AM67" s="55">
        <f t="shared" si="6"/>
        <v>1.7733333333333317</v>
      </c>
      <c r="AN67" s="55">
        <f t="shared" si="6"/>
        <v>1.5200000000000033</v>
      </c>
      <c r="AO67" s="55">
        <f t="shared" si="6"/>
        <v>1.7262536873156324</v>
      </c>
      <c r="AP67" s="55">
        <f t="shared" si="6"/>
        <v>0</v>
      </c>
      <c r="AQ67" s="55">
        <f t="shared" si="6"/>
        <v>-0.67967479674796905</v>
      </c>
      <c r="AR67" s="55">
        <f t="shared" si="6"/>
        <v>-0.4976190476190458</v>
      </c>
      <c r="AS67" s="55">
        <f t="shared" si="6"/>
        <v>-0.24444444444444788</v>
      </c>
      <c r="AT67" s="55">
        <f t="shared" si="6"/>
        <v>0</v>
      </c>
    </row>
  </sheetData>
  <mergeCells count="4">
    <mergeCell ref="Z1:AK2"/>
    <mergeCell ref="N5:N25"/>
    <mergeCell ref="M5:M25"/>
    <mergeCell ref="D3:N4"/>
  </mergeCells>
  <phoneticPr fontId="9" type="noConversion"/>
  <pageMargins left="0.25" right="0.25" top="0.75" bottom="0.75" header="0.3" footer="0.3"/>
  <pageSetup scale="21" orientation="landscape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1FAD-0908-4A03-BB21-92641B1E67B9}">
  <dimension ref="B3:C6"/>
  <sheetViews>
    <sheetView workbookViewId="0">
      <selection activeCell="B3" sqref="B3:C6"/>
    </sheetView>
  </sheetViews>
  <sheetFormatPr defaultRowHeight="14.5" x14ac:dyDescent="0.35"/>
  <cols>
    <col min="2" max="2" width="12.81640625" bestFit="1" customWidth="1"/>
  </cols>
  <sheetData>
    <row r="3" spans="2:3" x14ac:dyDescent="0.35">
      <c r="B3" t="s">
        <v>2</v>
      </c>
      <c r="C3" t="s">
        <v>117</v>
      </c>
    </row>
    <row r="4" spans="2:3" x14ac:dyDescent="0.35">
      <c r="B4" t="s">
        <v>118</v>
      </c>
      <c r="C4" t="s">
        <v>119</v>
      </c>
    </row>
    <row r="5" spans="2:3" x14ac:dyDescent="0.35">
      <c r="B5" t="s">
        <v>6</v>
      </c>
      <c r="C5" t="s">
        <v>7</v>
      </c>
    </row>
    <row r="6" spans="2:3" x14ac:dyDescent="0.35">
      <c r="B6" t="s">
        <v>120</v>
      </c>
      <c r="C6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D030-1C2C-415D-BA30-07E0B95C8561}">
  <dimension ref="A4:R22"/>
  <sheetViews>
    <sheetView zoomScale="92" zoomScaleNormal="85" workbookViewId="0">
      <selection activeCell="E13" sqref="E13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  <col min="10" max="10" width="16.453125" bestFit="1" customWidth="1"/>
    <col min="11" max="11" width="17" customWidth="1"/>
    <col min="12" max="12" width="16.81640625" customWidth="1"/>
    <col min="13" max="13" width="18.26953125" customWidth="1"/>
    <col min="15" max="15" width="13.453125" customWidth="1"/>
    <col min="16" max="16" width="14.1796875" customWidth="1"/>
    <col min="17" max="17" width="21.1796875" customWidth="1"/>
    <col min="18" max="18" width="13.453125" customWidth="1"/>
    <col min="21" max="21" width="9.26953125" bestFit="1" customWidth="1"/>
  </cols>
  <sheetData>
    <row r="4" spans="1:18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18" ht="16" x14ac:dyDescent="0.4">
      <c r="B6" s="1" t="s">
        <v>27</v>
      </c>
      <c r="C6" s="1" t="s">
        <v>28</v>
      </c>
      <c r="D6" s="1" t="s">
        <v>29</v>
      </c>
      <c r="E6" s="1"/>
      <c r="J6" t="s">
        <v>121</v>
      </c>
      <c r="O6" t="s">
        <v>60</v>
      </c>
    </row>
    <row r="7" spans="1:18" ht="16" x14ac:dyDescent="0.4">
      <c r="B7" s="2">
        <v>1</v>
      </c>
      <c r="C7" s="1" t="s">
        <v>30</v>
      </c>
      <c r="D7" s="1">
        <v>666010614.5</v>
      </c>
      <c r="E7" s="1"/>
      <c r="J7" t="s">
        <v>122</v>
      </c>
      <c r="K7" t="s">
        <v>62</v>
      </c>
      <c r="L7" t="s">
        <v>63</v>
      </c>
      <c r="M7" t="s">
        <v>64</v>
      </c>
      <c r="O7" t="s">
        <v>61</v>
      </c>
      <c r="P7" t="s">
        <v>62</v>
      </c>
      <c r="Q7" t="s">
        <v>63</v>
      </c>
      <c r="R7" t="s">
        <v>65</v>
      </c>
    </row>
    <row r="8" spans="1:18" ht="16" x14ac:dyDescent="0.4">
      <c r="B8" s="2">
        <v>2</v>
      </c>
      <c r="C8" s="1" t="s">
        <v>31</v>
      </c>
      <c r="D8" s="1">
        <v>427595488</v>
      </c>
      <c r="E8" s="1"/>
      <c r="J8">
        <v>2</v>
      </c>
      <c r="K8">
        <v>15.84</v>
      </c>
      <c r="O8">
        <v>6</v>
      </c>
    </row>
    <row r="9" spans="1:18" ht="16" x14ac:dyDescent="0.4">
      <c r="B9" s="50">
        <v>3</v>
      </c>
      <c r="C9" s="45" t="s">
        <v>33</v>
      </c>
      <c r="D9" s="45">
        <v>0.15</v>
      </c>
      <c r="E9" s="1"/>
      <c r="J9" s="3">
        <v>2.2000000000000002</v>
      </c>
      <c r="K9" s="3">
        <v>15.11</v>
      </c>
      <c r="O9">
        <v>7</v>
      </c>
    </row>
    <row r="10" spans="1:18" ht="16" x14ac:dyDescent="0.4">
      <c r="B10" s="50">
        <v>4</v>
      </c>
      <c r="C10" s="45" t="s">
        <v>36</v>
      </c>
      <c r="D10" s="45">
        <v>0.8</v>
      </c>
      <c r="E10" s="1" t="s">
        <v>37</v>
      </c>
      <c r="F10" s="3">
        <f>Table142227[[#This Row],[Value]]+D11</f>
        <v>1</v>
      </c>
      <c r="J10">
        <v>2.4</v>
      </c>
      <c r="K10">
        <v>14.72</v>
      </c>
      <c r="L10" s="3"/>
      <c r="M10" s="3"/>
      <c r="O10" s="3">
        <v>8</v>
      </c>
      <c r="P10" s="3"/>
      <c r="Q10" s="3"/>
      <c r="R10" s="3"/>
    </row>
    <row r="11" spans="1:18" ht="16" x14ac:dyDescent="0.4">
      <c r="B11" s="50">
        <v>5</v>
      </c>
      <c r="C11" s="45" t="s">
        <v>40</v>
      </c>
      <c r="D11" s="45">
        <v>0.2</v>
      </c>
      <c r="E11" s="1"/>
      <c r="J11">
        <v>2.6</v>
      </c>
      <c r="K11">
        <v>14.52</v>
      </c>
      <c r="O11">
        <v>9</v>
      </c>
    </row>
    <row r="12" spans="1:18" ht="16" x14ac:dyDescent="0.4">
      <c r="B12" s="50">
        <v>6</v>
      </c>
      <c r="C12" s="45" t="s">
        <v>41</v>
      </c>
      <c r="D12" s="45">
        <v>0.06</v>
      </c>
      <c r="E12" s="1"/>
      <c r="J12">
        <v>2.8</v>
      </c>
      <c r="K12">
        <v>14.48</v>
      </c>
    </row>
    <row r="13" spans="1:18" ht="16" x14ac:dyDescent="0.4">
      <c r="B13" s="50">
        <v>7</v>
      </c>
      <c r="C13" s="45" t="s">
        <v>42</v>
      </c>
      <c r="D13" s="45">
        <v>20</v>
      </c>
      <c r="E13" s="1"/>
      <c r="J13">
        <v>3</v>
      </c>
      <c r="K13">
        <v>14.54</v>
      </c>
    </row>
    <row r="14" spans="1:18" ht="16" x14ac:dyDescent="0.4">
      <c r="B14" s="50">
        <v>8</v>
      </c>
      <c r="C14" s="45" t="s">
        <v>43</v>
      </c>
      <c r="D14" s="45">
        <v>2.5000000000000001E-2</v>
      </c>
      <c r="E14" s="1"/>
      <c r="J14">
        <v>3.2</v>
      </c>
      <c r="K14">
        <v>14.75</v>
      </c>
    </row>
    <row r="15" spans="1:18" ht="16" x14ac:dyDescent="0.4">
      <c r="B15" s="2">
        <v>9</v>
      </c>
      <c r="C15" s="1" t="s">
        <v>44</v>
      </c>
      <c r="D15" s="1"/>
    </row>
    <row r="16" spans="1:18" ht="16" x14ac:dyDescent="0.4">
      <c r="B16" s="2">
        <v>10</v>
      </c>
      <c r="C16" s="1" t="s">
        <v>45</v>
      </c>
      <c r="D16" s="1"/>
    </row>
    <row r="17" spans="2:12" x14ac:dyDescent="0.35">
      <c r="B17" t="s">
        <v>27</v>
      </c>
      <c r="C17" t="s">
        <v>46</v>
      </c>
      <c r="D17" t="s">
        <v>29</v>
      </c>
      <c r="J17" s="3"/>
      <c r="K17" s="3"/>
    </row>
    <row r="18" spans="2:12" x14ac:dyDescent="0.35">
      <c r="B18">
        <v>1</v>
      </c>
      <c r="C18" t="s">
        <v>47</v>
      </c>
      <c r="D18">
        <f>(D10*D12)+(D11*D9)</f>
        <v>7.8E-2</v>
      </c>
    </row>
    <row r="19" spans="2:12" x14ac:dyDescent="0.35">
      <c r="B19">
        <v>2</v>
      </c>
      <c r="C19" t="s">
        <v>48</v>
      </c>
      <c r="D19">
        <f>(D18*(1+D18)^D13)/((1+D18)^D13-1)</f>
        <v>0.10034103966089436</v>
      </c>
      <c r="L19" s="3"/>
    </row>
    <row r="20" spans="2:12" x14ac:dyDescent="0.35">
      <c r="B20">
        <v>3</v>
      </c>
      <c r="C20" t="s">
        <v>49</v>
      </c>
      <c r="D20">
        <f>D19*D7</f>
        <v>66828197.484121121</v>
      </c>
    </row>
    <row r="21" spans="2:12" x14ac:dyDescent="0.35">
      <c r="B21">
        <v>4</v>
      </c>
      <c r="C21" t="s">
        <v>67</v>
      </c>
      <c r="D21">
        <f>D7*(D19+D14)/D8</f>
        <v>0.19522765134187087</v>
      </c>
      <c r="E21" t="s">
        <v>51</v>
      </c>
      <c r="F21" s="3">
        <f>Table252328[[#This Row],[Value]]*100</f>
        <v>19.522765134187086</v>
      </c>
    </row>
    <row r="22" spans="2:12" x14ac:dyDescent="0.35">
      <c r="C22" t="s">
        <v>52</v>
      </c>
      <c r="D22" t="e">
        <f>D15*(D19+D14)/D16</f>
        <v>#DIV/0!</v>
      </c>
    </row>
  </sheetData>
  <mergeCells count="1">
    <mergeCell ref="A4:K4"/>
  </mergeCells>
  <conditionalFormatting sqref="F10">
    <cfRule type="cellIs" dxfId="5" priority="1" operator="equal">
      <formula>1</formula>
    </cfRule>
    <cfRule type="cellIs" dxfId="4" priority="2" operator="greaterThan">
      <formula>1</formula>
    </cfRule>
    <cfRule type="cellIs" dxfId="3" priority="3" operator="lessThan">
      <formula>1</formula>
    </cfRule>
  </conditionalFormatting>
  <pageMargins left="0.7" right="0.7" top="0.75" bottom="0.75" header="0.3" footer="0.3"/>
  <drawing r:id="rId1"/>
  <legacyDrawing r:id="rId2"/>
  <tableParts count="4"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EDC1-7297-4DA3-A7E6-F8FEC41988AF}">
  <dimension ref="A4:R22"/>
  <sheetViews>
    <sheetView zoomScaleNormal="100" workbookViewId="0">
      <selection activeCell="D7" sqref="D7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  <col min="10" max="10" width="16.453125" bestFit="1" customWidth="1"/>
    <col min="11" max="11" width="17" customWidth="1"/>
    <col min="12" max="12" width="16.81640625" customWidth="1"/>
    <col min="13" max="13" width="18.26953125" customWidth="1"/>
    <col min="15" max="15" width="13.453125" customWidth="1"/>
    <col min="16" max="16" width="14.1796875" customWidth="1"/>
    <col min="17" max="17" width="21.1796875" customWidth="1"/>
    <col min="18" max="18" width="13.453125" customWidth="1"/>
    <col min="21" max="21" width="9.26953125" bestFit="1" customWidth="1"/>
  </cols>
  <sheetData>
    <row r="4" spans="1:18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18" ht="16" x14ac:dyDescent="0.4">
      <c r="B6" s="1" t="s">
        <v>27</v>
      </c>
      <c r="C6" s="1" t="s">
        <v>28</v>
      </c>
      <c r="D6" s="1" t="s">
        <v>29</v>
      </c>
      <c r="E6" s="1"/>
      <c r="J6" t="s">
        <v>59</v>
      </c>
      <c r="O6" t="s">
        <v>60</v>
      </c>
    </row>
    <row r="7" spans="1:18" ht="16" x14ac:dyDescent="0.4">
      <c r="B7" s="2">
        <v>1</v>
      </c>
      <c r="C7" s="1" t="s">
        <v>30</v>
      </c>
      <c r="D7" s="1">
        <v>164418543.58000001</v>
      </c>
      <c r="E7" s="1"/>
      <c r="J7" t="s">
        <v>61</v>
      </c>
      <c r="K7" t="s">
        <v>62</v>
      </c>
      <c r="L7" t="s">
        <v>63</v>
      </c>
      <c r="M7" t="s">
        <v>64</v>
      </c>
      <c r="O7" t="s">
        <v>61</v>
      </c>
      <c r="P7" t="s">
        <v>62</v>
      </c>
      <c r="Q7" t="s">
        <v>63</v>
      </c>
      <c r="R7" t="s">
        <v>65</v>
      </c>
    </row>
    <row r="8" spans="1:18" ht="16" x14ac:dyDescent="0.4">
      <c r="B8" s="2">
        <v>2</v>
      </c>
      <c r="C8" s="1" t="s">
        <v>31</v>
      </c>
      <c r="D8" s="1">
        <v>192940064</v>
      </c>
      <c r="E8" s="1"/>
      <c r="J8">
        <v>70</v>
      </c>
      <c r="K8">
        <v>4.8499999999999996</v>
      </c>
      <c r="O8">
        <v>6</v>
      </c>
      <c r="P8">
        <v>5.04</v>
      </c>
    </row>
    <row r="9" spans="1:18" ht="16" x14ac:dyDescent="0.4">
      <c r="B9" s="2">
        <v>3</v>
      </c>
      <c r="C9" s="1" t="s">
        <v>33</v>
      </c>
      <c r="D9" s="1">
        <v>0.15</v>
      </c>
      <c r="E9" s="1"/>
      <c r="J9" s="3">
        <v>75</v>
      </c>
      <c r="K9" s="3">
        <v>4.84</v>
      </c>
      <c r="O9">
        <v>7</v>
      </c>
      <c r="P9">
        <v>4.82</v>
      </c>
    </row>
    <row r="10" spans="1:18" ht="16" x14ac:dyDescent="0.4">
      <c r="B10" s="2">
        <v>4</v>
      </c>
      <c r="C10" s="1" t="s">
        <v>36</v>
      </c>
      <c r="D10" s="1">
        <v>0.8</v>
      </c>
      <c r="E10" s="1" t="s">
        <v>37</v>
      </c>
      <c r="F10" s="3">
        <f>Table1422[[#This Row],[Value]]+D11</f>
        <v>1</v>
      </c>
      <c r="J10">
        <v>80</v>
      </c>
      <c r="K10">
        <v>4.8499999999999996</v>
      </c>
      <c r="L10" s="3"/>
      <c r="M10" s="3"/>
      <c r="O10" s="3">
        <v>8</v>
      </c>
      <c r="P10" s="3">
        <v>4.8</v>
      </c>
      <c r="Q10" s="3"/>
      <c r="R10" s="3"/>
    </row>
    <row r="11" spans="1:18" ht="16" x14ac:dyDescent="0.4">
      <c r="B11" s="2">
        <v>5</v>
      </c>
      <c r="C11" s="1" t="s">
        <v>40</v>
      </c>
      <c r="D11" s="1">
        <v>0.2</v>
      </c>
      <c r="E11" s="1"/>
      <c r="J11">
        <v>90</v>
      </c>
      <c r="K11">
        <v>4.8600000000000003</v>
      </c>
      <c r="O11">
        <v>9</v>
      </c>
      <c r="P11">
        <v>4.8</v>
      </c>
    </row>
    <row r="12" spans="1:18" ht="16" x14ac:dyDescent="0.4">
      <c r="B12" s="2">
        <v>6</v>
      </c>
      <c r="C12" s="1" t="s">
        <v>41</v>
      </c>
      <c r="D12" s="1">
        <v>0.06</v>
      </c>
      <c r="E12" s="1"/>
      <c r="J12">
        <v>95</v>
      </c>
      <c r="K12">
        <v>4.8899999999999997</v>
      </c>
    </row>
    <row r="13" spans="1:18" ht="16" x14ac:dyDescent="0.4">
      <c r="B13" s="2">
        <v>7</v>
      </c>
      <c r="C13" s="1" t="s">
        <v>42</v>
      </c>
      <c r="D13" s="1">
        <v>20</v>
      </c>
      <c r="E13" s="1"/>
    </row>
    <row r="14" spans="1:18" ht="16" x14ac:dyDescent="0.4">
      <c r="B14" s="2">
        <v>8</v>
      </c>
      <c r="C14" s="1" t="s">
        <v>43</v>
      </c>
      <c r="D14" s="1">
        <v>1.4999999999999999E-2</v>
      </c>
      <c r="E14" s="1"/>
      <c r="J14" t="s">
        <v>66</v>
      </c>
      <c r="K14" t="s">
        <v>62</v>
      </c>
      <c r="L14" t="s">
        <v>65</v>
      </c>
    </row>
    <row r="15" spans="1:18" ht="16" x14ac:dyDescent="0.4">
      <c r="B15" s="2">
        <v>9</v>
      </c>
      <c r="C15" s="1" t="s">
        <v>44</v>
      </c>
      <c r="D15" s="1"/>
      <c r="J15">
        <v>15</v>
      </c>
      <c r="K15">
        <v>4.7699999999999996</v>
      </c>
    </row>
    <row r="16" spans="1:18" ht="16" x14ac:dyDescent="0.4">
      <c r="B16" s="2">
        <v>10</v>
      </c>
      <c r="C16" s="1" t="s">
        <v>45</v>
      </c>
      <c r="D16" s="1"/>
      <c r="J16">
        <v>20</v>
      </c>
      <c r="K16">
        <v>4.7300000000000004</v>
      </c>
    </row>
    <row r="17" spans="2:12" x14ac:dyDescent="0.35">
      <c r="B17" t="s">
        <v>27</v>
      </c>
      <c r="C17" t="s">
        <v>46</v>
      </c>
      <c r="D17" t="s">
        <v>29</v>
      </c>
      <c r="J17" s="3">
        <v>25</v>
      </c>
      <c r="K17" s="3">
        <v>4.72</v>
      </c>
    </row>
    <row r="18" spans="2:12" x14ac:dyDescent="0.35">
      <c r="B18">
        <v>1</v>
      </c>
      <c r="C18" t="s">
        <v>47</v>
      </c>
      <c r="D18">
        <f>(D10*D12)+(D11*D9)</f>
        <v>7.8E-2</v>
      </c>
      <c r="J18">
        <v>30</v>
      </c>
      <c r="K18">
        <v>4.74</v>
      </c>
    </row>
    <row r="19" spans="2:12" x14ac:dyDescent="0.35">
      <c r="B19">
        <v>2</v>
      </c>
      <c r="C19" t="s">
        <v>48</v>
      </c>
      <c r="D19">
        <f>(D18*(1+D18)^D13)/((1+D18)^D13-1)</f>
        <v>0.10034103966089436</v>
      </c>
      <c r="J19">
        <v>35</v>
      </c>
      <c r="K19">
        <v>4.75</v>
      </c>
      <c r="L19" s="3"/>
    </row>
    <row r="20" spans="2:12" x14ac:dyDescent="0.35">
      <c r="B20">
        <v>3</v>
      </c>
      <c r="C20" t="s">
        <v>49</v>
      </c>
      <c r="D20">
        <f>D19*D7</f>
        <v>16497927.60234727</v>
      </c>
      <c r="J20">
        <v>40</v>
      </c>
      <c r="K20">
        <v>4.88</v>
      </c>
    </row>
    <row r="21" spans="2:12" x14ac:dyDescent="0.35">
      <c r="B21">
        <v>4</v>
      </c>
      <c r="C21" t="s">
        <v>67</v>
      </c>
      <c r="D21">
        <f>D7*(D19+D14)/D8</f>
        <v>9.829065753832894E-2</v>
      </c>
      <c r="E21" t="s">
        <v>51</v>
      </c>
      <c r="F21" s="3">
        <f>Table2523[[#This Row],[Value]]*100</f>
        <v>9.8290657538328947</v>
      </c>
    </row>
    <row r="22" spans="2:12" x14ac:dyDescent="0.35">
      <c r="C22" t="s">
        <v>52</v>
      </c>
      <c r="D22" t="e">
        <f>D15*(D19+D14)/D16</f>
        <v>#DIV/0!</v>
      </c>
    </row>
  </sheetData>
  <mergeCells count="1">
    <mergeCell ref="A4:K4"/>
  </mergeCells>
  <conditionalFormatting sqref="F10">
    <cfRule type="cellIs" dxfId="2" priority="1" operator="equal">
      <formula>1</formula>
    </cfRule>
    <cfRule type="cellIs" dxfId="1" priority="2" operator="greaterThan">
      <formula>1</formula>
    </cfRule>
    <cfRule type="cellIs" dxfId="0" priority="3" operator="lessThan">
      <formula>1</formula>
    </cfRule>
  </conditionalFormatting>
  <pageMargins left="0.7" right="0.7" top="0.75" bottom="0.75" header="0.3" footer="0.3"/>
  <drawing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7883-0E74-4CE0-9C0D-C3C561909FF9}">
  <dimension ref="C3:Y14"/>
  <sheetViews>
    <sheetView zoomScale="70" zoomScaleNormal="70" workbookViewId="0">
      <selection activeCell="D6" sqref="D6"/>
    </sheetView>
  </sheetViews>
  <sheetFormatPr defaultRowHeight="14.5" x14ac:dyDescent="0.35"/>
  <cols>
    <col min="3" max="3" width="37.1796875" customWidth="1"/>
    <col min="4" max="4" width="21.1796875" bestFit="1" customWidth="1"/>
    <col min="5" max="25" width="20.54296875" customWidth="1"/>
  </cols>
  <sheetData>
    <row r="3" spans="3:25" x14ac:dyDescent="0.35">
      <c r="D3" t="s">
        <v>123</v>
      </c>
    </row>
    <row r="4" spans="3:25" x14ac:dyDescent="0.35">
      <c r="C4" t="s">
        <v>124</v>
      </c>
      <c r="D4" s="47">
        <v>13600000</v>
      </c>
      <c r="G4">
        <f>80/100*174917839</f>
        <v>139934271.20000002</v>
      </c>
    </row>
    <row r="5" spans="3:25" x14ac:dyDescent="0.35">
      <c r="C5" t="s">
        <v>125</v>
      </c>
      <c r="D5" s="45">
        <v>20</v>
      </c>
    </row>
    <row r="6" spans="3:25" x14ac:dyDescent="0.35">
      <c r="C6" t="s">
        <v>126</v>
      </c>
      <c r="D6" s="47">
        <f>651000</f>
        <v>651000</v>
      </c>
    </row>
    <row r="7" spans="3:25" x14ac:dyDescent="0.35">
      <c r="C7" t="s">
        <v>127</v>
      </c>
      <c r="D7" s="46">
        <v>0.06</v>
      </c>
    </row>
    <row r="10" spans="3:25" ht="20.149999999999999" customHeight="1" x14ac:dyDescent="0.35">
      <c r="D10" t="s">
        <v>128</v>
      </c>
      <c r="E10" s="42" t="s">
        <v>85</v>
      </c>
      <c r="F10" s="42" t="s">
        <v>87</v>
      </c>
      <c r="G10" s="42" t="s">
        <v>89</v>
      </c>
      <c r="H10" s="42" t="s">
        <v>91</v>
      </c>
      <c r="I10" s="42" t="s">
        <v>92</v>
      </c>
      <c r="J10" s="42" t="s">
        <v>93</v>
      </c>
      <c r="K10" s="42" t="s">
        <v>95</v>
      </c>
      <c r="L10" s="42" t="s">
        <v>97</v>
      </c>
      <c r="M10" s="42" t="s">
        <v>99</v>
      </c>
      <c r="N10" s="42" t="s">
        <v>101</v>
      </c>
      <c r="O10" s="42" t="s">
        <v>103</v>
      </c>
      <c r="P10" s="42" t="s">
        <v>105</v>
      </c>
      <c r="Q10" s="42" t="s">
        <v>106</v>
      </c>
      <c r="R10" s="42" t="s">
        <v>107</v>
      </c>
      <c r="S10" s="42" t="s">
        <v>108</v>
      </c>
      <c r="T10" s="42" t="s">
        <v>109</v>
      </c>
      <c r="U10" s="42" t="s">
        <v>110</v>
      </c>
      <c r="V10" s="42" t="s">
        <v>111</v>
      </c>
      <c r="W10" s="42" t="s">
        <v>112</v>
      </c>
      <c r="X10" s="42" t="s">
        <v>113</v>
      </c>
      <c r="Y10" s="42" t="s">
        <v>129</v>
      </c>
    </row>
    <row r="11" spans="3:25" ht="20.149999999999999" customHeight="1" x14ac:dyDescent="0.35">
      <c r="D11" t="s">
        <v>130</v>
      </c>
      <c r="E11" s="43">
        <f t="shared" ref="E11:X11" si="0">$Y$11/20</f>
        <v>680000</v>
      </c>
      <c r="F11" s="43">
        <f t="shared" si="0"/>
        <v>680000</v>
      </c>
      <c r="G11" s="43">
        <f t="shared" si="0"/>
        <v>680000</v>
      </c>
      <c r="H11" s="43">
        <f t="shared" si="0"/>
        <v>680000</v>
      </c>
      <c r="I11" s="43">
        <f t="shared" si="0"/>
        <v>680000</v>
      </c>
      <c r="J11" s="43">
        <f t="shared" si="0"/>
        <v>680000</v>
      </c>
      <c r="K11" s="43">
        <f t="shared" si="0"/>
        <v>680000</v>
      </c>
      <c r="L11" s="43">
        <f t="shared" si="0"/>
        <v>680000</v>
      </c>
      <c r="M11" s="43">
        <f t="shared" si="0"/>
        <v>680000</v>
      </c>
      <c r="N11" s="43">
        <f t="shared" si="0"/>
        <v>680000</v>
      </c>
      <c r="O11" s="43">
        <f t="shared" si="0"/>
        <v>680000</v>
      </c>
      <c r="P11" s="43">
        <f t="shared" si="0"/>
        <v>680000</v>
      </c>
      <c r="Q11" s="43">
        <f t="shared" si="0"/>
        <v>680000</v>
      </c>
      <c r="R11" s="43">
        <f t="shared" si="0"/>
        <v>680000</v>
      </c>
      <c r="S11" s="43">
        <f t="shared" si="0"/>
        <v>680000</v>
      </c>
      <c r="T11" s="43">
        <f t="shared" si="0"/>
        <v>680000</v>
      </c>
      <c r="U11" s="43">
        <f t="shared" si="0"/>
        <v>680000</v>
      </c>
      <c r="V11" s="43">
        <f t="shared" si="0"/>
        <v>680000</v>
      </c>
      <c r="W11" s="43">
        <f t="shared" si="0"/>
        <v>680000</v>
      </c>
      <c r="X11" s="43">
        <f t="shared" si="0"/>
        <v>680000</v>
      </c>
      <c r="Y11" s="43">
        <f>D4</f>
        <v>13600000</v>
      </c>
    </row>
    <row r="12" spans="3:25" ht="20.149999999999999" customHeight="1" x14ac:dyDescent="0.35">
      <c r="D12" t="s">
        <v>131</v>
      </c>
      <c r="E12" s="43">
        <f>D7*D4</f>
        <v>816000</v>
      </c>
      <c r="F12" s="43">
        <f>D7*(D4-E11)</f>
        <v>775200</v>
      </c>
      <c r="G12" s="43">
        <f>$D$7*($D$4-SUM($E$11:F11))</f>
        <v>734400</v>
      </c>
      <c r="H12" s="43">
        <f>$D$7*($D$4-SUM($E$11:G11))</f>
        <v>693600</v>
      </c>
      <c r="I12" s="43">
        <f>$D$7*($D$4-SUM($E$11:H11))</f>
        <v>652800</v>
      </c>
      <c r="J12" s="43">
        <f>$D$7*($D$4-SUM($E$11:I11))</f>
        <v>612000</v>
      </c>
      <c r="K12" s="43">
        <f>$D$7*($D$4-SUM($E$11:J11))</f>
        <v>571200</v>
      </c>
      <c r="L12" s="43">
        <f>$D$7*($D$4-SUM($E$11:K11))</f>
        <v>530400</v>
      </c>
      <c r="M12" s="43">
        <f>$D$7*($D$4-SUM($E$11:L11))</f>
        <v>489600</v>
      </c>
      <c r="N12" s="43">
        <f>$D$7*($D$4-SUM($E$11:M11))</f>
        <v>448800</v>
      </c>
      <c r="O12" s="43">
        <f>$D$7*($D$4-SUM($E$11:N11))</f>
        <v>408000</v>
      </c>
      <c r="P12" s="43">
        <f>$D$7*($D$4-SUM($E$11:O11))</f>
        <v>367200</v>
      </c>
      <c r="Q12" s="43">
        <f>$D$7*($D$4-SUM($E$11:P11))</f>
        <v>326400</v>
      </c>
      <c r="R12" s="43">
        <f>$D$7*($D$4-SUM($E$11:Q11))</f>
        <v>285600</v>
      </c>
      <c r="S12" s="43">
        <f>$D$7*($D$4-SUM($E$11:R11))</f>
        <v>244800</v>
      </c>
      <c r="T12" s="43">
        <f>$D$7*($D$4-SUM($E$11:S11))</f>
        <v>204000</v>
      </c>
      <c r="U12" s="43">
        <f>$D$7*($D$4-SUM($E$11:T11))</f>
        <v>163200</v>
      </c>
      <c r="V12" s="43">
        <f>$D$7*($D$4-SUM($E$11:U11))</f>
        <v>122400</v>
      </c>
      <c r="W12" s="43">
        <f>$D$7*($D$4-SUM($E$11:V11))</f>
        <v>81600</v>
      </c>
      <c r="X12" s="43">
        <f>$D$7*($D$4-SUM($E$11:W11))</f>
        <v>40800</v>
      </c>
      <c r="Y12" s="43">
        <f>SUM(E12:X12)</f>
        <v>8568000</v>
      </c>
    </row>
    <row r="13" spans="3:25" ht="20.149999999999999" customHeight="1" x14ac:dyDescent="0.35">
      <c r="D13" t="s">
        <v>132</v>
      </c>
      <c r="E13" s="43">
        <f t="shared" ref="E13:X13" si="1">SUM($Y$11:$Y$12)/$D$5</f>
        <v>1108400</v>
      </c>
      <c r="F13" s="43">
        <f t="shared" si="1"/>
        <v>1108400</v>
      </c>
      <c r="G13" s="43">
        <f t="shared" si="1"/>
        <v>1108400</v>
      </c>
      <c r="H13" s="43">
        <f t="shared" si="1"/>
        <v>1108400</v>
      </c>
      <c r="I13" s="43">
        <f t="shared" si="1"/>
        <v>1108400</v>
      </c>
      <c r="J13" s="43">
        <f t="shared" si="1"/>
        <v>1108400</v>
      </c>
      <c r="K13" s="43">
        <f t="shared" si="1"/>
        <v>1108400</v>
      </c>
      <c r="L13" s="43">
        <f t="shared" si="1"/>
        <v>1108400</v>
      </c>
      <c r="M13" s="43">
        <f t="shared" si="1"/>
        <v>1108400</v>
      </c>
      <c r="N13" s="43">
        <f t="shared" si="1"/>
        <v>1108400</v>
      </c>
      <c r="O13" s="43">
        <f t="shared" si="1"/>
        <v>1108400</v>
      </c>
      <c r="P13" s="43">
        <f t="shared" si="1"/>
        <v>1108400</v>
      </c>
      <c r="Q13" s="43">
        <f t="shared" si="1"/>
        <v>1108400</v>
      </c>
      <c r="R13" s="43">
        <f t="shared" si="1"/>
        <v>1108400</v>
      </c>
      <c r="S13" s="43">
        <f t="shared" si="1"/>
        <v>1108400</v>
      </c>
      <c r="T13" s="43">
        <f t="shared" si="1"/>
        <v>1108400</v>
      </c>
      <c r="U13" s="43">
        <f t="shared" si="1"/>
        <v>1108400</v>
      </c>
      <c r="V13" s="43">
        <f t="shared" si="1"/>
        <v>1108400</v>
      </c>
      <c r="W13" s="43">
        <f t="shared" si="1"/>
        <v>1108400</v>
      </c>
      <c r="X13" s="43">
        <f t="shared" si="1"/>
        <v>1108400</v>
      </c>
      <c r="Y13" s="43">
        <f>SUM(E13:X13)</f>
        <v>22168000</v>
      </c>
    </row>
    <row r="14" spans="3:25" ht="20.149999999999999" customHeight="1" x14ac:dyDescent="0.35">
      <c r="D14" s="3" t="s">
        <v>133</v>
      </c>
      <c r="E14" s="44">
        <f t="shared" ref="E14:X14" si="2">E13-$D$6</f>
        <v>457400</v>
      </c>
      <c r="F14" s="44">
        <f t="shared" si="2"/>
        <v>457400</v>
      </c>
      <c r="G14" s="44">
        <f t="shared" si="2"/>
        <v>457400</v>
      </c>
      <c r="H14" s="44">
        <f t="shared" si="2"/>
        <v>457400</v>
      </c>
      <c r="I14" s="44">
        <f t="shared" si="2"/>
        <v>457400</v>
      </c>
      <c r="J14" s="44">
        <f t="shared" si="2"/>
        <v>457400</v>
      </c>
      <c r="K14" s="44">
        <f t="shared" si="2"/>
        <v>457400</v>
      </c>
      <c r="L14" s="44">
        <f t="shared" si="2"/>
        <v>457400</v>
      </c>
      <c r="M14" s="44">
        <f t="shared" si="2"/>
        <v>457400</v>
      </c>
      <c r="N14" s="44">
        <f t="shared" si="2"/>
        <v>457400</v>
      </c>
      <c r="O14" s="44">
        <f t="shared" si="2"/>
        <v>457400</v>
      </c>
      <c r="P14" s="44">
        <f t="shared" si="2"/>
        <v>457400</v>
      </c>
      <c r="Q14" s="44">
        <f t="shared" si="2"/>
        <v>457400</v>
      </c>
      <c r="R14" s="44">
        <f t="shared" si="2"/>
        <v>457400</v>
      </c>
      <c r="S14" s="44">
        <f t="shared" si="2"/>
        <v>457400</v>
      </c>
      <c r="T14" s="44">
        <f t="shared" si="2"/>
        <v>457400</v>
      </c>
      <c r="U14" s="44">
        <f t="shared" si="2"/>
        <v>457400</v>
      </c>
      <c r="V14" s="44">
        <f t="shared" si="2"/>
        <v>457400</v>
      </c>
      <c r="W14" s="44">
        <f t="shared" si="2"/>
        <v>457400</v>
      </c>
      <c r="X14" s="44">
        <f t="shared" si="2"/>
        <v>457400</v>
      </c>
      <c r="Y14" s="44">
        <f>SUM(E14:X14)</f>
        <v>9148000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673F-B799-4D5C-A34C-065C273C6E96}">
  <dimension ref="C3:Y14"/>
  <sheetViews>
    <sheetView zoomScale="70" zoomScaleNormal="70" workbookViewId="0">
      <selection activeCell="D7" sqref="D7"/>
    </sheetView>
  </sheetViews>
  <sheetFormatPr defaultRowHeight="14.5" x14ac:dyDescent="0.35"/>
  <cols>
    <col min="3" max="3" width="37.1796875" customWidth="1"/>
    <col min="4" max="4" width="21.1796875" bestFit="1" customWidth="1"/>
    <col min="5" max="25" width="20.54296875" customWidth="1"/>
  </cols>
  <sheetData>
    <row r="3" spans="3:25" x14ac:dyDescent="0.35">
      <c r="D3" t="s">
        <v>123</v>
      </c>
    </row>
    <row r="4" spans="3:25" x14ac:dyDescent="0.35">
      <c r="C4" t="s">
        <v>124</v>
      </c>
      <c r="D4" s="47">
        <v>131534834.88</v>
      </c>
      <c r="G4">
        <f>80/100*164418543.6</f>
        <v>131534834.88</v>
      </c>
    </row>
    <row r="5" spans="3:25" x14ac:dyDescent="0.35">
      <c r="C5" t="s">
        <v>125</v>
      </c>
      <c r="D5" s="45">
        <v>20</v>
      </c>
    </row>
    <row r="6" spans="3:25" x14ac:dyDescent="0.35">
      <c r="C6" t="s">
        <v>126</v>
      </c>
      <c r="D6" s="47">
        <f>192940064*(6 - 10)/100</f>
        <v>-7717602.5599999996</v>
      </c>
    </row>
    <row r="7" spans="3:25" x14ac:dyDescent="0.35">
      <c r="C7" t="s">
        <v>127</v>
      </c>
      <c r="D7" s="46">
        <v>0.06</v>
      </c>
    </row>
    <row r="10" spans="3:25" ht="20.149999999999999" customHeight="1" x14ac:dyDescent="0.35">
      <c r="D10" t="s">
        <v>128</v>
      </c>
      <c r="E10" s="42" t="s">
        <v>85</v>
      </c>
      <c r="F10" s="42" t="s">
        <v>87</v>
      </c>
      <c r="G10" s="42" t="s">
        <v>89</v>
      </c>
      <c r="H10" s="42" t="s">
        <v>91</v>
      </c>
      <c r="I10" s="42" t="s">
        <v>92</v>
      </c>
      <c r="J10" s="42" t="s">
        <v>93</v>
      </c>
      <c r="K10" s="42" t="s">
        <v>95</v>
      </c>
      <c r="L10" s="42" t="s">
        <v>97</v>
      </c>
      <c r="M10" s="42" t="s">
        <v>99</v>
      </c>
      <c r="N10" s="42" t="s">
        <v>101</v>
      </c>
      <c r="O10" s="42" t="s">
        <v>103</v>
      </c>
      <c r="P10" s="42" t="s">
        <v>105</v>
      </c>
      <c r="Q10" s="42" t="s">
        <v>106</v>
      </c>
      <c r="R10" s="42" t="s">
        <v>107</v>
      </c>
      <c r="S10" s="42" t="s">
        <v>108</v>
      </c>
      <c r="T10" s="42" t="s">
        <v>109</v>
      </c>
      <c r="U10" s="42" t="s">
        <v>110</v>
      </c>
      <c r="V10" s="42" t="s">
        <v>111</v>
      </c>
      <c r="W10" s="42" t="s">
        <v>112</v>
      </c>
      <c r="X10" s="42" t="s">
        <v>113</v>
      </c>
      <c r="Y10" s="42" t="s">
        <v>129</v>
      </c>
    </row>
    <row r="11" spans="3:25" ht="20.149999999999999" customHeight="1" x14ac:dyDescent="0.35">
      <c r="D11" t="s">
        <v>130</v>
      </c>
      <c r="E11" s="43">
        <f>$Y$11/20</f>
        <v>6576741.7439999999</v>
      </c>
      <c r="F11" s="43">
        <f t="shared" ref="F11:X11" si="0">$Y$11/20</f>
        <v>6576741.7439999999</v>
      </c>
      <c r="G11" s="43">
        <f t="shared" si="0"/>
        <v>6576741.7439999999</v>
      </c>
      <c r="H11" s="43">
        <f t="shared" si="0"/>
        <v>6576741.7439999999</v>
      </c>
      <c r="I11" s="43">
        <f t="shared" si="0"/>
        <v>6576741.7439999999</v>
      </c>
      <c r="J11" s="43">
        <f t="shared" si="0"/>
        <v>6576741.7439999999</v>
      </c>
      <c r="K11" s="43">
        <f t="shared" si="0"/>
        <v>6576741.7439999999</v>
      </c>
      <c r="L11" s="43">
        <f t="shared" si="0"/>
        <v>6576741.7439999999</v>
      </c>
      <c r="M11" s="43">
        <f t="shared" si="0"/>
        <v>6576741.7439999999</v>
      </c>
      <c r="N11" s="43">
        <f t="shared" si="0"/>
        <v>6576741.7439999999</v>
      </c>
      <c r="O11" s="43">
        <f t="shared" si="0"/>
        <v>6576741.7439999999</v>
      </c>
      <c r="P11" s="43">
        <f t="shared" si="0"/>
        <v>6576741.7439999999</v>
      </c>
      <c r="Q11" s="43">
        <f t="shared" si="0"/>
        <v>6576741.7439999999</v>
      </c>
      <c r="R11" s="43">
        <f t="shared" si="0"/>
        <v>6576741.7439999999</v>
      </c>
      <c r="S11" s="43">
        <f t="shared" si="0"/>
        <v>6576741.7439999999</v>
      </c>
      <c r="T11" s="43">
        <f t="shared" si="0"/>
        <v>6576741.7439999999</v>
      </c>
      <c r="U11" s="43">
        <f t="shared" si="0"/>
        <v>6576741.7439999999</v>
      </c>
      <c r="V11" s="43">
        <f t="shared" si="0"/>
        <v>6576741.7439999999</v>
      </c>
      <c r="W11" s="43">
        <f t="shared" si="0"/>
        <v>6576741.7439999999</v>
      </c>
      <c r="X11" s="43">
        <f t="shared" si="0"/>
        <v>6576741.7439999999</v>
      </c>
      <c r="Y11" s="43">
        <f>D4</f>
        <v>131534834.88</v>
      </c>
    </row>
    <row r="12" spans="3:25" ht="20.149999999999999" customHeight="1" x14ac:dyDescent="0.35">
      <c r="D12" t="s">
        <v>131</v>
      </c>
      <c r="E12" s="43">
        <f>D7*D4</f>
        <v>7892090.0927999998</v>
      </c>
      <c r="F12" s="43">
        <f>D7*(D4-E11)</f>
        <v>7497485.5881599989</v>
      </c>
      <c r="G12" s="43">
        <f>$D$7*($D$4-SUM($E$11:F11))</f>
        <v>7102881.0835199989</v>
      </c>
      <c r="H12" s="43">
        <f>$D$7*($D$4-SUM($E$11:G11))</f>
        <v>6708276.5788799999</v>
      </c>
      <c r="I12" s="43">
        <f>$D$7*($D$4-SUM($E$11:H11))</f>
        <v>6313672.07424</v>
      </c>
      <c r="J12" s="43">
        <f>$D$7*($D$4-SUM($E$11:I11))</f>
        <v>5919067.5695999991</v>
      </c>
      <c r="K12" s="43">
        <f>$D$7*($D$4-SUM($E$11:J11))</f>
        <v>5524463.0649599992</v>
      </c>
      <c r="L12" s="43">
        <f>$D$7*($D$4-SUM($E$11:K11))</f>
        <v>5129858.5603199992</v>
      </c>
      <c r="M12" s="43">
        <f>$D$7*($D$4-SUM($E$11:L11))</f>
        <v>4735254.0556799993</v>
      </c>
      <c r="N12" s="43">
        <f>$D$7*($D$4-SUM($E$11:M11))</f>
        <v>4340649.5510399994</v>
      </c>
      <c r="O12" s="43">
        <f>$D$7*($D$4-SUM($E$11:N11))</f>
        <v>3946045.0463999989</v>
      </c>
      <c r="P12" s="43">
        <f>$D$7*($D$4-SUM($E$11:O11))</f>
        <v>3551440.5417599985</v>
      </c>
      <c r="Q12" s="43">
        <f>$D$7*($D$4-SUM($E$11:P11))</f>
        <v>3156836.0371199986</v>
      </c>
      <c r="R12" s="43">
        <f>$D$7*($D$4-SUM($E$11:Q11))</f>
        <v>2762231.5324799982</v>
      </c>
      <c r="S12" s="43">
        <f>$D$7*($D$4-SUM($E$11:R11))</f>
        <v>2367627.0278399982</v>
      </c>
      <c r="T12" s="43">
        <f>$D$7*($D$4-SUM($E$11:S11))</f>
        <v>1973022.5231999981</v>
      </c>
      <c r="U12" s="43">
        <f>$D$7*($D$4-SUM($E$11:T11))</f>
        <v>1578418.0185599979</v>
      </c>
      <c r="V12" s="43">
        <f>$D$7*($D$4-SUM($E$11:U11))</f>
        <v>1183813.5139199977</v>
      </c>
      <c r="W12" s="43">
        <f>$D$7*($D$4-SUM($E$11:V11))</f>
        <v>789209.00927999767</v>
      </c>
      <c r="X12" s="43">
        <f>$D$7*($D$4-SUM($E$11:W11))</f>
        <v>394604.5046399975</v>
      </c>
      <c r="Y12" s="43">
        <f>SUM(E12:X12)</f>
        <v>82866945.974399984</v>
      </c>
    </row>
    <row r="13" spans="3:25" ht="20.149999999999999" customHeight="1" x14ac:dyDescent="0.35">
      <c r="D13" t="s">
        <v>132</v>
      </c>
      <c r="E13" s="43">
        <f>SUM($Y$11:$Y$12)/$D$5</f>
        <v>10720089.042719999</v>
      </c>
      <c r="F13" s="43">
        <f t="shared" ref="F13:X13" si="1">SUM($Y$11:$Y$12)/$D$5</f>
        <v>10720089.042719999</v>
      </c>
      <c r="G13" s="43">
        <f t="shared" si="1"/>
        <v>10720089.042719999</v>
      </c>
      <c r="H13" s="43">
        <f t="shared" si="1"/>
        <v>10720089.042719999</v>
      </c>
      <c r="I13" s="43">
        <f t="shared" si="1"/>
        <v>10720089.042719999</v>
      </c>
      <c r="J13" s="43">
        <f t="shared" si="1"/>
        <v>10720089.042719999</v>
      </c>
      <c r="K13" s="43">
        <f t="shared" si="1"/>
        <v>10720089.042719999</v>
      </c>
      <c r="L13" s="43">
        <f t="shared" si="1"/>
        <v>10720089.042719999</v>
      </c>
      <c r="M13" s="43">
        <f t="shared" si="1"/>
        <v>10720089.042719999</v>
      </c>
      <c r="N13" s="43">
        <f t="shared" si="1"/>
        <v>10720089.042719999</v>
      </c>
      <c r="O13" s="43">
        <f t="shared" si="1"/>
        <v>10720089.042719999</v>
      </c>
      <c r="P13" s="43">
        <f t="shared" si="1"/>
        <v>10720089.042719999</v>
      </c>
      <c r="Q13" s="43">
        <f t="shared" si="1"/>
        <v>10720089.042719999</v>
      </c>
      <c r="R13" s="43">
        <f t="shared" si="1"/>
        <v>10720089.042719999</v>
      </c>
      <c r="S13" s="43">
        <f t="shared" si="1"/>
        <v>10720089.042719999</v>
      </c>
      <c r="T13" s="43">
        <f t="shared" si="1"/>
        <v>10720089.042719999</v>
      </c>
      <c r="U13" s="43">
        <f t="shared" si="1"/>
        <v>10720089.042719999</v>
      </c>
      <c r="V13" s="43">
        <f t="shared" si="1"/>
        <v>10720089.042719999</v>
      </c>
      <c r="W13" s="43">
        <f t="shared" si="1"/>
        <v>10720089.042719999</v>
      </c>
      <c r="X13" s="43">
        <f t="shared" si="1"/>
        <v>10720089.042719999</v>
      </c>
      <c r="Y13" s="43">
        <f>SUM(E13:X13)</f>
        <v>214401780.85439995</v>
      </c>
    </row>
    <row r="14" spans="3:25" ht="20.149999999999999" customHeight="1" x14ac:dyDescent="0.35">
      <c r="D14" s="3" t="s">
        <v>133</v>
      </c>
      <c r="E14" s="44">
        <f>E13-$D$6</f>
        <v>18437691.60272</v>
      </c>
      <c r="F14" s="44">
        <f t="shared" ref="F14:X14" si="2">F13-$D$6</f>
        <v>18437691.60272</v>
      </c>
      <c r="G14" s="44">
        <f t="shared" si="2"/>
        <v>18437691.60272</v>
      </c>
      <c r="H14" s="44">
        <f t="shared" si="2"/>
        <v>18437691.60272</v>
      </c>
      <c r="I14" s="44">
        <f t="shared" si="2"/>
        <v>18437691.60272</v>
      </c>
      <c r="J14" s="44">
        <f t="shared" si="2"/>
        <v>18437691.60272</v>
      </c>
      <c r="K14" s="44">
        <f t="shared" si="2"/>
        <v>18437691.60272</v>
      </c>
      <c r="L14" s="44">
        <f t="shared" si="2"/>
        <v>18437691.60272</v>
      </c>
      <c r="M14" s="44">
        <f t="shared" si="2"/>
        <v>18437691.60272</v>
      </c>
      <c r="N14" s="44">
        <f t="shared" si="2"/>
        <v>18437691.60272</v>
      </c>
      <c r="O14" s="44">
        <f t="shared" si="2"/>
        <v>18437691.60272</v>
      </c>
      <c r="P14" s="44">
        <f t="shared" si="2"/>
        <v>18437691.60272</v>
      </c>
      <c r="Q14" s="44">
        <f t="shared" si="2"/>
        <v>18437691.60272</v>
      </c>
      <c r="R14" s="44">
        <f t="shared" si="2"/>
        <v>18437691.60272</v>
      </c>
      <c r="S14" s="44">
        <f t="shared" si="2"/>
        <v>18437691.60272</v>
      </c>
      <c r="T14" s="44">
        <f t="shared" si="2"/>
        <v>18437691.60272</v>
      </c>
      <c r="U14" s="44">
        <f t="shared" si="2"/>
        <v>18437691.60272</v>
      </c>
      <c r="V14" s="44">
        <f t="shared" si="2"/>
        <v>18437691.60272</v>
      </c>
      <c r="W14" s="44">
        <f t="shared" si="2"/>
        <v>18437691.60272</v>
      </c>
      <c r="X14" s="44">
        <f t="shared" si="2"/>
        <v>18437691.60272</v>
      </c>
      <c r="Y14" s="44">
        <f>SUM(E14:X14)</f>
        <v>368753832.05440003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7AC4-D4FC-4222-A825-21462EA6A972}">
  <dimension ref="A4:AA56"/>
  <sheetViews>
    <sheetView zoomScale="85" zoomScaleNormal="85" workbookViewId="0">
      <selection activeCell="V6" sqref="V6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  <col min="17" max="17" width="9.26953125" bestFit="1" customWidth="1"/>
    <col min="18" max="18" width="11.453125" customWidth="1"/>
    <col min="19" max="19" width="11.7265625" customWidth="1"/>
    <col min="21" max="21" width="9.26953125" bestFit="1" customWidth="1"/>
  </cols>
  <sheetData>
    <row r="4" spans="1:24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24" ht="16" x14ac:dyDescent="0.4">
      <c r="B6" s="1" t="s">
        <v>27</v>
      </c>
      <c r="C6" s="1" t="s">
        <v>28</v>
      </c>
      <c r="D6" s="1" t="s">
        <v>29</v>
      </c>
      <c r="E6" s="1"/>
    </row>
    <row r="7" spans="1:24" ht="16" x14ac:dyDescent="0.4">
      <c r="B7" s="2">
        <v>1</v>
      </c>
      <c r="C7" s="1" t="s">
        <v>30</v>
      </c>
      <c r="D7" s="1">
        <f>1217*10^6</f>
        <v>1217000000</v>
      </c>
      <c r="E7" s="1">
        <v>17000000</v>
      </c>
    </row>
    <row r="8" spans="1:24" ht="16" x14ac:dyDescent="0.4">
      <c r="B8" s="2">
        <v>2</v>
      </c>
      <c r="C8" s="1" t="s">
        <v>31</v>
      </c>
      <c r="D8" s="1">
        <f>808*10^6</f>
        <v>808000000</v>
      </c>
      <c r="E8" s="1" t="s">
        <v>32</v>
      </c>
    </row>
    <row r="9" spans="1:24" ht="16" x14ac:dyDescent="0.4">
      <c r="B9" s="2">
        <v>3</v>
      </c>
      <c r="C9" s="1" t="s">
        <v>33</v>
      </c>
      <c r="D9" s="1">
        <v>0.15</v>
      </c>
      <c r="E9" s="1"/>
      <c r="U9" s="25" t="s">
        <v>34</v>
      </c>
      <c r="V9" s="25"/>
      <c r="W9" s="25" t="s">
        <v>35</v>
      </c>
      <c r="X9" s="25"/>
    </row>
    <row r="10" spans="1:24" ht="16" x14ac:dyDescent="0.4">
      <c r="B10" s="2">
        <v>4</v>
      </c>
      <c r="C10" s="1" t="s">
        <v>36</v>
      </c>
      <c r="D10" s="1">
        <v>0.06</v>
      </c>
      <c r="E10" s="1" t="s">
        <v>37</v>
      </c>
      <c r="F10" s="3">
        <f>Table130[[#This Row],[Value]]+D11</f>
        <v>0.26</v>
      </c>
      <c r="U10" s="26">
        <v>10</v>
      </c>
      <c r="V10" s="27" t="s">
        <v>38</v>
      </c>
      <c r="W10" s="49">
        <v>3.0499999999999999E-2</v>
      </c>
      <c r="X10" s="49" t="s">
        <v>39</v>
      </c>
    </row>
    <row r="11" spans="1:24" ht="16" x14ac:dyDescent="0.4">
      <c r="B11" s="2">
        <v>5</v>
      </c>
      <c r="C11" s="1" t="s">
        <v>40</v>
      </c>
      <c r="D11" s="1">
        <v>0.2</v>
      </c>
      <c r="E11" s="1"/>
      <c r="U11" s="26">
        <v>50</v>
      </c>
      <c r="V11" s="27" t="s">
        <v>38</v>
      </c>
      <c r="W11" s="49">
        <v>3.4200000000000001E-2</v>
      </c>
      <c r="X11" s="49" t="s">
        <v>39</v>
      </c>
    </row>
    <row r="12" spans="1:24" ht="16" x14ac:dyDescent="0.4">
      <c r="B12" s="2">
        <v>6</v>
      </c>
      <c r="C12" s="1" t="s">
        <v>41</v>
      </c>
      <c r="D12" s="1">
        <v>6.5000000000000002E-2</v>
      </c>
      <c r="E12" s="1"/>
      <c r="U12" s="26">
        <v>100</v>
      </c>
      <c r="V12" s="27" t="s">
        <v>38</v>
      </c>
      <c r="W12" s="49">
        <v>3.3500000000000002E-2</v>
      </c>
      <c r="X12" s="49" t="s">
        <v>39</v>
      </c>
    </row>
    <row r="13" spans="1:24" ht="16" x14ac:dyDescent="0.4">
      <c r="B13" s="2">
        <v>7</v>
      </c>
      <c r="C13" s="1" t="s">
        <v>42</v>
      </c>
      <c r="D13" s="1">
        <v>20</v>
      </c>
      <c r="E13" s="1"/>
      <c r="I13" t="s">
        <v>34</v>
      </c>
      <c r="J13" t="s">
        <v>35</v>
      </c>
      <c r="U13" s="26">
        <v>200</v>
      </c>
      <c r="V13" s="27" t="s">
        <v>38</v>
      </c>
      <c r="W13" s="49">
        <v>3.3099999999999997E-2</v>
      </c>
      <c r="X13" s="49" t="s">
        <v>39</v>
      </c>
    </row>
    <row r="14" spans="1:24" ht="16" x14ac:dyDescent="0.4">
      <c r="B14" s="2">
        <v>8</v>
      </c>
      <c r="C14" s="1" t="s">
        <v>43</v>
      </c>
      <c r="D14" s="1">
        <v>2.5000000000000001E-2</v>
      </c>
      <c r="E14" s="1"/>
      <c r="I14" s="4">
        <v>10</v>
      </c>
      <c r="J14" s="5">
        <v>9.33</v>
      </c>
    </row>
    <row r="15" spans="1:24" ht="16" x14ac:dyDescent="0.4">
      <c r="B15" s="2">
        <v>9</v>
      </c>
      <c r="C15" s="1" t="s">
        <v>44</v>
      </c>
      <c r="D15" s="1"/>
      <c r="I15" s="4">
        <v>50</v>
      </c>
      <c r="J15" s="5">
        <v>9.24</v>
      </c>
      <c r="U15" t="s">
        <v>34</v>
      </c>
      <c r="V15" t="s">
        <v>35</v>
      </c>
    </row>
    <row r="16" spans="1:24" ht="16" x14ac:dyDescent="0.4">
      <c r="B16" s="2">
        <v>10</v>
      </c>
      <c r="C16" s="1" t="s">
        <v>45</v>
      </c>
      <c r="D16" s="1"/>
      <c r="I16" s="4">
        <v>100</v>
      </c>
      <c r="J16" s="5">
        <v>9.24</v>
      </c>
      <c r="U16" s="4">
        <v>10</v>
      </c>
      <c r="V16" s="48">
        <v>3.0499999999999999E-2</v>
      </c>
      <c r="W16">
        <v>9.33</v>
      </c>
    </row>
    <row r="17" spans="2:22" x14ac:dyDescent="0.35">
      <c r="B17" t="s">
        <v>27</v>
      </c>
      <c r="C17" t="s">
        <v>46</v>
      </c>
      <c r="D17" t="s">
        <v>29</v>
      </c>
      <c r="I17" s="4">
        <v>200</v>
      </c>
      <c r="J17" s="5">
        <v>9.24</v>
      </c>
      <c r="U17" s="4">
        <v>50</v>
      </c>
      <c r="V17" s="48">
        <v>3.4200000000000001E-2</v>
      </c>
    </row>
    <row r="18" spans="2:22" x14ac:dyDescent="0.35">
      <c r="B18">
        <v>1</v>
      </c>
      <c r="C18" t="s">
        <v>47</v>
      </c>
      <c r="D18">
        <f>(D10*D12)+(D11*D9)</f>
        <v>3.39E-2</v>
      </c>
      <c r="U18" s="4">
        <v>100</v>
      </c>
      <c r="V18" s="48">
        <v>3.3500000000000002E-2</v>
      </c>
    </row>
    <row r="19" spans="2:22" x14ac:dyDescent="0.35">
      <c r="B19">
        <v>2</v>
      </c>
      <c r="C19" t="s">
        <v>48</v>
      </c>
      <c r="D19">
        <f>(D18*(1+D18)^D13)/((1+D18)^D13-1)</f>
        <v>6.9662581008653315E-2</v>
      </c>
      <c r="U19" s="4">
        <v>200</v>
      </c>
      <c r="V19" s="48">
        <v>3.3099999999999997E-2</v>
      </c>
    </row>
    <row r="20" spans="2:22" x14ac:dyDescent="0.35">
      <c r="B20">
        <v>3</v>
      </c>
      <c r="C20" t="s">
        <v>49</v>
      </c>
      <c r="D20">
        <f>D19*D7</f>
        <v>84779361.08753109</v>
      </c>
    </row>
    <row r="21" spans="2:22" x14ac:dyDescent="0.35">
      <c r="B21">
        <v>4</v>
      </c>
      <c r="C21" t="s">
        <v>50</v>
      </c>
      <c r="D21" s="41">
        <f>D7*(D19+D14)/D8</f>
        <v>0.14257965481130086</v>
      </c>
      <c r="E21" t="s">
        <v>51</v>
      </c>
      <c r="F21" s="3">
        <f>Table232[[#This Row],[Value]]*100</f>
        <v>14.257965481130086</v>
      </c>
    </row>
    <row r="22" spans="2:22" x14ac:dyDescent="0.35">
      <c r="C22" t="s">
        <v>52</v>
      </c>
      <c r="D22" t="e">
        <f>D15*(D19+D14)/D16</f>
        <v>#DIV/0!</v>
      </c>
    </row>
    <row r="28" spans="2:22" ht="15" thickBot="1" x14ac:dyDescent="0.4"/>
    <row r="29" spans="2:22" x14ac:dyDescent="0.35">
      <c r="Q29" s="16" t="s">
        <v>53</v>
      </c>
      <c r="R29" s="29" t="s">
        <v>54</v>
      </c>
      <c r="S29" s="10" t="s">
        <v>55</v>
      </c>
    </row>
    <row r="30" spans="2:22" ht="15" thickBot="1" x14ac:dyDescent="0.4">
      <c r="Q30" s="28"/>
      <c r="R30" s="30"/>
      <c r="S30" s="22"/>
    </row>
    <row r="31" spans="2:22" ht="15" thickBot="1" x14ac:dyDescent="0.4">
      <c r="Q31" s="12"/>
      <c r="R31" s="31"/>
      <c r="S31" s="33"/>
      <c r="T31" s="20"/>
      <c r="U31" s="19"/>
    </row>
    <row r="32" spans="2:22" ht="15" thickBot="1" x14ac:dyDescent="0.4">
      <c r="Q32" s="16" t="s">
        <v>53</v>
      </c>
      <c r="R32" s="29" t="s">
        <v>54</v>
      </c>
      <c r="S32" s="10" t="s">
        <v>55</v>
      </c>
      <c r="T32" s="38"/>
      <c r="U32" s="7"/>
    </row>
    <row r="33" spans="16:27" x14ac:dyDescent="0.35">
      <c r="P33" s="39">
        <v>0.18</v>
      </c>
      <c r="Q33" s="14">
        <v>2</v>
      </c>
      <c r="R33" s="40">
        <v>0.23699999999999999</v>
      </c>
      <c r="S33" s="33">
        <v>0.18</v>
      </c>
      <c r="T33" s="38"/>
      <c r="U33" s="7"/>
    </row>
    <row r="34" spans="16:27" x14ac:dyDescent="0.35">
      <c r="P34" s="39">
        <v>0.17460000000000001</v>
      </c>
      <c r="Q34" s="12">
        <v>2.2000000000000002</v>
      </c>
      <c r="R34" s="36">
        <v>0.2349</v>
      </c>
      <c r="S34" s="34">
        <v>0.17460000000000001</v>
      </c>
      <c r="T34" s="38">
        <v>0.1865</v>
      </c>
      <c r="U34" s="7"/>
    </row>
    <row r="35" spans="16:27" x14ac:dyDescent="0.35">
      <c r="P35" s="39">
        <v>0.17249999999999999</v>
      </c>
      <c r="Q35" s="12">
        <v>2.4</v>
      </c>
      <c r="R35" s="36">
        <v>0.23499999999999999</v>
      </c>
      <c r="S35" s="37">
        <v>0.17249999999999999</v>
      </c>
      <c r="T35" s="38">
        <v>0.18659999999999999</v>
      </c>
      <c r="U35" s="7"/>
    </row>
    <row r="36" spans="16:27" x14ac:dyDescent="0.35">
      <c r="P36" s="39">
        <v>0.17469999999999999</v>
      </c>
      <c r="Q36" s="12">
        <v>2.6</v>
      </c>
      <c r="R36" s="31">
        <v>0.23910000000000001</v>
      </c>
      <c r="S36" s="34">
        <v>0.17469999999999999</v>
      </c>
      <c r="T36" s="38">
        <v>0.1898</v>
      </c>
      <c r="U36" s="7"/>
    </row>
    <row r="37" spans="16:27" ht="15" thickBot="1" x14ac:dyDescent="0.4">
      <c r="P37" s="39">
        <v>0.17749999999999999</v>
      </c>
      <c r="Q37" s="13">
        <v>2.8</v>
      </c>
      <c r="R37" s="32">
        <v>0.24249999999999999</v>
      </c>
      <c r="S37" s="35">
        <v>0.17749999999999999</v>
      </c>
      <c r="T37" s="38">
        <v>0.1925</v>
      </c>
      <c r="U37" s="7"/>
    </row>
    <row r="38" spans="16:27" x14ac:dyDescent="0.35">
      <c r="Q38" s="12">
        <v>3</v>
      </c>
      <c r="R38" s="31"/>
      <c r="S38" s="34"/>
      <c r="T38" s="20"/>
      <c r="U38" s="7"/>
    </row>
    <row r="39" spans="16:27" x14ac:dyDescent="0.35">
      <c r="Q39" s="13"/>
      <c r="R39" s="32"/>
      <c r="S39" s="35"/>
      <c r="T39" s="20"/>
      <c r="U39" s="7"/>
    </row>
    <row r="40" spans="16:27" x14ac:dyDescent="0.35">
      <c r="Q40" s="7">
        <v>3.4</v>
      </c>
      <c r="R40" s="7">
        <v>0.25929999999999997</v>
      </c>
      <c r="S40" s="7"/>
      <c r="T40" s="7">
        <v>0.2059</v>
      </c>
      <c r="U40" s="7"/>
    </row>
    <row r="41" spans="16:27" x14ac:dyDescent="0.35">
      <c r="Q41" s="7"/>
      <c r="R41" s="7"/>
      <c r="S41" s="7"/>
      <c r="T41" s="7"/>
      <c r="U41" s="7"/>
    </row>
    <row r="42" spans="16:27" x14ac:dyDescent="0.35">
      <c r="Q42" s="7"/>
      <c r="R42" s="7"/>
      <c r="S42" s="7"/>
      <c r="T42" s="7"/>
      <c r="U42" s="7"/>
    </row>
    <row r="43" spans="16:27" x14ac:dyDescent="0.35">
      <c r="S43" s="8">
        <v>0.18</v>
      </c>
    </row>
    <row r="44" spans="16:27" x14ac:dyDescent="0.35">
      <c r="S44" s="8">
        <v>0.17460000000000001</v>
      </c>
    </row>
    <row r="45" spans="16:27" x14ac:dyDescent="0.35">
      <c r="S45" s="8">
        <v>0.17249999999999999</v>
      </c>
      <c r="X45" t="s">
        <v>56</v>
      </c>
    </row>
    <row r="46" spans="16:27" x14ac:dyDescent="0.35">
      <c r="S46" s="8">
        <v>0.17469999999999999</v>
      </c>
      <c r="X46" s="16" t="s">
        <v>53</v>
      </c>
      <c r="Y46" s="9" t="s">
        <v>54</v>
      </c>
      <c r="Z46" s="10" t="s">
        <v>55</v>
      </c>
    </row>
    <row r="47" spans="16:27" x14ac:dyDescent="0.35">
      <c r="S47" s="8">
        <v>0.17749999999999999</v>
      </c>
      <c r="X47" s="11"/>
      <c r="Y47" s="15"/>
      <c r="Z47" s="22"/>
    </row>
    <row r="48" spans="16:27" x14ac:dyDescent="0.35">
      <c r="X48" s="14"/>
      <c r="Y48" s="24"/>
      <c r="Z48" s="23"/>
      <c r="AA48" s="20"/>
    </row>
    <row r="49" spans="24:27" x14ac:dyDescent="0.35">
      <c r="X49" s="12">
        <v>1.8</v>
      </c>
      <c r="Y49" s="20"/>
      <c r="Z49" s="17"/>
      <c r="AA49" s="20"/>
    </row>
    <row r="50" spans="24:27" x14ac:dyDescent="0.35">
      <c r="X50" s="12">
        <v>2</v>
      </c>
      <c r="Y50" s="20"/>
      <c r="Z50" s="17">
        <v>0.17299999999999999</v>
      </c>
      <c r="AA50" s="20"/>
    </row>
    <row r="51" spans="24:27" x14ac:dyDescent="0.35">
      <c r="X51" s="12">
        <v>2.2000000000000002</v>
      </c>
      <c r="Y51" s="20"/>
      <c r="Z51" s="17"/>
      <c r="AA51" s="20"/>
    </row>
    <row r="52" spans="24:27" x14ac:dyDescent="0.35">
      <c r="X52" s="12">
        <v>2.4</v>
      </c>
      <c r="Y52" s="20"/>
      <c r="Z52" t="s">
        <v>57</v>
      </c>
      <c r="AA52" s="20"/>
    </row>
    <row r="53" spans="24:27" x14ac:dyDescent="0.35">
      <c r="X53" s="12">
        <v>2.6</v>
      </c>
      <c r="Y53" s="20"/>
      <c r="Z53" s="17"/>
      <c r="AA53" s="20"/>
    </row>
    <row r="54" spans="24:27" x14ac:dyDescent="0.35">
      <c r="X54" s="12">
        <v>2.8</v>
      </c>
      <c r="Y54" s="20"/>
      <c r="Z54" s="17"/>
      <c r="AA54" s="20"/>
    </row>
    <row r="55" spans="24:27" x14ac:dyDescent="0.35">
      <c r="X55" s="12"/>
      <c r="Y55" s="20"/>
      <c r="Z55" s="17"/>
      <c r="AA55" s="20"/>
    </row>
    <row r="56" spans="24:27" x14ac:dyDescent="0.35">
      <c r="X56" s="13"/>
      <c r="Y56" s="21"/>
      <c r="Z56" s="18"/>
      <c r="AA56" s="20"/>
    </row>
  </sheetData>
  <mergeCells count="1">
    <mergeCell ref="A4:K4"/>
  </mergeCells>
  <conditionalFormatting sqref="F10">
    <cfRule type="cellIs" dxfId="29" priority="1" operator="equal">
      <formula>1</formula>
    </cfRule>
    <cfRule type="cellIs" dxfId="28" priority="2" operator="greaterThan">
      <formula>1</formula>
    </cfRule>
    <cfRule type="cellIs" dxfId="27" priority="3" operator="lessThan">
      <formula>1</formula>
    </cfRule>
  </conditionalFormatting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A876-97B4-4ABA-B19A-D5FF51CF3F17}">
  <dimension ref="A4:X22"/>
  <sheetViews>
    <sheetView topLeftCell="C1" zoomScale="85" zoomScaleNormal="85" workbookViewId="0">
      <selection activeCell="AD23" sqref="AD23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  <col min="21" max="21" width="9.26953125" bestFit="1" customWidth="1"/>
  </cols>
  <sheetData>
    <row r="4" spans="1:24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24" ht="16" x14ac:dyDescent="0.4">
      <c r="B6" s="1" t="s">
        <v>27</v>
      </c>
      <c r="C6" s="1" t="s">
        <v>28</v>
      </c>
      <c r="D6" s="1" t="s">
        <v>29</v>
      </c>
      <c r="E6" s="1"/>
    </row>
    <row r="7" spans="1:24" ht="16" x14ac:dyDescent="0.4">
      <c r="B7" s="2">
        <v>1</v>
      </c>
      <c r="C7" s="1" t="s">
        <v>30</v>
      </c>
      <c r="D7" s="1">
        <f>17*10^6</f>
        <v>17000000</v>
      </c>
      <c r="E7" s="1"/>
    </row>
    <row r="8" spans="1:24" ht="16" x14ac:dyDescent="0.4">
      <c r="B8" s="2">
        <v>2</v>
      </c>
      <c r="C8" s="1" t="s">
        <v>31</v>
      </c>
      <c r="D8" s="1">
        <f>21*10^6</f>
        <v>21000000</v>
      </c>
      <c r="E8" s="1"/>
    </row>
    <row r="9" spans="1:24" ht="16" x14ac:dyDescent="0.4">
      <c r="B9" s="2">
        <v>3</v>
      </c>
      <c r="C9" s="1" t="s">
        <v>33</v>
      </c>
      <c r="D9" s="1">
        <v>0.15</v>
      </c>
      <c r="E9" s="1"/>
      <c r="U9" t="s">
        <v>34</v>
      </c>
      <c r="W9" t="s">
        <v>35</v>
      </c>
    </row>
    <row r="10" spans="1:24" ht="16" x14ac:dyDescent="0.4">
      <c r="B10" s="2">
        <v>4</v>
      </c>
      <c r="C10" s="1" t="s">
        <v>36</v>
      </c>
      <c r="D10" s="1">
        <v>0.06</v>
      </c>
      <c r="E10" s="1" t="s">
        <v>37</v>
      </c>
      <c r="F10" s="3">
        <f>Table1[[#This Row],[Value]]+D11</f>
        <v>0.26</v>
      </c>
      <c r="U10" s="4">
        <v>10</v>
      </c>
      <c r="V10" t="s">
        <v>58</v>
      </c>
      <c r="W10" s="5">
        <f>V16*0.01</f>
        <v>3.0499999999999999E-2</v>
      </c>
      <c r="X10" t="s">
        <v>39</v>
      </c>
    </row>
    <row r="11" spans="1:24" ht="16" x14ac:dyDescent="0.4">
      <c r="B11" s="2">
        <v>5</v>
      </c>
      <c r="C11" s="1" t="s">
        <v>40</v>
      </c>
      <c r="D11" s="1">
        <v>0.2</v>
      </c>
      <c r="E11" s="1"/>
      <c r="U11" s="4">
        <v>50</v>
      </c>
      <c r="V11" t="s">
        <v>58</v>
      </c>
      <c r="W11" s="5">
        <f t="shared" ref="W11:W13" si="0">V17*0.01</f>
        <v>3.4200000000000001E-2</v>
      </c>
      <c r="X11" t="s">
        <v>39</v>
      </c>
    </row>
    <row r="12" spans="1:24" ht="16" x14ac:dyDescent="0.4">
      <c r="B12" s="2">
        <v>6</v>
      </c>
      <c r="C12" s="1" t="s">
        <v>41</v>
      </c>
      <c r="D12" s="1">
        <v>6.5000000000000002E-2</v>
      </c>
      <c r="E12" s="1"/>
      <c r="U12" s="4">
        <v>100</v>
      </c>
      <c r="V12" t="s">
        <v>58</v>
      </c>
      <c r="W12" s="5">
        <f t="shared" si="0"/>
        <v>3.3500000000000002E-2</v>
      </c>
      <c r="X12" t="s">
        <v>39</v>
      </c>
    </row>
    <row r="13" spans="1:24" ht="16" x14ac:dyDescent="0.4">
      <c r="B13" s="2">
        <v>7</v>
      </c>
      <c r="C13" s="1" t="s">
        <v>42</v>
      </c>
      <c r="D13" s="1">
        <v>20</v>
      </c>
      <c r="E13" s="1"/>
      <c r="I13" t="s">
        <v>34</v>
      </c>
      <c r="J13" t="s">
        <v>35</v>
      </c>
      <c r="U13" s="4">
        <v>200</v>
      </c>
      <c r="V13" t="s">
        <v>58</v>
      </c>
      <c r="W13" s="5">
        <f t="shared" si="0"/>
        <v>3.3100000000000004E-2</v>
      </c>
      <c r="X13" t="s">
        <v>39</v>
      </c>
    </row>
    <row r="14" spans="1:24" ht="16" x14ac:dyDescent="0.4">
      <c r="B14" s="2">
        <v>8</v>
      </c>
      <c r="C14" s="1" t="s">
        <v>43</v>
      </c>
      <c r="D14" s="1">
        <v>2.5000000000000001E-2</v>
      </c>
      <c r="E14" s="1"/>
      <c r="I14" s="4">
        <v>10</v>
      </c>
      <c r="J14" s="5">
        <v>9.33</v>
      </c>
    </row>
    <row r="15" spans="1:24" ht="16" x14ac:dyDescent="0.4">
      <c r="B15" s="2">
        <v>9</v>
      </c>
      <c r="C15" s="1" t="s">
        <v>44</v>
      </c>
      <c r="D15" s="1"/>
      <c r="I15" s="4">
        <v>50</v>
      </c>
      <c r="J15" s="5">
        <v>9.24</v>
      </c>
      <c r="U15" t="s">
        <v>34</v>
      </c>
      <c r="V15" t="s">
        <v>35</v>
      </c>
    </row>
    <row r="16" spans="1:24" ht="16" x14ac:dyDescent="0.4">
      <c r="B16" s="2">
        <v>10</v>
      </c>
      <c r="C16" s="1" t="s">
        <v>45</v>
      </c>
      <c r="D16" s="1"/>
      <c r="I16" s="4">
        <v>100</v>
      </c>
      <c r="J16" s="5">
        <v>9.24</v>
      </c>
      <c r="U16" s="4">
        <v>10</v>
      </c>
      <c r="V16" s="5">
        <v>3.05</v>
      </c>
      <c r="W16">
        <v>9.33</v>
      </c>
    </row>
    <row r="17" spans="2:22" x14ac:dyDescent="0.35">
      <c r="B17" t="s">
        <v>27</v>
      </c>
      <c r="C17" t="s">
        <v>46</v>
      </c>
      <c r="D17" t="s">
        <v>29</v>
      </c>
      <c r="I17" s="4">
        <v>200</v>
      </c>
      <c r="J17" s="5">
        <v>9.24</v>
      </c>
      <c r="U17" s="4">
        <v>50</v>
      </c>
      <c r="V17" s="5">
        <v>3.42</v>
      </c>
    </row>
    <row r="18" spans="2:22" x14ac:dyDescent="0.35">
      <c r="B18">
        <v>1</v>
      </c>
      <c r="C18" t="s">
        <v>47</v>
      </c>
      <c r="D18">
        <f>(D10*D12)+(D11*D9)</f>
        <v>3.39E-2</v>
      </c>
      <c r="U18" s="4">
        <v>100</v>
      </c>
      <c r="V18" s="5">
        <v>3.35</v>
      </c>
    </row>
    <row r="19" spans="2:22" x14ac:dyDescent="0.35">
      <c r="B19">
        <v>2</v>
      </c>
      <c r="C19" t="s">
        <v>48</v>
      </c>
      <c r="D19">
        <f>(D18*(1+D18)^D13)/((1+D18)^D13-1)</f>
        <v>6.9662581008653315E-2</v>
      </c>
      <c r="U19" s="4">
        <v>200</v>
      </c>
      <c r="V19" s="5">
        <v>3.31</v>
      </c>
    </row>
    <row r="20" spans="2:22" x14ac:dyDescent="0.35">
      <c r="B20">
        <v>3</v>
      </c>
      <c r="C20" t="s">
        <v>49</v>
      </c>
      <c r="D20">
        <f>D19*D7</f>
        <v>1184263.8771471065</v>
      </c>
    </row>
    <row r="21" spans="2:22" x14ac:dyDescent="0.35">
      <c r="B21">
        <v>4</v>
      </c>
      <c r="C21" t="s">
        <v>50</v>
      </c>
      <c r="D21">
        <f>D7*(D19+D14)/D8</f>
        <v>7.6631613197481255E-2</v>
      </c>
      <c r="E21" t="s">
        <v>51</v>
      </c>
      <c r="F21" s="3">
        <f>Table2[[#This Row],[Value]]*100</f>
        <v>7.6631613197481254</v>
      </c>
    </row>
    <row r="22" spans="2:22" x14ac:dyDescent="0.35">
      <c r="C22" t="s">
        <v>52</v>
      </c>
      <c r="D22" t="e">
        <f>D15*(D19+D14)/D16</f>
        <v>#DIV/0!</v>
      </c>
    </row>
  </sheetData>
  <mergeCells count="1">
    <mergeCell ref="A4:K4"/>
  </mergeCells>
  <conditionalFormatting sqref="F10">
    <cfRule type="cellIs" dxfId="26" priority="1" operator="equal">
      <formula>1</formula>
    </cfRule>
    <cfRule type="cellIs" dxfId="25" priority="2" operator="greaterThan">
      <formula>1</formula>
    </cfRule>
    <cfRule type="cellIs" dxfId="24" priority="3" operator="lessThan">
      <formula>1</formula>
    </cfRule>
  </conditionalFormatting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9BA3-FB92-4F4C-B9E5-322D95784AD0}">
  <dimension ref="A4:L22"/>
  <sheetViews>
    <sheetView zoomScale="85" zoomScaleNormal="85" workbookViewId="0">
      <selection activeCell="D9" sqref="D9:D14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</cols>
  <sheetData>
    <row r="4" spans="1:12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12" ht="16" x14ac:dyDescent="0.4">
      <c r="B6" s="1" t="s">
        <v>27</v>
      </c>
      <c r="C6" s="1" t="s">
        <v>28</v>
      </c>
      <c r="D6" s="1" t="s">
        <v>29</v>
      </c>
      <c r="E6" s="1"/>
    </row>
    <row r="7" spans="1:12" ht="16" x14ac:dyDescent="0.4">
      <c r="B7" s="2">
        <v>1</v>
      </c>
      <c r="C7" s="1" t="s">
        <v>30</v>
      </c>
      <c r="D7" s="1">
        <f>340*10^6</f>
        <v>340000000</v>
      </c>
      <c r="E7" s="1"/>
    </row>
    <row r="8" spans="1:12" ht="16" x14ac:dyDescent="0.4">
      <c r="B8" s="2">
        <v>2</v>
      </c>
      <c r="C8" s="1" t="s">
        <v>31</v>
      </c>
      <c r="D8" s="1">
        <f>424*10^6</f>
        <v>424000000</v>
      </c>
      <c r="E8" s="1"/>
      <c r="K8" t="s">
        <v>34</v>
      </c>
      <c r="L8" t="s">
        <v>35</v>
      </c>
    </row>
    <row r="9" spans="1:12" ht="16" x14ac:dyDescent="0.4">
      <c r="B9" s="2">
        <v>3</v>
      </c>
      <c r="C9" s="1" t="s">
        <v>33</v>
      </c>
      <c r="D9" s="1">
        <v>0.15</v>
      </c>
      <c r="E9" s="1"/>
      <c r="K9">
        <v>10</v>
      </c>
    </row>
    <row r="10" spans="1:12" ht="16" x14ac:dyDescent="0.4">
      <c r="B10" s="2">
        <v>4</v>
      </c>
      <c r="C10" s="1" t="s">
        <v>36</v>
      </c>
      <c r="D10" s="1">
        <v>0.8</v>
      </c>
      <c r="E10" s="1" t="s">
        <v>37</v>
      </c>
      <c r="F10" s="3">
        <f>Table16810[[#This Row],[Value]]+D11</f>
        <v>1</v>
      </c>
      <c r="K10">
        <v>50</v>
      </c>
    </row>
    <row r="11" spans="1:12" ht="16" x14ac:dyDescent="0.4">
      <c r="B11" s="2">
        <v>5</v>
      </c>
      <c r="C11" s="1" t="s">
        <v>40</v>
      </c>
      <c r="D11" s="1">
        <v>0.2</v>
      </c>
      <c r="E11" s="1"/>
      <c r="K11">
        <v>100</v>
      </c>
    </row>
    <row r="12" spans="1:12" ht="16" x14ac:dyDescent="0.4">
      <c r="B12" s="2">
        <v>6</v>
      </c>
      <c r="C12" s="1" t="s">
        <v>41</v>
      </c>
      <c r="D12" s="1">
        <v>0.06</v>
      </c>
      <c r="E12" s="1"/>
      <c r="K12">
        <v>200</v>
      </c>
    </row>
    <row r="13" spans="1:12" ht="16" x14ac:dyDescent="0.4">
      <c r="B13" s="2">
        <v>7</v>
      </c>
      <c r="C13" s="1" t="s">
        <v>42</v>
      </c>
      <c r="D13" s="1">
        <v>20</v>
      </c>
      <c r="E13" s="1"/>
    </row>
    <row r="14" spans="1:12" ht="16" x14ac:dyDescent="0.4">
      <c r="B14" s="2">
        <v>8</v>
      </c>
      <c r="C14" s="1" t="s">
        <v>43</v>
      </c>
      <c r="D14" s="1">
        <v>1.4999999999999999E-2</v>
      </c>
      <c r="E14" s="1"/>
    </row>
    <row r="15" spans="1:12" ht="16" x14ac:dyDescent="0.4">
      <c r="B15" s="2">
        <v>9</v>
      </c>
      <c r="C15" s="1" t="s">
        <v>44</v>
      </c>
      <c r="D15" s="1"/>
    </row>
    <row r="16" spans="1:12" ht="16" x14ac:dyDescent="0.4">
      <c r="B16" s="2">
        <v>10</v>
      </c>
      <c r="C16" s="1" t="s">
        <v>45</v>
      </c>
      <c r="D16" s="1"/>
    </row>
    <row r="17" spans="2:6" x14ac:dyDescent="0.35">
      <c r="B17" t="s">
        <v>27</v>
      </c>
      <c r="C17" t="s">
        <v>46</v>
      </c>
      <c r="D17" t="s">
        <v>29</v>
      </c>
    </row>
    <row r="18" spans="2:6" x14ac:dyDescent="0.35">
      <c r="B18">
        <v>1</v>
      </c>
      <c r="C18" t="s">
        <v>47</v>
      </c>
      <c r="D18">
        <f>(D10*D12)+(D11*D9)</f>
        <v>7.8E-2</v>
      </c>
    </row>
    <row r="19" spans="2:6" x14ac:dyDescent="0.35">
      <c r="B19">
        <v>2</v>
      </c>
      <c r="C19" t="s">
        <v>48</v>
      </c>
      <c r="D19">
        <f>(D18*(1+D18)^D13)/((1+D18)^D13-1)</f>
        <v>0.10034103966089436</v>
      </c>
    </row>
    <row r="20" spans="2:6" x14ac:dyDescent="0.35">
      <c r="B20">
        <v>3</v>
      </c>
      <c r="C20" t="s">
        <v>49</v>
      </c>
      <c r="D20">
        <f>D19*D7</f>
        <v>34115953.484704085</v>
      </c>
    </row>
    <row r="21" spans="2:6" x14ac:dyDescent="0.35">
      <c r="B21">
        <v>4</v>
      </c>
      <c r="C21" t="s">
        <v>50</v>
      </c>
      <c r="D21">
        <f>D7*(D19+D14)/D8</f>
        <v>9.2490456331849255E-2</v>
      </c>
      <c r="E21" t="s">
        <v>51</v>
      </c>
      <c r="F21" s="3">
        <f>Table27911[[#This Row],[Value]]*100</f>
        <v>9.2490456331849256</v>
      </c>
    </row>
    <row r="22" spans="2:6" x14ac:dyDescent="0.35">
      <c r="C22" t="s">
        <v>52</v>
      </c>
      <c r="D22" t="e">
        <f>D15*(D19+D14)/D16</f>
        <v>#DIV/0!</v>
      </c>
    </row>
  </sheetData>
  <mergeCells count="1">
    <mergeCell ref="A4:K4"/>
  </mergeCells>
  <conditionalFormatting sqref="F10">
    <cfRule type="cellIs" dxfId="23" priority="1" operator="equal">
      <formula>1</formula>
    </cfRule>
    <cfRule type="cellIs" dxfId="22" priority="2" operator="greaterThan">
      <formula>1</formula>
    </cfRule>
    <cfRule type="cellIs" dxfId="21" priority="3" operator="lessThan">
      <formula>1</formula>
    </cfRule>
  </conditionalFormatting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B676-769B-41AC-A37C-7F2EB975FCCF}">
  <dimension ref="A4:L22"/>
  <sheetViews>
    <sheetView zoomScale="85" zoomScaleNormal="85" workbookViewId="0">
      <selection activeCell="D9" sqref="D9:D14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</cols>
  <sheetData>
    <row r="4" spans="1:12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12" ht="16" x14ac:dyDescent="0.4">
      <c r="B6" s="1" t="s">
        <v>27</v>
      </c>
      <c r="C6" s="1" t="s">
        <v>28</v>
      </c>
      <c r="D6" s="1" t="s">
        <v>29</v>
      </c>
      <c r="E6" s="1"/>
    </row>
    <row r="7" spans="1:12" ht="16" x14ac:dyDescent="0.4">
      <c r="B7" s="2">
        <v>1</v>
      </c>
      <c r="C7" s="1" t="s">
        <v>30</v>
      </c>
      <c r="D7" s="1">
        <f>170*10^6</f>
        <v>170000000</v>
      </c>
      <c r="E7" s="1"/>
    </row>
    <row r="8" spans="1:12" ht="16" x14ac:dyDescent="0.4">
      <c r="B8" s="2">
        <v>2</v>
      </c>
      <c r="C8" s="1" t="s">
        <v>31</v>
      </c>
      <c r="D8" s="1">
        <f>212*10^6</f>
        <v>212000000</v>
      </c>
      <c r="E8" s="1"/>
      <c r="K8" t="s">
        <v>34</v>
      </c>
      <c r="L8" t="s">
        <v>35</v>
      </c>
    </row>
    <row r="9" spans="1:12" ht="16" x14ac:dyDescent="0.4">
      <c r="B9" s="2">
        <v>3</v>
      </c>
      <c r="C9" s="1" t="s">
        <v>33</v>
      </c>
      <c r="D9" s="1">
        <v>0.15</v>
      </c>
      <c r="E9" s="1"/>
      <c r="K9">
        <v>10</v>
      </c>
    </row>
    <row r="10" spans="1:12" ht="16" x14ac:dyDescent="0.4">
      <c r="B10" s="2">
        <v>4</v>
      </c>
      <c r="C10" s="1" t="s">
        <v>36</v>
      </c>
      <c r="D10" s="1">
        <v>0.8</v>
      </c>
      <c r="E10" s="1" t="s">
        <v>37</v>
      </c>
      <c r="F10" s="3">
        <f>Table168[[#This Row],[Value]]+D11</f>
        <v>1</v>
      </c>
      <c r="K10">
        <v>50</v>
      </c>
    </row>
    <row r="11" spans="1:12" ht="16" x14ac:dyDescent="0.4">
      <c r="B11" s="2">
        <v>5</v>
      </c>
      <c r="C11" s="1" t="s">
        <v>40</v>
      </c>
      <c r="D11" s="1">
        <v>0.2</v>
      </c>
      <c r="E11" s="1"/>
      <c r="K11">
        <v>100</v>
      </c>
    </row>
    <row r="12" spans="1:12" ht="16" x14ac:dyDescent="0.4">
      <c r="B12" s="2">
        <v>6</v>
      </c>
      <c r="C12" s="1" t="s">
        <v>41</v>
      </c>
      <c r="D12" s="1">
        <v>0.06</v>
      </c>
      <c r="E12" s="1"/>
      <c r="K12">
        <v>200</v>
      </c>
    </row>
    <row r="13" spans="1:12" ht="16" x14ac:dyDescent="0.4">
      <c r="B13" s="2">
        <v>7</v>
      </c>
      <c r="C13" s="1" t="s">
        <v>42</v>
      </c>
      <c r="D13" s="1">
        <v>20</v>
      </c>
      <c r="E13" s="1"/>
    </row>
    <row r="14" spans="1:12" ht="16" x14ac:dyDescent="0.4">
      <c r="B14" s="2">
        <v>8</v>
      </c>
      <c r="C14" s="1" t="s">
        <v>43</v>
      </c>
      <c r="D14" s="1">
        <v>1.4999999999999999E-2</v>
      </c>
      <c r="E14" s="1"/>
    </row>
    <row r="15" spans="1:12" ht="16" x14ac:dyDescent="0.4">
      <c r="B15" s="2">
        <v>9</v>
      </c>
      <c r="C15" s="1" t="s">
        <v>44</v>
      </c>
      <c r="D15" s="1"/>
    </row>
    <row r="16" spans="1:12" ht="16" x14ac:dyDescent="0.4">
      <c r="B16" s="2">
        <v>10</v>
      </c>
      <c r="C16" s="1" t="s">
        <v>45</v>
      </c>
      <c r="D16" s="1"/>
    </row>
    <row r="17" spans="2:6" x14ac:dyDescent="0.35">
      <c r="B17" t="s">
        <v>27</v>
      </c>
      <c r="C17" t="s">
        <v>46</v>
      </c>
      <c r="D17" t="s">
        <v>29</v>
      </c>
    </row>
    <row r="18" spans="2:6" x14ac:dyDescent="0.35">
      <c r="B18">
        <v>1</v>
      </c>
      <c r="C18" t="s">
        <v>47</v>
      </c>
      <c r="D18">
        <f>(D10*D12)+(D11*D9)</f>
        <v>7.8E-2</v>
      </c>
    </row>
    <row r="19" spans="2:6" x14ac:dyDescent="0.35">
      <c r="B19">
        <v>2</v>
      </c>
      <c r="C19" t="s">
        <v>48</v>
      </c>
      <c r="D19">
        <f>(D18*(1+D18)^D13)/((1+D18)^D13-1)</f>
        <v>0.10034103966089436</v>
      </c>
    </row>
    <row r="20" spans="2:6" x14ac:dyDescent="0.35">
      <c r="B20">
        <v>3</v>
      </c>
      <c r="C20" t="s">
        <v>49</v>
      </c>
      <c r="D20">
        <f>D19*D7</f>
        <v>17057976.742352042</v>
      </c>
    </row>
    <row r="21" spans="2:6" x14ac:dyDescent="0.35">
      <c r="B21">
        <v>4</v>
      </c>
      <c r="C21" t="s">
        <v>50</v>
      </c>
      <c r="D21">
        <f>D7*(D19+D14)/D8</f>
        <v>9.2490456331849255E-2</v>
      </c>
      <c r="E21" t="s">
        <v>51</v>
      </c>
      <c r="F21" s="3">
        <f>Table279[[#This Row],[Value]]*100</f>
        <v>9.2490456331849256</v>
      </c>
    </row>
    <row r="22" spans="2:6" x14ac:dyDescent="0.35">
      <c r="C22" t="s">
        <v>52</v>
      </c>
      <c r="D22" t="e">
        <f>D15*(D19+D14)/D16</f>
        <v>#DIV/0!</v>
      </c>
    </row>
  </sheetData>
  <mergeCells count="1">
    <mergeCell ref="A4:K4"/>
  </mergeCells>
  <conditionalFormatting sqref="F10">
    <cfRule type="cellIs" dxfId="20" priority="1" operator="equal">
      <formula>1</formula>
    </cfRule>
    <cfRule type="cellIs" dxfId="19" priority="2" operator="greaterThan">
      <formula>1</formula>
    </cfRule>
    <cfRule type="cellIs" dxfId="18" priority="3" operator="lessThan">
      <formula>1</formula>
    </cfRule>
  </conditionalFormatting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DDF1-DE45-4A43-89A5-2A1216C6AB70}">
  <dimension ref="A4:L22"/>
  <sheetViews>
    <sheetView zoomScale="85" zoomScaleNormal="85" workbookViewId="0">
      <selection activeCell="F21" sqref="F21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</cols>
  <sheetData>
    <row r="4" spans="1:12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12" ht="16" x14ac:dyDescent="0.4">
      <c r="B6" s="1" t="s">
        <v>27</v>
      </c>
      <c r="C6" s="1" t="s">
        <v>28</v>
      </c>
      <c r="D6" s="1" t="s">
        <v>29</v>
      </c>
      <c r="E6" s="1"/>
    </row>
    <row r="7" spans="1:12" ht="16" x14ac:dyDescent="0.4">
      <c r="B7" s="2">
        <v>1</v>
      </c>
      <c r="C7" s="1" t="s">
        <v>30</v>
      </c>
      <c r="D7" s="1">
        <f>85*10^6</f>
        <v>85000000</v>
      </c>
      <c r="E7" s="1"/>
    </row>
    <row r="8" spans="1:12" ht="16" x14ac:dyDescent="0.4">
      <c r="B8" s="2">
        <v>2</v>
      </c>
      <c r="C8" s="1" t="s">
        <v>31</v>
      </c>
      <c r="D8" s="1">
        <f>106*10^6</f>
        <v>106000000</v>
      </c>
      <c r="E8" s="1"/>
      <c r="K8" t="s">
        <v>34</v>
      </c>
      <c r="L8" t="s">
        <v>35</v>
      </c>
    </row>
    <row r="9" spans="1:12" ht="16" x14ac:dyDescent="0.4">
      <c r="B9" s="2">
        <v>3</v>
      </c>
      <c r="C9" s="1" t="s">
        <v>33</v>
      </c>
      <c r="D9" s="1">
        <v>0.15</v>
      </c>
      <c r="E9" s="1"/>
      <c r="K9">
        <v>10</v>
      </c>
    </row>
    <row r="10" spans="1:12" ht="16" x14ac:dyDescent="0.4">
      <c r="B10" s="2">
        <v>4</v>
      </c>
      <c r="C10" s="1" t="s">
        <v>36</v>
      </c>
      <c r="D10" s="1">
        <v>0.8</v>
      </c>
      <c r="E10" s="1" t="s">
        <v>37</v>
      </c>
      <c r="F10" s="3">
        <f>Table16[[#This Row],[Value]]+D11</f>
        <v>1</v>
      </c>
      <c r="K10">
        <v>50</v>
      </c>
    </row>
    <row r="11" spans="1:12" ht="16" x14ac:dyDescent="0.4">
      <c r="B11" s="2">
        <v>5</v>
      </c>
      <c r="C11" s="1" t="s">
        <v>40</v>
      </c>
      <c r="D11" s="1">
        <v>0.2</v>
      </c>
      <c r="E11" s="1"/>
      <c r="K11">
        <v>100</v>
      </c>
    </row>
    <row r="12" spans="1:12" ht="16" x14ac:dyDescent="0.4">
      <c r="B12" s="2">
        <v>6</v>
      </c>
      <c r="C12" s="1" t="s">
        <v>41</v>
      </c>
      <c r="D12" s="1">
        <v>0.06</v>
      </c>
      <c r="E12" s="1"/>
      <c r="K12">
        <v>200</v>
      </c>
    </row>
    <row r="13" spans="1:12" ht="16" x14ac:dyDescent="0.4">
      <c r="B13" s="2">
        <v>7</v>
      </c>
      <c r="C13" s="1" t="s">
        <v>42</v>
      </c>
      <c r="D13" s="1">
        <v>20</v>
      </c>
      <c r="E13" s="1"/>
    </row>
    <row r="14" spans="1:12" ht="16" x14ac:dyDescent="0.4">
      <c r="B14" s="2">
        <v>8</v>
      </c>
      <c r="C14" s="1" t="s">
        <v>43</v>
      </c>
      <c r="D14" s="1">
        <v>1.4999999999999999E-2</v>
      </c>
      <c r="E14" s="1"/>
    </row>
    <row r="15" spans="1:12" ht="16" x14ac:dyDescent="0.4">
      <c r="B15" s="2">
        <v>9</v>
      </c>
      <c r="C15" s="1" t="s">
        <v>44</v>
      </c>
      <c r="D15" s="1"/>
    </row>
    <row r="16" spans="1:12" ht="16" x14ac:dyDescent="0.4">
      <c r="B16" s="2">
        <v>10</v>
      </c>
      <c r="C16" s="1" t="s">
        <v>45</v>
      </c>
      <c r="D16" s="1"/>
    </row>
    <row r="17" spans="2:6" x14ac:dyDescent="0.35">
      <c r="B17" t="s">
        <v>27</v>
      </c>
      <c r="C17" t="s">
        <v>46</v>
      </c>
      <c r="D17" t="s">
        <v>29</v>
      </c>
    </row>
    <row r="18" spans="2:6" x14ac:dyDescent="0.35">
      <c r="B18">
        <v>1</v>
      </c>
      <c r="C18" t="s">
        <v>47</v>
      </c>
      <c r="D18">
        <f>(D10*D12)+(D11*D9)</f>
        <v>7.8E-2</v>
      </c>
    </row>
    <row r="19" spans="2:6" x14ac:dyDescent="0.35">
      <c r="B19">
        <v>2</v>
      </c>
      <c r="C19" t="s">
        <v>48</v>
      </c>
      <c r="D19">
        <f>(D18*(1+D18)^D13)/((1+D18)^D13-1)</f>
        <v>0.10034103966089436</v>
      </c>
    </row>
    <row r="20" spans="2:6" x14ac:dyDescent="0.35">
      <c r="B20">
        <v>3</v>
      </c>
      <c r="C20" t="s">
        <v>49</v>
      </c>
      <c r="D20">
        <f>D19*D7</f>
        <v>8528988.3711760212</v>
      </c>
    </row>
    <row r="21" spans="2:6" x14ac:dyDescent="0.35">
      <c r="B21">
        <v>4</v>
      </c>
      <c r="C21" t="s">
        <v>50</v>
      </c>
      <c r="D21">
        <f>D7*(D19+D14)/D8</f>
        <v>9.2490456331849255E-2</v>
      </c>
      <c r="E21" t="s">
        <v>51</v>
      </c>
      <c r="F21" s="3">
        <f>Table27[[#This Row],[Value]]*100</f>
        <v>9.2490456331849256</v>
      </c>
    </row>
    <row r="22" spans="2:6" x14ac:dyDescent="0.35">
      <c r="C22" t="s">
        <v>52</v>
      </c>
      <c r="D22" t="e">
        <f>D15*(D19+D14)/D16</f>
        <v>#DIV/0!</v>
      </c>
    </row>
  </sheetData>
  <mergeCells count="1">
    <mergeCell ref="A4:K4"/>
  </mergeCells>
  <conditionalFormatting sqref="F10">
    <cfRule type="cellIs" dxfId="17" priority="1" operator="equal">
      <formula>1</formula>
    </cfRule>
    <cfRule type="cellIs" dxfId="16" priority="2" operator="greaterThan">
      <formula>1</formula>
    </cfRule>
    <cfRule type="cellIs" dxfId="15" priority="3" operator="lessThan">
      <formula>1</formula>
    </cfRule>
  </conditionalFormatting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B79E-D395-4573-9694-6470FDCD4786}">
  <dimension ref="A4:O22"/>
  <sheetViews>
    <sheetView topLeftCell="C4" zoomScale="85" zoomScaleNormal="85" workbookViewId="0">
      <selection activeCell="D23" sqref="D23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</cols>
  <sheetData>
    <row r="4" spans="1:15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15" ht="16" x14ac:dyDescent="0.4">
      <c r="B6" s="1" t="s">
        <v>27</v>
      </c>
      <c r="C6" s="1" t="s">
        <v>28</v>
      </c>
      <c r="D6" s="1" t="s">
        <v>29</v>
      </c>
      <c r="E6" s="1"/>
    </row>
    <row r="7" spans="1:15" ht="16" x14ac:dyDescent="0.4">
      <c r="B7" s="2">
        <v>1</v>
      </c>
      <c r="C7" s="1" t="s">
        <v>30</v>
      </c>
      <c r="D7" s="1">
        <f>17*10^6</f>
        <v>17000000</v>
      </c>
      <c r="E7" s="1"/>
    </row>
    <row r="8" spans="1:15" ht="16" x14ac:dyDescent="0.4">
      <c r="B8" s="2">
        <v>2</v>
      </c>
      <c r="C8" s="1" t="s">
        <v>31</v>
      </c>
      <c r="D8" s="1">
        <f>21*10^6</f>
        <v>21000000</v>
      </c>
      <c r="E8" s="1"/>
      <c r="L8" t="s">
        <v>34</v>
      </c>
      <c r="N8" t="s">
        <v>35</v>
      </c>
    </row>
    <row r="9" spans="1:15" ht="16" x14ac:dyDescent="0.4">
      <c r="B9" s="2">
        <v>3</v>
      </c>
      <c r="C9" s="1" t="s">
        <v>33</v>
      </c>
      <c r="D9" s="1">
        <v>0.15</v>
      </c>
      <c r="E9" s="1"/>
      <c r="L9" s="4">
        <v>10</v>
      </c>
      <c r="M9" t="s">
        <v>58</v>
      </c>
      <c r="N9" s="6">
        <v>9.3299999999999994E-2</v>
      </c>
      <c r="O9" t="s">
        <v>39</v>
      </c>
    </row>
    <row r="10" spans="1:15" ht="16" x14ac:dyDescent="0.4">
      <c r="B10" s="2">
        <v>4</v>
      </c>
      <c r="C10" s="1" t="s">
        <v>36</v>
      </c>
      <c r="D10" s="1">
        <v>0.8</v>
      </c>
      <c r="E10" s="1" t="s">
        <v>37</v>
      </c>
      <c r="F10" s="3">
        <f>Table112[[#This Row],[Value]]+D11</f>
        <v>1</v>
      </c>
      <c r="L10" s="4">
        <v>50</v>
      </c>
      <c r="M10" t="s">
        <v>58</v>
      </c>
      <c r="N10" s="5">
        <v>9.24</v>
      </c>
      <c r="O10" t="s">
        <v>39</v>
      </c>
    </row>
    <row r="11" spans="1:15" ht="16" x14ac:dyDescent="0.4">
      <c r="B11" s="2">
        <v>5</v>
      </c>
      <c r="C11" s="1" t="s">
        <v>40</v>
      </c>
      <c r="D11" s="1">
        <v>0.2</v>
      </c>
      <c r="E11" s="1"/>
      <c r="L11" s="4">
        <v>100</v>
      </c>
      <c r="M11" t="s">
        <v>58</v>
      </c>
      <c r="N11" s="5">
        <v>9.24</v>
      </c>
      <c r="O11" t="s">
        <v>39</v>
      </c>
    </row>
    <row r="12" spans="1:15" ht="16" x14ac:dyDescent="0.4">
      <c r="B12" s="2">
        <v>6</v>
      </c>
      <c r="C12" s="1" t="s">
        <v>41</v>
      </c>
      <c r="D12" s="1">
        <v>0.06</v>
      </c>
      <c r="E12" s="1"/>
      <c r="L12" s="4">
        <v>200</v>
      </c>
      <c r="M12" t="s">
        <v>58</v>
      </c>
      <c r="N12" s="5">
        <v>9.24</v>
      </c>
      <c r="O12" t="s">
        <v>39</v>
      </c>
    </row>
    <row r="13" spans="1:15" ht="16" x14ac:dyDescent="0.4">
      <c r="B13" s="2">
        <v>7</v>
      </c>
      <c r="C13" s="1" t="s">
        <v>42</v>
      </c>
      <c r="D13" s="1">
        <v>20</v>
      </c>
      <c r="E13" s="1"/>
    </row>
    <row r="14" spans="1:15" ht="16" x14ac:dyDescent="0.4">
      <c r="B14" s="2">
        <v>8</v>
      </c>
      <c r="C14" s="1" t="s">
        <v>43</v>
      </c>
      <c r="D14" s="1">
        <v>1.4999999999999999E-2</v>
      </c>
      <c r="E14" s="1"/>
    </row>
    <row r="15" spans="1:15" ht="16" x14ac:dyDescent="0.4">
      <c r="B15" s="2">
        <v>9</v>
      </c>
      <c r="C15" s="1" t="s">
        <v>44</v>
      </c>
      <c r="D15" s="1"/>
    </row>
    <row r="16" spans="1:15" ht="16" x14ac:dyDescent="0.4">
      <c r="B16" s="2">
        <v>10</v>
      </c>
      <c r="C16" s="1" t="s">
        <v>45</v>
      </c>
      <c r="D16" s="1"/>
    </row>
    <row r="17" spans="2:6" x14ac:dyDescent="0.35">
      <c r="B17" t="s">
        <v>27</v>
      </c>
      <c r="C17" t="s">
        <v>46</v>
      </c>
      <c r="D17" t="s">
        <v>29</v>
      </c>
    </row>
    <row r="18" spans="2:6" x14ac:dyDescent="0.35">
      <c r="B18">
        <v>1</v>
      </c>
      <c r="C18" t="s">
        <v>47</v>
      </c>
      <c r="D18">
        <f>(D10*D12)+(D11*D9)</f>
        <v>7.8E-2</v>
      </c>
    </row>
    <row r="19" spans="2:6" x14ac:dyDescent="0.35">
      <c r="B19">
        <v>2</v>
      </c>
      <c r="C19" t="s">
        <v>48</v>
      </c>
      <c r="D19">
        <f>(D18*(1+D18)^D13)/((1+D18)^D13-1)</f>
        <v>0.10034103966089436</v>
      </c>
    </row>
    <row r="20" spans="2:6" x14ac:dyDescent="0.35">
      <c r="B20">
        <v>3</v>
      </c>
      <c r="C20" t="s">
        <v>49</v>
      </c>
      <c r="D20">
        <f>D19*D7</f>
        <v>1705797.6742352042</v>
      </c>
    </row>
    <row r="21" spans="2:6" x14ac:dyDescent="0.35">
      <c r="B21">
        <v>4</v>
      </c>
      <c r="C21" t="s">
        <v>50</v>
      </c>
      <c r="D21" s="5">
        <f>D7*(D19+D14)/D8</f>
        <v>9.3371317820723998E-2</v>
      </c>
      <c r="E21" t="s">
        <v>51</v>
      </c>
      <c r="F21" s="3">
        <f>Table213[[#This Row],[Value]]*100</f>
        <v>9.3371317820723991</v>
      </c>
    </row>
    <row r="22" spans="2:6" x14ac:dyDescent="0.35">
      <c r="C22" t="s">
        <v>52</v>
      </c>
      <c r="D22" t="e">
        <f>D15*(D19+D14)/D16</f>
        <v>#DIV/0!</v>
      </c>
    </row>
  </sheetData>
  <mergeCells count="1">
    <mergeCell ref="A4:K4"/>
  </mergeCells>
  <conditionalFormatting sqref="F10">
    <cfRule type="cellIs" dxfId="14" priority="1" operator="equal">
      <formula>1</formula>
    </cfRule>
    <cfRule type="cellIs" dxfId="13" priority="2" operator="greaterThan">
      <formula>1</formula>
    </cfRule>
    <cfRule type="cellIs" dxfId="12" priority="3" operator="lessThan">
      <formula>1</formula>
    </cfRule>
  </conditionalFormatting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D8BB-2BCE-44DB-80F3-42D9606A14FE}">
  <dimension ref="A4:R22"/>
  <sheetViews>
    <sheetView topLeftCell="J1" zoomScale="104" zoomScaleNormal="85" workbookViewId="0">
      <selection activeCell="D13" sqref="D13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  <col min="10" max="10" width="16.453125" bestFit="1" customWidth="1"/>
    <col min="11" max="11" width="17" customWidth="1"/>
    <col min="12" max="12" width="16.81640625" customWidth="1"/>
    <col min="13" max="13" width="18.26953125" customWidth="1"/>
    <col min="15" max="15" width="13.453125" customWidth="1"/>
    <col min="16" max="16" width="14.1796875" customWidth="1"/>
    <col min="17" max="17" width="21.1796875" customWidth="1"/>
    <col min="18" max="18" width="13.453125" customWidth="1"/>
    <col min="21" max="21" width="9.26953125" bestFit="1" customWidth="1"/>
  </cols>
  <sheetData>
    <row r="4" spans="1:18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18" ht="16" x14ac:dyDescent="0.4">
      <c r="B6" s="1" t="s">
        <v>27</v>
      </c>
      <c r="C6" s="1" t="s">
        <v>28</v>
      </c>
      <c r="D6" s="1" t="s">
        <v>29</v>
      </c>
      <c r="E6" s="1"/>
      <c r="J6" t="s">
        <v>59</v>
      </c>
      <c r="O6" t="s">
        <v>60</v>
      </c>
    </row>
    <row r="7" spans="1:18" ht="16" x14ac:dyDescent="0.4">
      <c r="B7" s="2">
        <v>1</v>
      </c>
      <c r="C7" s="1" t="s">
        <v>30</v>
      </c>
      <c r="D7" s="1">
        <v>166138920.34</v>
      </c>
      <c r="E7" s="1"/>
      <c r="J7" t="s">
        <v>61</v>
      </c>
      <c r="K7" t="s">
        <v>62</v>
      </c>
      <c r="L7" t="s">
        <v>63</v>
      </c>
      <c r="M7" t="s">
        <v>64</v>
      </c>
      <c r="O7" t="s">
        <v>61</v>
      </c>
      <c r="P7" t="s">
        <v>62</v>
      </c>
      <c r="Q7" t="s">
        <v>63</v>
      </c>
      <c r="R7" t="s">
        <v>65</v>
      </c>
    </row>
    <row r="8" spans="1:18" ht="16" x14ac:dyDescent="0.4">
      <c r="B8" s="2">
        <v>2</v>
      </c>
      <c r="C8" s="1" t="s">
        <v>31</v>
      </c>
      <c r="D8" s="1">
        <f>176430416</f>
        <v>176430416</v>
      </c>
      <c r="E8" s="1"/>
      <c r="J8">
        <v>70</v>
      </c>
      <c r="K8">
        <v>3.34</v>
      </c>
      <c r="L8">
        <v>166040640.34</v>
      </c>
      <c r="M8">
        <v>174604160</v>
      </c>
      <c r="O8">
        <v>6</v>
      </c>
      <c r="P8">
        <v>3.44</v>
      </c>
      <c r="Q8">
        <v>16341614.279999999</v>
      </c>
      <c r="R8">
        <v>16.600000000000001</v>
      </c>
    </row>
    <row r="9" spans="1:18" ht="16" x14ac:dyDescent="0.4">
      <c r="B9" s="2">
        <v>3</v>
      </c>
      <c r="C9" s="1" t="s">
        <v>33</v>
      </c>
      <c r="D9" s="1">
        <v>0.15</v>
      </c>
      <c r="E9" s="1"/>
      <c r="J9">
        <v>75</v>
      </c>
      <c r="K9">
        <v>2.61</v>
      </c>
      <c r="L9">
        <v>166089780.34</v>
      </c>
      <c r="M9">
        <v>176086144</v>
      </c>
      <c r="O9">
        <v>7</v>
      </c>
      <c r="P9">
        <v>3.27</v>
      </c>
      <c r="Q9">
        <v>16350974.279999999</v>
      </c>
      <c r="R9">
        <v>17.54</v>
      </c>
    </row>
    <row r="10" spans="1:18" ht="16" x14ac:dyDescent="0.4">
      <c r="B10" s="2">
        <v>4</v>
      </c>
      <c r="C10" s="1" t="s">
        <v>36</v>
      </c>
      <c r="D10" s="1">
        <v>0.8</v>
      </c>
      <c r="E10" s="1" t="s">
        <v>37</v>
      </c>
      <c r="F10" s="3">
        <f>Table14[[#This Row],[Value]]+D11</f>
        <v>1</v>
      </c>
      <c r="J10" s="3">
        <v>80</v>
      </c>
      <c r="K10" s="3">
        <v>2.59</v>
      </c>
      <c r="L10" s="3">
        <v>166138920.34</v>
      </c>
      <c r="M10" s="3">
        <v>176430416</v>
      </c>
      <c r="O10" s="3">
        <v>8</v>
      </c>
      <c r="P10" s="3">
        <v>3.23</v>
      </c>
      <c r="Q10" s="3">
        <v>16360334.279999999</v>
      </c>
      <c r="R10" s="3">
        <v>17.75</v>
      </c>
    </row>
    <row r="11" spans="1:18" ht="16" x14ac:dyDescent="0.4">
      <c r="B11" s="2">
        <v>5</v>
      </c>
      <c r="C11" s="1" t="s">
        <v>40</v>
      </c>
      <c r="D11" s="1">
        <v>0.2</v>
      </c>
      <c r="E11" s="1"/>
      <c r="J11">
        <v>90</v>
      </c>
      <c r="K11">
        <v>3.31</v>
      </c>
      <c r="L11">
        <v>166237200.34</v>
      </c>
      <c r="M11">
        <v>176378928</v>
      </c>
      <c r="O11">
        <v>9</v>
      </c>
      <c r="P11">
        <v>3.23</v>
      </c>
      <c r="Q11">
        <v>16369694.279999999</v>
      </c>
      <c r="R11">
        <v>17.748999999999999</v>
      </c>
    </row>
    <row r="12" spans="1:18" ht="16" x14ac:dyDescent="0.4">
      <c r="B12" s="2">
        <v>6</v>
      </c>
      <c r="C12" s="1" t="s">
        <v>41</v>
      </c>
      <c r="D12" s="1">
        <v>0.06</v>
      </c>
      <c r="E12" s="1"/>
      <c r="J12">
        <v>95</v>
      </c>
      <c r="K12">
        <v>3.31</v>
      </c>
      <c r="L12">
        <v>166286340.34</v>
      </c>
      <c r="M12">
        <v>176299568</v>
      </c>
    </row>
    <row r="13" spans="1:18" ht="16" x14ac:dyDescent="0.4">
      <c r="B13" s="2">
        <v>7</v>
      </c>
      <c r="C13" s="1" t="s">
        <v>42</v>
      </c>
      <c r="D13" s="1">
        <v>20</v>
      </c>
      <c r="E13" s="1"/>
    </row>
    <row r="14" spans="1:18" ht="16" x14ac:dyDescent="0.4">
      <c r="B14" s="2">
        <v>8</v>
      </c>
      <c r="C14" s="1" t="s">
        <v>43</v>
      </c>
      <c r="D14" s="1">
        <v>1.4999999999999999E-2</v>
      </c>
      <c r="E14" s="1"/>
      <c r="J14" t="s">
        <v>66</v>
      </c>
      <c r="K14" t="s">
        <v>62</v>
      </c>
      <c r="L14" t="s">
        <v>65</v>
      </c>
    </row>
    <row r="15" spans="1:18" ht="16" x14ac:dyDescent="0.4">
      <c r="B15" s="2">
        <v>9</v>
      </c>
      <c r="C15" s="1" t="s">
        <v>44</v>
      </c>
      <c r="D15" s="1"/>
      <c r="J15">
        <v>15</v>
      </c>
      <c r="K15">
        <v>3.5</v>
      </c>
      <c r="L15">
        <v>166.68</v>
      </c>
    </row>
    <row r="16" spans="1:18" ht="16" x14ac:dyDescent="0.4">
      <c r="B16" s="2">
        <v>10</v>
      </c>
      <c r="C16" s="1" t="s">
        <v>45</v>
      </c>
      <c r="D16" s="1"/>
      <c r="J16">
        <v>20</v>
      </c>
      <c r="K16">
        <v>3.41</v>
      </c>
      <c r="L16">
        <v>170.83</v>
      </c>
    </row>
    <row r="17" spans="2:12" x14ac:dyDescent="0.35">
      <c r="B17" t="s">
        <v>27</v>
      </c>
      <c r="C17" t="s">
        <v>46</v>
      </c>
      <c r="D17" t="s">
        <v>29</v>
      </c>
      <c r="J17">
        <v>25</v>
      </c>
      <c r="K17">
        <v>3.35</v>
      </c>
      <c r="L17">
        <v>173.83</v>
      </c>
    </row>
    <row r="18" spans="2:12" x14ac:dyDescent="0.35">
      <c r="B18">
        <v>1</v>
      </c>
      <c r="C18" t="s">
        <v>47</v>
      </c>
      <c r="D18">
        <f>(D10*D12)+(D11*D9)</f>
        <v>7.8E-2</v>
      </c>
      <c r="J18">
        <v>30</v>
      </c>
      <c r="K18">
        <v>3.32</v>
      </c>
      <c r="L18">
        <v>175.69</v>
      </c>
    </row>
    <row r="19" spans="2:12" x14ac:dyDescent="0.35">
      <c r="B19">
        <v>2</v>
      </c>
      <c r="C19" t="s">
        <v>48</v>
      </c>
      <c r="D19">
        <f>(D18*(1+D18)^D13)/((1+D18)^D13-1)</f>
        <v>0.10034103966089436</v>
      </c>
      <c r="J19" s="3">
        <v>35</v>
      </c>
      <c r="K19" s="3">
        <v>3.3</v>
      </c>
      <c r="L19" s="3">
        <v>176.43</v>
      </c>
    </row>
    <row r="20" spans="2:12" x14ac:dyDescent="0.35">
      <c r="B20">
        <v>3</v>
      </c>
      <c r="C20" t="s">
        <v>49</v>
      </c>
      <c r="D20">
        <f>D19*D7</f>
        <v>16670551.995054109</v>
      </c>
      <c r="J20">
        <v>40</v>
      </c>
      <c r="K20">
        <v>3.31</v>
      </c>
      <c r="L20">
        <v>176.03</v>
      </c>
    </row>
    <row r="21" spans="2:12" x14ac:dyDescent="0.35">
      <c r="B21">
        <v>4</v>
      </c>
      <c r="C21" t="s">
        <v>67</v>
      </c>
      <c r="D21">
        <f>D7*(D19+D14)/D8</f>
        <v>0.10861299448590604</v>
      </c>
      <c r="E21" t="s">
        <v>51</v>
      </c>
      <c r="F21" s="3">
        <f>Table25[[#This Row],[Value]]*100</f>
        <v>10.861299448590604</v>
      </c>
    </row>
    <row r="22" spans="2:12" x14ac:dyDescent="0.35">
      <c r="C22" t="s">
        <v>52</v>
      </c>
      <c r="D22" t="e">
        <f>D15*(D19+D14)/D16</f>
        <v>#DIV/0!</v>
      </c>
    </row>
  </sheetData>
  <mergeCells count="1">
    <mergeCell ref="A4:K4"/>
  </mergeCells>
  <conditionalFormatting sqref="F10">
    <cfRule type="cellIs" dxfId="11" priority="1" operator="equal">
      <formula>1</formula>
    </cfRule>
    <cfRule type="cellIs" dxfId="10" priority="2" operator="greaterThan">
      <formula>1</formula>
    </cfRule>
    <cfRule type="cellIs" dxfId="9" priority="3" operator="lessThan">
      <formula>1</formula>
    </cfRule>
  </conditionalFormatting>
  <pageMargins left="0.7" right="0.7" top="0.75" bottom="0.75" header="0.3" footer="0.3"/>
  <drawing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B61-5E33-40C9-AD99-B63C4A256D85}">
  <dimension ref="A4:R22"/>
  <sheetViews>
    <sheetView topLeftCell="J2" zoomScale="103" zoomScaleNormal="85" workbookViewId="0">
      <selection activeCell="M16" sqref="M16"/>
    </sheetView>
  </sheetViews>
  <sheetFormatPr defaultRowHeight="14.5" x14ac:dyDescent="0.35"/>
  <cols>
    <col min="1" max="1" width="8.7265625" customWidth="1"/>
    <col min="2" max="2" width="10.26953125" customWidth="1"/>
    <col min="3" max="3" width="58.1796875" customWidth="1"/>
    <col min="4" max="4" width="64.453125" customWidth="1"/>
    <col min="5" max="5" width="23.1796875" bestFit="1" customWidth="1"/>
    <col min="10" max="10" width="37.453125" bestFit="1" customWidth="1"/>
    <col min="11" max="11" width="17" customWidth="1"/>
    <col min="12" max="12" width="16.81640625" customWidth="1"/>
    <col min="13" max="13" width="18.26953125" customWidth="1"/>
    <col min="15" max="15" width="13.453125" customWidth="1"/>
    <col min="16" max="16" width="14.1796875" customWidth="1"/>
    <col min="17" max="17" width="21.1796875" customWidth="1"/>
    <col min="18" max="18" width="13.453125" customWidth="1"/>
    <col min="21" max="21" width="9.26953125" bestFit="1" customWidth="1"/>
  </cols>
  <sheetData>
    <row r="4" spans="1:18" ht="18.5" x14ac:dyDescent="0.45">
      <c r="A4" s="81" t="s">
        <v>26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6" spans="1:18" ht="16" x14ac:dyDescent="0.4">
      <c r="B6" s="1" t="s">
        <v>27</v>
      </c>
      <c r="C6" s="1" t="s">
        <v>28</v>
      </c>
      <c r="D6" s="1" t="s">
        <v>29</v>
      </c>
      <c r="E6" s="1"/>
      <c r="J6" s="83" t="s">
        <v>59</v>
      </c>
      <c r="K6" s="83"/>
      <c r="L6" s="83"/>
      <c r="M6" s="83"/>
      <c r="O6" t="s">
        <v>60</v>
      </c>
    </row>
    <row r="7" spans="1:18" ht="16" x14ac:dyDescent="0.4">
      <c r="B7" s="2">
        <v>1</v>
      </c>
      <c r="C7" s="1" t="s">
        <v>30</v>
      </c>
      <c r="D7" s="1">
        <v>174917839.02000001</v>
      </c>
      <c r="E7" s="1"/>
      <c r="J7" t="s">
        <v>68</v>
      </c>
      <c r="K7" t="s">
        <v>62</v>
      </c>
      <c r="L7" t="s">
        <v>63</v>
      </c>
      <c r="M7" t="s">
        <v>64</v>
      </c>
      <c r="O7" t="s">
        <v>61</v>
      </c>
      <c r="P7" t="s">
        <v>62</v>
      </c>
      <c r="Q7" t="s">
        <v>63</v>
      </c>
      <c r="R7" t="s">
        <v>65</v>
      </c>
    </row>
    <row r="8" spans="1:18" ht="16" x14ac:dyDescent="0.4">
      <c r="B8" s="2">
        <v>2</v>
      </c>
      <c r="C8" s="1" t="s">
        <v>31</v>
      </c>
      <c r="D8" s="1">
        <v>191347184</v>
      </c>
      <c r="E8" s="1"/>
      <c r="J8">
        <v>70</v>
      </c>
      <c r="K8">
        <v>3.21</v>
      </c>
      <c r="O8">
        <v>6</v>
      </c>
      <c r="P8">
        <v>3.4</v>
      </c>
    </row>
    <row r="9" spans="1:18" ht="16" x14ac:dyDescent="0.4">
      <c r="B9" s="50">
        <v>3</v>
      </c>
      <c r="C9" s="45" t="s">
        <v>33</v>
      </c>
      <c r="D9" s="45">
        <v>0.15</v>
      </c>
      <c r="E9" s="1"/>
      <c r="J9" s="3">
        <v>75</v>
      </c>
      <c r="K9" s="3">
        <v>3.19</v>
      </c>
      <c r="O9">
        <v>7</v>
      </c>
      <c r="P9">
        <v>3.22</v>
      </c>
    </row>
    <row r="10" spans="1:18" ht="16" x14ac:dyDescent="0.4">
      <c r="B10" s="50">
        <v>4</v>
      </c>
      <c r="C10" s="45" t="s">
        <v>36</v>
      </c>
      <c r="D10" s="45">
        <v>0.8</v>
      </c>
      <c r="E10" s="1" t="s">
        <v>37</v>
      </c>
      <c r="F10" s="3">
        <f>Table1417[[#This Row],[Value]]+D11</f>
        <v>1</v>
      </c>
      <c r="J10">
        <v>80</v>
      </c>
      <c r="K10">
        <v>3.19</v>
      </c>
      <c r="L10" s="3"/>
      <c r="M10" s="3"/>
      <c r="O10" s="3">
        <v>8</v>
      </c>
      <c r="P10" s="3">
        <v>3.19</v>
      </c>
      <c r="Q10" s="3"/>
      <c r="R10" s="3"/>
    </row>
    <row r="11" spans="1:18" ht="16" x14ac:dyDescent="0.4">
      <c r="B11" s="50">
        <v>5</v>
      </c>
      <c r="C11" s="45" t="s">
        <v>40</v>
      </c>
      <c r="D11" s="45">
        <v>0.2</v>
      </c>
      <c r="E11" s="1"/>
      <c r="J11">
        <v>90</v>
      </c>
      <c r="K11">
        <v>3.2</v>
      </c>
      <c r="O11">
        <v>9</v>
      </c>
      <c r="P11">
        <v>3.2</v>
      </c>
    </row>
    <row r="12" spans="1:18" ht="16" x14ac:dyDescent="0.4">
      <c r="B12" s="50">
        <v>6</v>
      </c>
      <c r="C12" s="45" t="s">
        <v>41</v>
      </c>
      <c r="D12" s="45">
        <v>0.06</v>
      </c>
      <c r="E12" s="1"/>
      <c r="J12">
        <v>95</v>
      </c>
      <c r="K12">
        <v>3.21</v>
      </c>
    </row>
    <row r="13" spans="1:18" ht="16" x14ac:dyDescent="0.4">
      <c r="B13" s="50">
        <v>7</v>
      </c>
      <c r="C13" s="45" t="s">
        <v>42</v>
      </c>
      <c r="D13" s="45">
        <v>20</v>
      </c>
      <c r="E13" s="1"/>
    </row>
    <row r="14" spans="1:18" ht="16" x14ac:dyDescent="0.4">
      <c r="B14" s="50">
        <v>8</v>
      </c>
      <c r="C14" s="45" t="s">
        <v>43</v>
      </c>
      <c r="D14" s="45">
        <v>1.4999999999999999E-2</v>
      </c>
      <c r="E14" s="1"/>
      <c r="J14" t="s">
        <v>66</v>
      </c>
      <c r="K14" t="s">
        <v>62</v>
      </c>
      <c r="L14" t="s">
        <v>65</v>
      </c>
    </row>
    <row r="15" spans="1:18" ht="16" x14ac:dyDescent="0.4">
      <c r="B15" s="2">
        <v>9</v>
      </c>
      <c r="C15" s="1" t="s">
        <v>44</v>
      </c>
      <c r="D15" s="1"/>
      <c r="J15">
        <v>15</v>
      </c>
      <c r="K15">
        <v>3.3</v>
      </c>
      <c r="L15">
        <v>185.49</v>
      </c>
    </row>
    <row r="16" spans="1:18" ht="16" x14ac:dyDescent="0.4">
      <c r="B16" s="2">
        <v>10</v>
      </c>
      <c r="C16" s="1" t="s">
        <v>45</v>
      </c>
      <c r="D16" s="1"/>
      <c r="J16">
        <v>20</v>
      </c>
      <c r="K16">
        <v>3.25</v>
      </c>
      <c r="L16">
        <v>188.74</v>
      </c>
    </row>
    <row r="17" spans="2:12" x14ac:dyDescent="0.35">
      <c r="B17" t="s">
        <v>27</v>
      </c>
      <c r="C17" t="s">
        <v>46</v>
      </c>
      <c r="D17" t="s">
        <v>29</v>
      </c>
      <c r="J17">
        <v>25</v>
      </c>
      <c r="K17">
        <v>3.21</v>
      </c>
      <c r="L17">
        <v>190.76</v>
      </c>
    </row>
    <row r="18" spans="2:12" x14ac:dyDescent="0.35">
      <c r="B18">
        <v>1</v>
      </c>
      <c r="C18" t="s">
        <v>47</v>
      </c>
      <c r="D18">
        <f>(D10*D12)+(D11*D9)</f>
        <v>7.8E-2</v>
      </c>
      <c r="J18">
        <v>27</v>
      </c>
      <c r="K18">
        <v>3.2</v>
      </c>
      <c r="L18">
        <v>191.23</v>
      </c>
    </row>
    <row r="19" spans="2:12" x14ac:dyDescent="0.35">
      <c r="B19">
        <v>2</v>
      </c>
      <c r="C19" t="s">
        <v>48</v>
      </c>
      <c r="D19">
        <f>(D18*(1+D18)^D13)/((1+D18)^D13-1)</f>
        <v>0.10034103966089436</v>
      </c>
      <c r="J19" s="3">
        <v>30</v>
      </c>
      <c r="K19" s="3">
        <v>3.2</v>
      </c>
      <c r="L19" s="3">
        <v>191.56</v>
      </c>
    </row>
    <row r="20" spans="2:12" x14ac:dyDescent="0.35">
      <c r="B20">
        <v>3</v>
      </c>
      <c r="C20" t="s">
        <v>49</v>
      </c>
      <c r="D20">
        <f>D19*D7</f>
        <v>17551437.822503757</v>
      </c>
      <c r="J20">
        <v>32</v>
      </c>
      <c r="K20">
        <v>3.2</v>
      </c>
      <c r="L20">
        <v>191.53</v>
      </c>
    </row>
    <row r="21" spans="2:12" x14ac:dyDescent="0.35">
      <c r="B21">
        <v>4</v>
      </c>
      <c r="C21" t="s">
        <v>67</v>
      </c>
      <c r="D21">
        <f>D7*(D19+D14)/D8</f>
        <v>0.10543769177080628</v>
      </c>
      <c r="E21" t="s">
        <v>51</v>
      </c>
      <c r="F21" s="3">
        <f>Table2518[[#This Row],[Value]]*100</f>
        <v>10.543769177080629</v>
      </c>
      <c r="J21">
        <v>35</v>
      </c>
      <c r="K21">
        <v>3.21</v>
      </c>
      <c r="L21">
        <v>191.13</v>
      </c>
    </row>
    <row r="22" spans="2:12" x14ac:dyDescent="0.35">
      <c r="C22" t="s">
        <v>52</v>
      </c>
      <c r="D22" t="e">
        <f>D15*(D19+D14)/D16</f>
        <v>#DIV/0!</v>
      </c>
    </row>
  </sheetData>
  <mergeCells count="2">
    <mergeCell ref="A4:K4"/>
    <mergeCell ref="J6:M6"/>
  </mergeCells>
  <conditionalFormatting sqref="F10">
    <cfRule type="cellIs" dxfId="8" priority="1" operator="equal">
      <formula>1</formula>
    </cfRule>
    <cfRule type="cellIs" dxfId="7" priority="2" operator="greaterThan">
      <formula>1</formula>
    </cfRule>
    <cfRule type="cellIs" dxfId="6" priority="3" operator="lessThan">
      <formula>1</formula>
    </cfRule>
  </conditionalFormatting>
  <pageMargins left="0.7" right="0.7" top="0.75" bottom="0.75" header="0.3" footer="0.3"/>
  <drawing r:id="rId1"/>
  <legacy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21ea51-0d3f-4574-ae76-a60ba71c534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A4D4632369F747A60899C085D7AF5E" ma:contentTypeVersion="5" ma:contentTypeDescription="Ein neues Dokument erstellen." ma:contentTypeScope="" ma:versionID="e239ed62c558331d8d1f8f9e465b39a6">
  <xsd:schema xmlns:xsd="http://www.w3.org/2001/XMLSchema" xmlns:xs="http://www.w3.org/2001/XMLSchema" xmlns:p="http://schemas.microsoft.com/office/2006/metadata/properties" xmlns:ns3="9b21ea51-0d3f-4574-ae76-a60ba71c5341" targetNamespace="http://schemas.microsoft.com/office/2006/metadata/properties" ma:root="true" ma:fieldsID="4ac559c013ad39804cd93991a25f0bc7" ns3:_="">
    <xsd:import namespace="9b21ea51-0d3f-4574-ae76-a60ba71c53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ea51-0d3f-4574-ae76-a60ba71c53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376345-F6A7-45DB-A26E-B6B328F6CB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EC4E61-2E08-4F5E-AA31-DF31493CE28B}">
  <ds:schemaRefs>
    <ds:schemaRef ds:uri="http://schemas.microsoft.com/office/2006/metadata/properties"/>
    <ds:schemaRef ds:uri="http://schemas.microsoft.com/office/infopath/2007/PartnerControls"/>
    <ds:schemaRef ds:uri="9b21ea51-0d3f-4574-ae76-a60ba71c5341"/>
  </ds:schemaRefs>
</ds:datastoreItem>
</file>

<file path=customXml/itemProps3.xml><?xml version="1.0" encoding="utf-8"?>
<ds:datastoreItem xmlns:ds="http://schemas.openxmlformats.org/officeDocument/2006/customXml" ds:itemID="{D9E3BAFC-D2D4-4038-9AEC-AE7A49E367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21ea51-0d3f-4574-ae76-a60ba71c53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Labor Solarkollektormessung</vt:lpstr>
      <vt:lpstr>csp Assuna</vt:lpstr>
      <vt:lpstr>Sample</vt:lpstr>
      <vt:lpstr>Asuna PV 200</vt:lpstr>
      <vt:lpstr>Asuna PV  100</vt:lpstr>
      <vt:lpstr>Asuna PV 50</vt:lpstr>
      <vt:lpstr>Asuna PV 10</vt:lpstr>
      <vt:lpstr>Dodge_city</vt:lpstr>
      <vt:lpstr>San_Diego</vt:lpstr>
      <vt:lpstr>WP Veruch</vt:lpstr>
      <vt:lpstr>Solarkollektormessung</vt:lpstr>
      <vt:lpstr>Madinat Zayed_CSP</vt:lpstr>
      <vt:lpstr>Madinat Zayed</vt:lpstr>
      <vt:lpstr>Finanzierungsmodelle (2)</vt:lpstr>
      <vt:lpstr>Finanzierungsmodelle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night lovera</dc:creator>
  <cp:keywords/>
  <dc:description/>
  <cp:lastModifiedBy>Night Lovera</cp:lastModifiedBy>
  <cp:revision/>
  <dcterms:created xsi:type="dcterms:W3CDTF">2024-04-07T21:49:47Z</dcterms:created>
  <dcterms:modified xsi:type="dcterms:W3CDTF">2024-06-15T10:36:37Z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0x010100C9A4D4632369F747A60899C085D7AF5E</vt:lpwstr>
  </property>
</Properties>
</file>