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40" windowHeight="1380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D28" i="5" l="1"/>
  <c r="D22" i="5" l="1"/>
  <c r="D21" i="5"/>
  <c r="J9" i="5"/>
  <c r="J37" i="5"/>
  <c r="J23" i="5"/>
  <c r="D23" i="5"/>
  <c r="D9" i="5"/>
  <c r="K43" i="5"/>
  <c r="K42" i="5"/>
  <c r="K41" i="5"/>
  <c r="K40" i="5"/>
  <c r="K39" i="5"/>
  <c r="K37" i="5"/>
  <c r="K36" i="5"/>
  <c r="J36" i="5"/>
  <c r="K35" i="5"/>
  <c r="J35" i="5"/>
  <c r="E36" i="5"/>
  <c r="E35" i="5"/>
  <c r="E34" i="5"/>
  <c r="E33" i="5"/>
  <c r="E32" i="5"/>
  <c r="E31" i="5"/>
  <c r="E37" i="5" s="1"/>
  <c r="E30" i="5"/>
  <c r="E29" i="5"/>
  <c r="E26" i="5"/>
  <c r="D37" i="5" s="1"/>
  <c r="K29" i="5"/>
  <c r="K28" i="5"/>
  <c r="K27" i="5"/>
  <c r="K26" i="5"/>
  <c r="K25" i="5"/>
  <c r="K23" i="5"/>
  <c r="K22" i="5"/>
  <c r="J22" i="5"/>
  <c r="K21" i="5"/>
  <c r="J21" i="5"/>
  <c r="E23" i="5"/>
  <c r="E22" i="5"/>
  <c r="E21" i="5"/>
  <c r="K14" i="5"/>
  <c r="K13" i="5"/>
  <c r="K12" i="5"/>
  <c r="K11" i="5"/>
  <c r="K10" i="5"/>
  <c r="K9" i="5"/>
  <c r="K15" i="5" s="1"/>
  <c r="K8" i="5"/>
  <c r="K7" i="5"/>
  <c r="K4" i="5"/>
  <c r="J13" i="5" s="1"/>
  <c r="E15" i="5"/>
  <c r="E14" i="5"/>
  <c r="E13" i="5"/>
  <c r="E12" i="5"/>
  <c r="E11" i="5"/>
  <c r="E9" i="5"/>
  <c r="E7" i="5"/>
  <c r="E8" i="5"/>
  <c r="D8" i="5"/>
  <c r="D7" i="5"/>
  <c r="J6" i="5" l="1"/>
  <c r="J14" i="5"/>
  <c r="J15" i="5"/>
  <c r="J10" i="5"/>
  <c r="D32" i="5"/>
  <c r="D36" i="5"/>
  <c r="D30" i="5"/>
  <c r="D34" i="5"/>
  <c r="D29" i="5"/>
  <c r="D31" i="5"/>
  <c r="D33" i="5"/>
  <c r="D35" i="5"/>
  <c r="J7" i="5"/>
  <c r="J11" i="5"/>
  <c r="J8" i="5"/>
  <c r="J12" i="5"/>
  <c r="W38" i="4"/>
  <c r="W37" i="4"/>
  <c r="W36" i="4"/>
  <c r="W35" i="4"/>
  <c r="W34" i="4"/>
  <c r="W33" i="4"/>
  <c r="W32" i="4"/>
  <c r="W31" i="4"/>
  <c r="W30" i="4"/>
  <c r="V30" i="4"/>
  <c r="W29" i="4"/>
  <c r="V29" i="4"/>
  <c r="W26" i="4"/>
  <c r="V26" i="4"/>
  <c r="Q38" i="4"/>
  <c r="Q37" i="4"/>
  <c r="Q36" i="4"/>
  <c r="Q35" i="4"/>
  <c r="Q34" i="4"/>
  <c r="Q33" i="4"/>
  <c r="Q32" i="4"/>
  <c r="Q31" i="4"/>
  <c r="Q30" i="4"/>
  <c r="P30" i="4"/>
  <c r="Q29" i="4"/>
  <c r="P29" i="4"/>
  <c r="Q26" i="4"/>
  <c r="P26" i="4"/>
  <c r="W19" i="4"/>
  <c r="Q19" i="4"/>
  <c r="W18" i="4"/>
  <c r="Q18" i="4"/>
  <c r="W17" i="4"/>
  <c r="Q17" i="4"/>
  <c r="W16" i="4"/>
  <c r="Q16" i="4"/>
  <c r="W15" i="4"/>
  <c r="Q15" i="4"/>
  <c r="W14" i="4"/>
  <c r="Q14" i="4"/>
  <c r="W13" i="4"/>
  <c r="Q13" i="4"/>
  <c r="W12" i="4"/>
  <c r="Q12" i="4"/>
  <c r="W11" i="4"/>
  <c r="V11" i="4"/>
  <c r="Q11" i="4"/>
  <c r="P11" i="4"/>
  <c r="W10" i="4"/>
  <c r="V10" i="4"/>
  <c r="Q10" i="4"/>
  <c r="P10" i="4"/>
  <c r="W7" i="4"/>
  <c r="V7" i="4"/>
  <c r="Q7" i="4"/>
  <c r="P7" i="4"/>
  <c r="D154" i="4" l="1"/>
  <c r="J116" i="4"/>
  <c r="E224" i="4"/>
  <c r="D224" i="4"/>
  <c r="E223" i="4"/>
  <c r="D223" i="4"/>
  <c r="E222" i="4"/>
  <c r="D222" i="4"/>
  <c r="E221" i="4"/>
  <c r="D221" i="4"/>
  <c r="K206" i="4"/>
  <c r="J206" i="4"/>
  <c r="K205" i="4"/>
  <c r="J205" i="4"/>
  <c r="K204" i="4"/>
  <c r="J204" i="4"/>
  <c r="K203" i="4"/>
  <c r="J203" i="4"/>
  <c r="D187" i="4"/>
  <c r="J188" i="4"/>
  <c r="J197" i="4"/>
  <c r="D206" i="4"/>
  <c r="E206" i="4"/>
  <c r="E205" i="4"/>
  <c r="D205" i="4"/>
  <c r="E204" i="4"/>
  <c r="D204" i="4"/>
  <c r="E203" i="4"/>
  <c r="D203" i="4"/>
  <c r="K197" i="4"/>
  <c r="K196" i="4"/>
  <c r="J196" i="4"/>
  <c r="K195" i="4"/>
  <c r="J195" i="4"/>
  <c r="K194" i="4"/>
  <c r="J194" i="4"/>
  <c r="D197" i="4"/>
  <c r="E197" i="4"/>
  <c r="E196" i="4"/>
  <c r="D196" i="4"/>
  <c r="E195" i="4"/>
  <c r="D195" i="4"/>
  <c r="E194" i="4"/>
  <c r="D194" i="4"/>
  <c r="E193" i="4"/>
  <c r="D193" i="4"/>
  <c r="K188" i="4"/>
  <c r="K187" i="4"/>
  <c r="J187" i="4"/>
  <c r="K186" i="4"/>
  <c r="J186" i="4"/>
  <c r="K185" i="4"/>
  <c r="J185" i="4"/>
  <c r="E187" i="4"/>
  <c r="E186" i="4"/>
  <c r="D186" i="4"/>
  <c r="E185" i="4"/>
  <c r="D185" i="4"/>
  <c r="E184" i="4"/>
  <c r="D184" i="4"/>
  <c r="J171" i="4"/>
  <c r="K171" i="4"/>
  <c r="K170" i="4"/>
  <c r="J170" i="4"/>
  <c r="K169" i="4"/>
  <c r="J169" i="4"/>
  <c r="K168" i="4"/>
  <c r="J168" i="4"/>
  <c r="K167" i="4"/>
  <c r="J167" i="4"/>
  <c r="E170" i="4"/>
  <c r="D170" i="4"/>
  <c r="E169" i="4"/>
  <c r="D169" i="4"/>
  <c r="E168" i="4"/>
  <c r="D168" i="4"/>
  <c r="E167" i="4"/>
  <c r="D167" i="4"/>
  <c r="E154" i="4"/>
  <c r="E153" i="4"/>
  <c r="D153" i="4"/>
  <c r="E152" i="4"/>
  <c r="D152" i="4"/>
  <c r="E151" i="4"/>
  <c r="D151" i="4"/>
  <c r="K144" i="4"/>
  <c r="J144" i="4"/>
  <c r="K143" i="4"/>
  <c r="J143" i="4"/>
  <c r="K142" i="4"/>
  <c r="J142" i="4"/>
  <c r="K141" i="4"/>
  <c r="J141" i="4"/>
  <c r="E145" i="4"/>
  <c r="E143" i="4"/>
  <c r="E142" i="4"/>
  <c r="E140" i="4"/>
  <c r="E139" i="4"/>
  <c r="E138" i="4"/>
  <c r="E137" i="4"/>
  <c r="E136" i="4"/>
  <c r="E135" i="4"/>
  <c r="E134" i="4"/>
  <c r="E133" i="4"/>
  <c r="E144" i="4" s="1"/>
  <c r="E132" i="4"/>
  <c r="E141" i="4" s="1"/>
  <c r="E131" i="4"/>
  <c r="E128" i="4"/>
  <c r="D134" i="4" s="1"/>
  <c r="K134" i="4"/>
  <c r="K133" i="4"/>
  <c r="K131" i="4"/>
  <c r="K130" i="4"/>
  <c r="K129" i="4"/>
  <c r="K128" i="4"/>
  <c r="K127" i="4"/>
  <c r="K126" i="4"/>
  <c r="K125" i="4"/>
  <c r="K124" i="4"/>
  <c r="K135" i="4" s="1"/>
  <c r="K123" i="4"/>
  <c r="K132" i="4" s="1"/>
  <c r="K122" i="4"/>
  <c r="K119" i="4"/>
  <c r="J121" i="4" s="1"/>
  <c r="K116" i="4"/>
  <c r="K115" i="4"/>
  <c r="J115" i="4"/>
  <c r="K114" i="4"/>
  <c r="J114" i="4"/>
  <c r="K113" i="4"/>
  <c r="J113" i="4"/>
  <c r="E116" i="4"/>
  <c r="D116" i="4"/>
  <c r="E115" i="4"/>
  <c r="D115" i="4"/>
  <c r="E114" i="4"/>
  <c r="D114" i="4"/>
  <c r="E113" i="4"/>
  <c r="D113" i="4"/>
  <c r="D27" i="2"/>
  <c r="K89" i="4"/>
  <c r="K83" i="4"/>
  <c r="K92" i="4"/>
  <c r="K95" i="4" s="1"/>
  <c r="K90" i="4"/>
  <c r="J90" i="4"/>
  <c r="J89" i="4"/>
  <c r="K88" i="4"/>
  <c r="J88" i="4"/>
  <c r="K87" i="4"/>
  <c r="J87" i="4"/>
  <c r="K86" i="4"/>
  <c r="J86" i="4"/>
  <c r="J83" i="4"/>
  <c r="K82" i="4"/>
  <c r="J82" i="4"/>
  <c r="K81" i="4"/>
  <c r="J81" i="4"/>
  <c r="E92" i="4"/>
  <c r="E96" i="4" s="1"/>
  <c r="E90" i="4"/>
  <c r="D90" i="4"/>
  <c r="E89" i="4"/>
  <c r="D89" i="4"/>
  <c r="E88" i="4"/>
  <c r="D88" i="4"/>
  <c r="E87" i="4"/>
  <c r="D87" i="4"/>
  <c r="E86" i="4"/>
  <c r="D86" i="4"/>
  <c r="E83" i="4"/>
  <c r="D83" i="4"/>
  <c r="E82" i="4"/>
  <c r="D82" i="4"/>
  <c r="E81" i="4"/>
  <c r="D81" i="4"/>
  <c r="K69" i="4"/>
  <c r="K72" i="4" s="1"/>
  <c r="K67" i="4"/>
  <c r="J67" i="4"/>
  <c r="K66" i="4"/>
  <c r="J66" i="4"/>
  <c r="K65" i="4"/>
  <c r="J65" i="4"/>
  <c r="K64" i="4"/>
  <c r="J64" i="4"/>
  <c r="K61" i="4"/>
  <c r="J61" i="4"/>
  <c r="K60" i="4"/>
  <c r="J60" i="4"/>
  <c r="K59" i="4"/>
  <c r="J59" i="4"/>
  <c r="J35" i="4"/>
  <c r="D67" i="4"/>
  <c r="D66" i="4"/>
  <c r="E64" i="4"/>
  <c r="D64" i="4"/>
  <c r="D65" i="4"/>
  <c r="E65" i="4"/>
  <c r="E66" i="4"/>
  <c r="E69" i="4"/>
  <c r="E73" i="4" s="1"/>
  <c r="E67" i="4"/>
  <c r="E61" i="4"/>
  <c r="D61" i="4"/>
  <c r="E60" i="4"/>
  <c r="D60" i="4"/>
  <c r="E59" i="4"/>
  <c r="D59" i="4"/>
  <c r="E38" i="4"/>
  <c r="E37" i="4"/>
  <c r="E36" i="4"/>
  <c r="E35" i="4"/>
  <c r="E34" i="4"/>
  <c r="E33" i="4"/>
  <c r="E32" i="4"/>
  <c r="E31" i="4"/>
  <c r="E30" i="4"/>
  <c r="D30" i="4"/>
  <c r="E29" i="4"/>
  <c r="D29" i="4"/>
  <c r="E26" i="4"/>
  <c r="D26" i="4"/>
  <c r="K19" i="4"/>
  <c r="K18" i="4"/>
  <c r="K17" i="4"/>
  <c r="K16" i="4"/>
  <c r="K15" i="4"/>
  <c r="K14" i="4"/>
  <c r="K13" i="4"/>
  <c r="K12" i="4"/>
  <c r="K11" i="4"/>
  <c r="J11" i="4"/>
  <c r="K10" i="4"/>
  <c r="J10" i="4"/>
  <c r="K7" i="4"/>
  <c r="J7" i="4"/>
  <c r="E19" i="4"/>
  <c r="E18" i="4"/>
  <c r="E17" i="4"/>
  <c r="E16" i="4"/>
  <c r="E15" i="4"/>
  <c r="E14" i="4"/>
  <c r="E13" i="4"/>
  <c r="E12" i="4"/>
  <c r="E11" i="4"/>
  <c r="D11" i="4"/>
  <c r="D10" i="4"/>
  <c r="E10" i="4"/>
  <c r="E7" i="4"/>
  <c r="D7" i="4"/>
  <c r="J28" i="4"/>
  <c r="K26" i="4"/>
  <c r="K28" i="4"/>
  <c r="K27" i="4"/>
  <c r="J27" i="4"/>
  <c r="J26" i="4"/>
  <c r="J34" i="4"/>
  <c r="J33" i="4"/>
  <c r="J32" i="4"/>
  <c r="J31" i="4"/>
  <c r="D132" i="4" l="1"/>
  <c r="D136" i="4"/>
  <c r="D138" i="4"/>
  <c r="D140" i="4"/>
  <c r="D142" i="4"/>
  <c r="D144" i="4"/>
  <c r="D130" i="4"/>
  <c r="D131" i="4"/>
  <c r="D133" i="4"/>
  <c r="D135" i="4"/>
  <c r="D137" i="4"/>
  <c r="D139" i="4"/>
  <c r="D141" i="4"/>
  <c r="D143" i="4"/>
  <c r="J122" i="4"/>
  <c r="J126" i="4"/>
  <c r="J130" i="4"/>
  <c r="J132" i="4"/>
  <c r="J134" i="4"/>
  <c r="J123" i="4"/>
  <c r="J125" i="4"/>
  <c r="J127" i="4"/>
  <c r="J129" i="4"/>
  <c r="J131" i="4"/>
  <c r="J133" i="4"/>
  <c r="J135" i="4"/>
  <c r="J124" i="4"/>
  <c r="J128" i="4"/>
  <c r="K96" i="4"/>
  <c r="K93" i="4"/>
  <c r="K97" i="4"/>
  <c r="K94" i="4"/>
  <c r="K98" i="4"/>
  <c r="E97" i="4"/>
  <c r="E93" i="4"/>
  <c r="E94" i="4"/>
  <c r="E98" i="4"/>
  <c r="E95" i="4"/>
  <c r="K73" i="4"/>
  <c r="K70" i="4"/>
  <c r="K74" i="4"/>
  <c r="K71" i="4"/>
  <c r="K75" i="4"/>
  <c r="E75" i="4"/>
  <c r="E71" i="4"/>
  <c r="E74" i="4"/>
  <c r="E70" i="4"/>
  <c r="E72" i="4"/>
  <c r="K33" i="4"/>
  <c r="K31" i="4"/>
  <c r="K37" i="4"/>
  <c r="K40" i="4" s="1"/>
  <c r="K35" i="4"/>
  <c r="K34" i="4"/>
  <c r="K32" i="4"/>
  <c r="K41" i="4" l="1"/>
  <c r="K38" i="4"/>
  <c r="K42" i="4"/>
  <c r="K39" i="4"/>
  <c r="K43" i="4"/>
  <c r="J30" i="2"/>
  <c r="D30" i="2"/>
  <c r="E149" i="2"/>
  <c r="D149" i="2"/>
  <c r="E148" i="2"/>
  <c r="D148" i="2"/>
  <c r="E147" i="2"/>
  <c r="D147" i="2"/>
  <c r="E146" i="2"/>
  <c r="D146" i="2"/>
  <c r="E145" i="2"/>
  <c r="D145" i="2"/>
  <c r="K139" i="2"/>
  <c r="J139" i="2"/>
  <c r="K138" i="2"/>
  <c r="J138" i="2"/>
  <c r="K137" i="2"/>
  <c r="J137" i="2"/>
  <c r="K136" i="2"/>
  <c r="J136" i="2"/>
  <c r="K135" i="2"/>
  <c r="J135" i="2"/>
  <c r="D136" i="2"/>
  <c r="D135" i="2"/>
  <c r="E139" i="2"/>
  <c r="D139" i="2"/>
  <c r="E138" i="2"/>
  <c r="D138" i="2"/>
  <c r="E137" i="2"/>
  <c r="D137" i="2"/>
  <c r="E136" i="2"/>
  <c r="E135" i="2"/>
  <c r="K129" i="2"/>
  <c r="K127" i="2"/>
  <c r="J127" i="2"/>
  <c r="K126" i="2"/>
  <c r="J125" i="2"/>
  <c r="K124" i="2"/>
  <c r="K123" i="2"/>
  <c r="J123" i="2"/>
  <c r="K122" i="2"/>
  <c r="K121" i="2"/>
  <c r="J121" i="2"/>
  <c r="K120" i="2"/>
  <c r="K119" i="2"/>
  <c r="J119" i="2"/>
  <c r="K118" i="2"/>
  <c r="K117" i="2"/>
  <c r="K128" i="2" s="1"/>
  <c r="J117" i="2"/>
  <c r="K116" i="2"/>
  <c r="K125" i="2" s="1"/>
  <c r="K115" i="2"/>
  <c r="J115" i="2"/>
  <c r="K112" i="2"/>
  <c r="J114" i="2" s="1"/>
  <c r="D129" i="2"/>
  <c r="E127" i="2"/>
  <c r="E128" i="2" s="1"/>
  <c r="D127" i="2"/>
  <c r="E126" i="2"/>
  <c r="D125" i="2"/>
  <c r="E124" i="2"/>
  <c r="E123" i="2"/>
  <c r="D123" i="2"/>
  <c r="E122" i="2"/>
  <c r="E121" i="2"/>
  <c r="D121" i="2"/>
  <c r="E120" i="2"/>
  <c r="E119" i="2"/>
  <c r="D119" i="2"/>
  <c r="E118" i="2"/>
  <c r="E117" i="2"/>
  <c r="E129" i="2" s="1"/>
  <c r="D117" i="2"/>
  <c r="E116" i="2"/>
  <c r="E125" i="2" s="1"/>
  <c r="E115" i="2"/>
  <c r="D115" i="2"/>
  <c r="E112" i="2"/>
  <c r="D114" i="2" s="1"/>
  <c r="J96" i="2"/>
  <c r="K95" i="2"/>
  <c r="K96" i="2" s="1"/>
  <c r="K94" i="2"/>
  <c r="K92" i="2"/>
  <c r="K91" i="2"/>
  <c r="K90" i="2"/>
  <c r="K89" i="2"/>
  <c r="K88" i="2"/>
  <c r="K87" i="2"/>
  <c r="K86" i="2"/>
  <c r="K85" i="2"/>
  <c r="K97" i="2" s="1"/>
  <c r="K84" i="2"/>
  <c r="K93" i="2" s="1"/>
  <c r="K83" i="2"/>
  <c r="K80" i="2"/>
  <c r="J82" i="2" s="1"/>
  <c r="K76" i="2"/>
  <c r="E94" i="2"/>
  <c r="E93" i="2"/>
  <c r="E91" i="2"/>
  <c r="E90" i="2"/>
  <c r="E89" i="2"/>
  <c r="E88" i="2"/>
  <c r="E87" i="2"/>
  <c r="E86" i="2"/>
  <c r="E85" i="2"/>
  <c r="E84" i="2"/>
  <c r="E95" i="2" s="1"/>
  <c r="E83" i="2"/>
  <c r="E92" i="2" s="1"/>
  <c r="E82" i="2"/>
  <c r="D81" i="2"/>
  <c r="E79" i="2"/>
  <c r="D95" i="2" s="1"/>
  <c r="D46" i="2"/>
  <c r="D47" i="2"/>
  <c r="E46" i="2"/>
  <c r="E44" i="2"/>
  <c r="E48" i="2"/>
  <c r="D48" i="2"/>
  <c r="E47" i="2"/>
  <c r="E45" i="2"/>
  <c r="D45" i="2"/>
  <c r="D44" i="2"/>
  <c r="K32" i="2"/>
  <c r="K33" i="2" s="1"/>
  <c r="K34" i="2" s="1"/>
  <c r="K35" i="2" s="1"/>
  <c r="K36" i="2" s="1"/>
  <c r="K37" i="2" s="1"/>
  <c r="K38" i="2" s="1"/>
  <c r="J67" i="2"/>
  <c r="J66" i="2"/>
  <c r="J65" i="2"/>
  <c r="J63" i="2"/>
  <c r="J62" i="2"/>
  <c r="K74" i="2"/>
  <c r="K73" i="2"/>
  <c r="K71" i="2"/>
  <c r="K70" i="2"/>
  <c r="K69" i="2"/>
  <c r="K68" i="2"/>
  <c r="K67" i="2"/>
  <c r="K66" i="2"/>
  <c r="K65" i="2"/>
  <c r="K64" i="2"/>
  <c r="K75" i="2" s="1"/>
  <c r="K63" i="2"/>
  <c r="K72" i="2" s="1"/>
  <c r="K62" i="2"/>
  <c r="J61" i="2"/>
  <c r="K59" i="2"/>
  <c r="J75" i="2" s="1"/>
  <c r="E74" i="2"/>
  <c r="E73" i="2"/>
  <c r="E71" i="2"/>
  <c r="E70" i="2"/>
  <c r="E69" i="2"/>
  <c r="E68" i="2"/>
  <c r="E67" i="2"/>
  <c r="E66" i="2"/>
  <c r="E65" i="2"/>
  <c r="E64" i="2"/>
  <c r="E75" i="2" s="1"/>
  <c r="E63" i="2"/>
  <c r="E72" i="2" s="1"/>
  <c r="E62" i="2"/>
  <c r="E59" i="2"/>
  <c r="D75" i="2" s="1"/>
  <c r="K30" i="2"/>
  <c r="K29" i="2"/>
  <c r="J29" i="2"/>
  <c r="K28" i="2"/>
  <c r="J28" i="2"/>
  <c r="K27" i="2"/>
  <c r="J27" i="2"/>
  <c r="E30" i="2"/>
  <c r="E29" i="2"/>
  <c r="D29" i="2"/>
  <c r="E28" i="2"/>
  <c r="D28" i="2"/>
  <c r="E27" i="2"/>
  <c r="J20" i="2"/>
  <c r="J16" i="2"/>
  <c r="K20" i="2"/>
  <c r="K19" i="2"/>
  <c r="K17" i="2"/>
  <c r="K16" i="2"/>
  <c r="K15" i="2"/>
  <c r="K14" i="2"/>
  <c r="K13" i="2"/>
  <c r="K12" i="2"/>
  <c r="K11" i="2"/>
  <c r="K10" i="2"/>
  <c r="K21" i="2" s="1"/>
  <c r="K9" i="2"/>
  <c r="K18" i="2" s="1"/>
  <c r="K8" i="2"/>
  <c r="K5" i="2"/>
  <c r="J19" i="2" s="1"/>
  <c r="E20" i="2"/>
  <c r="E19" i="2"/>
  <c r="E17" i="2"/>
  <c r="E16" i="2"/>
  <c r="E15" i="2"/>
  <c r="E14" i="2"/>
  <c r="E13" i="2"/>
  <c r="E12" i="2"/>
  <c r="E11" i="2"/>
  <c r="E10" i="2"/>
  <c r="E21" i="2" s="1"/>
  <c r="E9" i="2"/>
  <c r="E18" i="2" s="1"/>
  <c r="E8" i="2"/>
  <c r="E5" i="2"/>
  <c r="D7" i="2" s="1"/>
  <c r="E101" i="1"/>
  <c r="D101" i="1"/>
  <c r="E100" i="1"/>
  <c r="D100" i="1"/>
  <c r="E99" i="1"/>
  <c r="D99" i="1"/>
  <c r="E98" i="1"/>
  <c r="D98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D76" i="1"/>
  <c r="E74" i="1"/>
  <c r="K70" i="1"/>
  <c r="J70" i="1"/>
  <c r="E70" i="1"/>
  <c r="D70" i="1"/>
  <c r="K69" i="1"/>
  <c r="J69" i="1"/>
  <c r="E69" i="1"/>
  <c r="D69" i="1"/>
  <c r="K68" i="1"/>
  <c r="J68" i="1"/>
  <c r="E68" i="1"/>
  <c r="D68" i="1"/>
  <c r="K67" i="1"/>
  <c r="J67" i="1"/>
  <c r="E67" i="1"/>
  <c r="D67" i="1"/>
  <c r="K66" i="1"/>
  <c r="J66" i="1"/>
  <c r="E66" i="1"/>
  <c r="D66" i="1"/>
  <c r="K65" i="1"/>
  <c r="J65" i="1"/>
  <c r="E65" i="1"/>
  <c r="D65" i="1"/>
  <c r="K64" i="1"/>
  <c r="J64" i="1"/>
  <c r="E64" i="1"/>
  <c r="D64" i="1"/>
  <c r="K63" i="1"/>
  <c r="J63" i="1"/>
  <c r="E63" i="1"/>
  <c r="D63" i="1"/>
  <c r="K62" i="1"/>
  <c r="J62" i="1"/>
  <c r="E62" i="1"/>
  <c r="D62" i="1"/>
  <c r="K61" i="1"/>
  <c r="J61" i="1"/>
  <c r="E61" i="1"/>
  <c r="D61" i="1"/>
  <c r="K60" i="1"/>
  <c r="J60" i="1"/>
  <c r="E60" i="1"/>
  <c r="D60" i="1"/>
  <c r="K59" i="1"/>
  <c r="J59" i="1"/>
  <c r="E59" i="1"/>
  <c r="D59" i="1"/>
  <c r="K58" i="1"/>
  <c r="J58" i="1"/>
  <c r="E58" i="1"/>
  <c r="D58" i="1"/>
  <c r="K57" i="1"/>
  <c r="J57" i="1"/>
  <c r="E57" i="1"/>
  <c r="D57" i="1"/>
  <c r="J56" i="1"/>
  <c r="D56" i="1"/>
  <c r="K54" i="1"/>
  <c r="E54" i="1"/>
  <c r="K41" i="1"/>
  <c r="J41" i="1"/>
  <c r="E41" i="1"/>
  <c r="D41" i="1"/>
  <c r="K40" i="1"/>
  <c r="J40" i="1"/>
  <c r="E40" i="1"/>
  <c r="D40" i="1"/>
  <c r="K39" i="1"/>
  <c r="J39" i="1"/>
  <c r="E39" i="1"/>
  <c r="D39" i="1"/>
  <c r="K38" i="1"/>
  <c r="J38" i="1"/>
  <c r="E38" i="1"/>
  <c r="D38" i="1"/>
  <c r="K37" i="1"/>
  <c r="J37" i="1"/>
  <c r="E37" i="1"/>
  <c r="D37" i="1"/>
  <c r="K36" i="1"/>
  <c r="J36" i="1"/>
  <c r="E36" i="1"/>
  <c r="D36" i="1"/>
  <c r="K35" i="1"/>
  <c r="J35" i="1"/>
  <c r="E35" i="1"/>
  <c r="D35" i="1"/>
  <c r="K34" i="1"/>
  <c r="J34" i="1"/>
  <c r="E34" i="1"/>
  <c r="D34" i="1"/>
  <c r="K33" i="1"/>
  <c r="J33" i="1"/>
  <c r="E33" i="1"/>
  <c r="D33" i="1"/>
  <c r="K32" i="1"/>
  <c r="J32" i="1"/>
  <c r="E32" i="1"/>
  <c r="D32" i="1"/>
  <c r="K31" i="1"/>
  <c r="J31" i="1"/>
  <c r="E31" i="1"/>
  <c r="D31" i="1"/>
  <c r="K30" i="1"/>
  <c r="J30" i="1"/>
  <c r="E30" i="1"/>
  <c r="D30" i="1"/>
  <c r="K29" i="1"/>
  <c r="J29" i="1"/>
  <c r="E29" i="1"/>
  <c r="D29" i="1"/>
  <c r="K28" i="1"/>
  <c r="J28" i="1"/>
  <c r="E28" i="1"/>
  <c r="D28" i="1"/>
  <c r="J27" i="1"/>
  <c r="D27" i="1"/>
  <c r="K25" i="1"/>
  <c r="E25" i="1"/>
  <c r="K21" i="1"/>
  <c r="J21" i="1"/>
  <c r="E21" i="1"/>
  <c r="D21" i="1"/>
  <c r="K20" i="1"/>
  <c r="J20" i="1"/>
  <c r="E20" i="1"/>
  <c r="D20" i="1"/>
  <c r="K19" i="1"/>
  <c r="J19" i="1"/>
  <c r="E19" i="1"/>
  <c r="D19" i="1"/>
  <c r="K18" i="1"/>
  <c r="J18" i="1"/>
  <c r="E18" i="1"/>
  <c r="D18" i="1"/>
  <c r="K17" i="1"/>
  <c r="J17" i="1"/>
  <c r="E17" i="1"/>
  <c r="D17" i="1"/>
  <c r="K16" i="1"/>
  <c r="J16" i="1"/>
  <c r="E16" i="1"/>
  <c r="D16" i="1"/>
  <c r="K15" i="1"/>
  <c r="J15" i="1"/>
  <c r="E15" i="1"/>
  <c r="D15" i="1"/>
  <c r="K14" i="1"/>
  <c r="J14" i="1"/>
  <c r="E14" i="1"/>
  <c r="D14" i="1"/>
  <c r="K13" i="1"/>
  <c r="J13" i="1"/>
  <c r="E13" i="1"/>
  <c r="D13" i="1"/>
  <c r="K12" i="1"/>
  <c r="J12" i="1"/>
  <c r="E12" i="1"/>
  <c r="D12" i="1"/>
  <c r="K11" i="1"/>
  <c r="J11" i="1"/>
  <c r="E11" i="1"/>
  <c r="D11" i="1"/>
  <c r="K10" i="1"/>
  <c r="J10" i="1"/>
  <c r="E10" i="1"/>
  <c r="D10" i="1"/>
  <c r="K9" i="1"/>
  <c r="J9" i="1"/>
  <c r="E9" i="1"/>
  <c r="D9" i="1"/>
  <c r="K8" i="1"/>
  <c r="J8" i="1"/>
  <c r="E8" i="1"/>
  <c r="D8" i="1"/>
  <c r="J7" i="1"/>
  <c r="D7" i="1"/>
  <c r="K5" i="1"/>
  <c r="E5" i="1"/>
  <c r="J116" i="2" l="1"/>
  <c r="J118" i="2"/>
  <c r="J120" i="2"/>
  <c r="J122" i="2"/>
  <c r="J124" i="2"/>
  <c r="J126" i="2"/>
  <c r="J128" i="2"/>
  <c r="D116" i="2"/>
  <c r="D118" i="2"/>
  <c r="D120" i="2"/>
  <c r="D122" i="2"/>
  <c r="D124" i="2"/>
  <c r="D126" i="2"/>
  <c r="D128" i="2"/>
  <c r="D13" i="2"/>
  <c r="D21" i="2"/>
  <c r="D10" i="2"/>
  <c r="D14" i="2"/>
  <c r="D18" i="2"/>
  <c r="J17" i="2"/>
  <c r="D11" i="2"/>
  <c r="D15" i="2"/>
  <c r="D19" i="2"/>
  <c r="J7" i="2"/>
  <c r="J18" i="2"/>
  <c r="D61" i="2"/>
  <c r="D12" i="2"/>
  <c r="D16" i="2"/>
  <c r="D20" i="2"/>
  <c r="J15" i="2"/>
  <c r="J64" i="2"/>
  <c r="J68" i="2"/>
  <c r="D17" i="2"/>
  <c r="J83" i="2"/>
  <c r="J85" i="2"/>
  <c r="J87" i="2"/>
  <c r="J89" i="2"/>
  <c r="J91" i="2"/>
  <c r="J93" i="2"/>
  <c r="J95" i="2"/>
  <c r="J84" i="2"/>
  <c r="J86" i="2"/>
  <c r="J88" i="2"/>
  <c r="J90" i="2"/>
  <c r="J92" i="2"/>
  <c r="J94" i="2"/>
  <c r="J97" i="2"/>
  <c r="D82" i="2"/>
  <c r="D84" i="2"/>
  <c r="D86" i="2"/>
  <c r="D88" i="2"/>
  <c r="D90" i="2"/>
  <c r="D92" i="2"/>
  <c r="D94" i="2"/>
  <c r="D83" i="2"/>
  <c r="D85" i="2"/>
  <c r="D87" i="2"/>
  <c r="D89" i="2"/>
  <c r="D91" i="2"/>
  <c r="D93" i="2"/>
  <c r="J70" i="2"/>
  <c r="J72" i="2"/>
  <c r="J74" i="2"/>
  <c r="J69" i="2"/>
  <c r="J71" i="2"/>
  <c r="J73" i="2"/>
  <c r="D62" i="2"/>
  <c r="D64" i="2"/>
  <c r="D66" i="2"/>
  <c r="D68" i="2"/>
  <c r="D70" i="2"/>
  <c r="D72" i="2"/>
  <c r="D74" i="2"/>
  <c r="D63" i="2"/>
  <c r="D65" i="2"/>
  <c r="D67" i="2"/>
  <c r="D69" i="2"/>
  <c r="D71" i="2"/>
  <c r="D73" i="2"/>
  <c r="J8" i="2"/>
  <c r="J10" i="2"/>
  <c r="J12" i="2"/>
  <c r="J14" i="2"/>
  <c r="J9" i="2"/>
  <c r="J11" i="2"/>
  <c r="J13" i="2"/>
  <c r="J21" i="2"/>
  <c r="D9" i="2"/>
  <c r="D8" i="2"/>
</calcChain>
</file>

<file path=xl/sharedStrings.xml><?xml version="1.0" encoding="utf-8"?>
<sst xmlns="http://schemas.openxmlformats.org/spreadsheetml/2006/main" count="1083" uniqueCount="195">
  <si>
    <t>V08A,V09A,V10A,V11A,V12A,V13A</t>
  </si>
  <si>
    <t>V08B</t>
  </si>
  <si>
    <t>一头锯45°斜口</t>
  </si>
  <si>
    <t>规格</t>
  </si>
  <si>
    <t>长度（cm)</t>
  </si>
  <si>
    <t>数量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</si>
  <si>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</si>
  <si>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</si>
  <si>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</si>
  <si>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</si>
  <si>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</si>
  <si>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</si>
  <si>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</si>
  <si>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</si>
  <si>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</si>
  <si>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t>10#</t>
  </si>
  <si>
    <t>11#</t>
  </si>
  <si>
    <t>12#</t>
  </si>
  <si>
    <t>13#</t>
  </si>
  <si>
    <t>14#</t>
  </si>
  <si>
    <t>坐前贴方</t>
  </si>
  <si>
    <t>V09B,V10B,V11B,V12B</t>
  </si>
  <si>
    <t>V13B</t>
  </si>
  <si>
    <t>V07-3B,V07-1B,V06-3B,V06-1B,V05-3B,V05-1B</t>
  </si>
  <si>
    <t>V07-1A，V06-3A,V06-1A,V05-3A</t>
  </si>
  <si>
    <t>平台连接料</t>
  </si>
  <si>
    <t>V07-3A,V05-1A</t>
  </si>
  <si>
    <t>平台后立柱</t>
  </si>
  <si>
    <t>辅料</t>
  </si>
  <si>
    <t>坐侧上</t>
  </si>
  <si>
    <t>坐侧下</t>
  </si>
  <si>
    <t>背侧前</t>
  </si>
  <si>
    <t>背侧后</t>
  </si>
  <si>
    <t>背中前</t>
  </si>
  <si>
    <t>背中后</t>
  </si>
  <si>
    <t xml:space="preserve"> 过桥</t>
  </si>
  <si>
    <t>桥后</t>
  </si>
  <si>
    <t>坐前内立柱</t>
  </si>
  <si>
    <t>坐前立柱</t>
  </si>
  <si>
    <t>不锈钢背边</t>
  </si>
  <si>
    <t>不锈钢贴方</t>
  </si>
  <si>
    <t>平台不锈贴方</t>
  </si>
  <si>
    <t>背后不锈钢</t>
  </si>
  <si>
    <t>15#</t>
  </si>
  <si>
    <t>桥后立柱</t>
  </si>
  <si>
    <t>平台连接</t>
  </si>
  <si>
    <t>背顶</t>
  </si>
  <si>
    <t>45度坐侧上</t>
  </si>
  <si>
    <t>45度坐侧下</t>
  </si>
  <si>
    <t>沙发编号</t>
  </si>
  <si>
    <t>V07-2，V06-2,V05-2</t>
  </si>
  <si>
    <t>平台坐侧上</t>
  </si>
  <si>
    <t>沙发长度</t>
  </si>
  <si>
    <t>总件数</t>
  </si>
  <si>
    <t>平台旁背边</t>
  </si>
  <si>
    <t>位置</t>
  </si>
  <si>
    <t>件数</t>
  </si>
  <si>
    <t>背中撑</t>
  </si>
  <si>
    <t>V88-1B</t>
    <phoneticPr fontId="3" type="noConversion"/>
  </si>
  <si>
    <t>V88-1A</t>
    <phoneticPr fontId="3" type="noConversion"/>
  </si>
  <si>
    <t>V88-2</t>
    <phoneticPr fontId="3" type="noConversion"/>
  </si>
  <si>
    <t>扶手连接料</t>
    <phoneticPr fontId="3" type="noConversion"/>
  </si>
  <si>
    <t>1#</t>
    <phoneticPr fontId="3" type="noConversion"/>
  </si>
  <si>
    <t>2#</t>
    <phoneticPr fontId="3" type="noConversion"/>
  </si>
  <si>
    <t>3#</t>
    <phoneticPr fontId="3" type="noConversion"/>
  </si>
  <si>
    <t>4#</t>
    <phoneticPr fontId="3" type="noConversion"/>
  </si>
  <si>
    <t>5#</t>
    <phoneticPr fontId="3" type="noConversion"/>
  </si>
  <si>
    <t>6#</t>
    <phoneticPr fontId="3" type="noConversion"/>
  </si>
  <si>
    <t>7#</t>
    <phoneticPr fontId="3" type="noConversion"/>
  </si>
  <si>
    <t>8#</t>
    <phoneticPr fontId="3" type="noConversion"/>
  </si>
  <si>
    <t>背</t>
    <phoneticPr fontId="3" type="noConversion"/>
  </si>
  <si>
    <t>V29-1，V28-1，V31-1，V30-1</t>
    <phoneticPr fontId="3" type="noConversion"/>
  </si>
  <si>
    <t>V29-2B,V28-2B,V31-2B,V30-2B</t>
    <phoneticPr fontId="3" type="noConversion"/>
  </si>
  <si>
    <t>V32-2B,V33-2B,V55-2B,V53-2B</t>
    <phoneticPr fontId="3" type="noConversion"/>
  </si>
  <si>
    <t>V32-1,V33-1,V55-1，V53-1</t>
    <phoneticPr fontId="3" type="noConversion"/>
  </si>
  <si>
    <t>平台连接</t>
    <phoneticPr fontId="3" type="noConversion"/>
  </si>
  <si>
    <t>15#</t>
    <phoneticPr fontId="3" type="noConversion"/>
  </si>
  <si>
    <t>V15A.V20A</t>
    <phoneticPr fontId="3" type="noConversion"/>
  </si>
  <si>
    <t xml:space="preserve"> </t>
    <phoneticPr fontId="3" type="noConversion"/>
  </si>
  <si>
    <t>座</t>
    <phoneticPr fontId="3" type="noConversion"/>
  </si>
  <si>
    <t>V36-1，V37-1,V38-1，V39-1,V50-1，V51-1</t>
    <phoneticPr fontId="3" type="noConversion"/>
  </si>
  <si>
    <t>V36-2B,V37-2B,V38-2B,V39-2B,V50-2B,V51-2B,V52-2B,V35-2B</t>
    <phoneticPr fontId="3" type="noConversion"/>
  </si>
  <si>
    <t>V52-1，V35-1</t>
    <phoneticPr fontId="3" type="noConversion"/>
  </si>
  <si>
    <t>V18-2，V19-2，V16-2，V17-2</t>
    <phoneticPr fontId="3" type="noConversion"/>
  </si>
  <si>
    <t>V32-2A,V33-2A，V29-2A,V28-2A,V31-2A,V30-2A,V55-2A,V53-2A,V36-2A,V37-2A,V38-2A,V39-2A,V50-2A,V51-2A,V52-2A,V35-2A,V18-1B,V19-1B,V16-1B,V17-1B</t>
    <phoneticPr fontId="3" type="noConversion"/>
  </si>
  <si>
    <t>V15B,V20B,V18-1A,V19-1A,V16-1A,V17-1A</t>
    <phoneticPr fontId="3" type="noConversion"/>
  </si>
  <si>
    <t xml:space="preserve"> </t>
    <phoneticPr fontId="3" type="noConversion"/>
  </si>
  <si>
    <t>成都BOOM GC.CLUB木料单(总深700)</t>
    <phoneticPr fontId="3" type="noConversion"/>
  </si>
  <si>
    <t>坐侧上</t>
    <phoneticPr fontId="3" type="noConversion"/>
  </si>
  <si>
    <t>坐侧下</t>
    <phoneticPr fontId="3" type="noConversion"/>
  </si>
  <si>
    <t>背侧前</t>
    <phoneticPr fontId="3" type="noConversion"/>
  </si>
  <si>
    <t>背侧后</t>
    <phoneticPr fontId="3" type="noConversion"/>
  </si>
  <si>
    <t>背中前</t>
    <phoneticPr fontId="3" type="noConversion"/>
  </si>
  <si>
    <t>背中后</t>
    <phoneticPr fontId="3" type="noConversion"/>
  </si>
  <si>
    <t>过桥</t>
    <phoneticPr fontId="3" type="noConversion"/>
  </si>
  <si>
    <t>桥后</t>
    <phoneticPr fontId="3" type="noConversion"/>
  </si>
  <si>
    <t>坐前立柱</t>
    <phoneticPr fontId="3" type="noConversion"/>
  </si>
  <si>
    <t>坐前内立柱</t>
    <phoneticPr fontId="3" type="noConversion"/>
  </si>
  <si>
    <t>背中撑</t>
    <phoneticPr fontId="3" type="noConversion"/>
  </si>
  <si>
    <t>背顶</t>
    <phoneticPr fontId="3" type="noConversion"/>
  </si>
  <si>
    <t>平台不锈钢贴方</t>
    <phoneticPr fontId="3" type="noConversion"/>
  </si>
  <si>
    <t>正常不锈钢贴方</t>
    <phoneticPr fontId="3" type="noConversion"/>
  </si>
  <si>
    <t>不锈钢背边</t>
    <phoneticPr fontId="3" type="noConversion"/>
  </si>
  <si>
    <t>扶手背边</t>
    <phoneticPr fontId="3" type="noConversion"/>
  </si>
  <si>
    <t>背后有不锈钢</t>
    <phoneticPr fontId="3" type="noConversion"/>
  </si>
  <si>
    <t>45度坐侧上</t>
    <phoneticPr fontId="3" type="noConversion"/>
  </si>
  <si>
    <t>45度坐侧下</t>
    <phoneticPr fontId="3" type="noConversion"/>
  </si>
  <si>
    <t>位置</t>
    <phoneticPr fontId="3" type="noConversion"/>
  </si>
  <si>
    <t>规格</t>
    <phoneticPr fontId="3" type="noConversion"/>
  </si>
  <si>
    <t>长度</t>
    <phoneticPr fontId="3" type="noConversion"/>
  </si>
  <si>
    <t>件数</t>
    <phoneticPr fontId="3" type="noConversion"/>
  </si>
  <si>
    <t>备注</t>
    <phoneticPr fontId="3" type="noConversion"/>
  </si>
  <si>
    <t>大中华辅料单（总深700）</t>
    <phoneticPr fontId="3" type="noConversion"/>
  </si>
  <si>
    <t>平台坐后立柱</t>
    <phoneticPr fontId="3" type="noConversion"/>
  </si>
  <si>
    <t>平台耳板背边</t>
    <phoneticPr fontId="3" type="noConversion"/>
  </si>
  <si>
    <t>成都BOOM GC.CLUB木料单（总深650）</t>
    <phoneticPr fontId="3" type="noConversion"/>
  </si>
  <si>
    <t>K31-1</t>
    <phoneticPr fontId="3" type="noConversion"/>
  </si>
  <si>
    <t>背</t>
    <phoneticPr fontId="3" type="noConversion"/>
  </si>
  <si>
    <t>座</t>
    <phoneticPr fontId="3" type="noConversion"/>
  </si>
  <si>
    <t>过桥</t>
    <phoneticPr fontId="3" type="noConversion"/>
  </si>
  <si>
    <t>过桥立柱</t>
    <phoneticPr fontId="3" type="noConversion"/>
  </si>
  <si>
    <t>坐侧上</t>
    <phoneticPr fontId="3" type="noConversion"/>
  </si>
  <si>
    <t>坐侧下</t>
    <phoneticPr fontId="3" type="noConversion"/>
  </si>
  <si>
    <t>坐前立柱</t>
    <phoneticPr fontId="3" type="noConversion"/>
  </si>
  <si>
    <t>不锈钢夹方</t>
    <phoneticPr fontId="3" type="noConversion"/>
  </si>
  <si>
    <t>过桥连接</t>
    <phoneticPr fontId="3" type="noConversion"/>
  </si>
  <si>
    <t>上封12层板54*212cm</t>
    <phoneticPr fontId="3" type="noConversion"/>
  </si>
  <si>
    <t>K29-2，K31-2角台</t>
    <phoneticPr fontId="3" type="noConversion"/>
  </si>
  <si>
    <t>K37-1角台</t>
    <phoneticPr fontId="3" type="noConversion"/>
  </si>
  <si>
    <t>上封12层板54*209cm</t>
    <phoneticPr fontId="3" type="noConversion"/>
  </si>
  <si>
    <t>上封12层板54*217cm</t>
    <phoneticPr fontId="3" type="noConversion"/>
  </si>
  <si>
    <t>K29-1,K29-2,K30-1,K30-2，K31-2,K32-1，K32-2</t>
    <phoneticPr fontId="3" type="noConversion"/>
  </si>
  <si>
    <t>K35-2</t>
    <phoneticPr fontId="3" type="noConversion"/>
  </si>
  <si>
    <t>K37-2，K37-1，K36-2，K36-1</t>
    <phoneticPr fontId="3" type="noConversion"/>
  </si>
  <si>
    <t>K35-1，K33-2,K33-1</t>
    <phoneticPr fontId="3" type="noConversion"/>
  </si>
  <si>
    <t>K23</t>
    <phoneticPr fontId="3" type="noConversion"/>
  </si>
  <si>
    <t>K22，K21，K20,K19-2</t>
    <phoneticPr fontId="3" type="noConversion"/>
  </si>
  <si>
    <t>K19-1A</t>
    <phoneticPr fontId="3" type="noConversion"/>
  </si>
  <si>
    <t>K15-1，K10-1</t>
    <phoneticPr fontId="3" type="noConversion"/>
  </si>
  <si>
    <t>K15-2，K13-1，K12-1，K11-1，K10-2</t>
    <phoneticPr fontId="3" type="noConversion"/>
  </si>
  <si>
    <t>K28,K38-1</t>
    <phoneticPr fontId="3" type="noConversion"/>
  </si>
  <si>
    <t>K25,K39</t>
    <phoneticPr fontId="3" type="noConversion"/>
  </si>
  <si>
    <t>K38-2</t>
    <phoneticPr fontId="3" type="noConversion"/>
  </si>
  <si>
    <t>K26,K27</t>
    <phoneticPr fontId="3" type="noConversion"/>
  </si>
  <si>
    <t>K18-1，K07-1</t>
    <phoneticPr fontId="3" type="noConversion"/>
  </si>
  <si>
    <t>K19-1B,K18-2，K07-2</t>
    <phoneticPr fontId="3" type="noConversion"/>
  </si>
  <si>
    <t>K17</t>
    <phoneticPr fontId="3" type="noConversion"/>
  </si>
  <si>
    <t>K08</t>
    <phoneticPr fontId="3" type="noConversion"/>
  </si>
  <si>
    <t>K16</t>
    <phoneticPr fontId="3" type="noConversion"/>
  </si>
  <si>
    <t>K09</t>
    <phoneticPr fontId="3" type="noConversion"/>
  </si>
  <si>
    <t>K29-2角台</t>
    <phoneticPr fontId="3" type="noConversion"/>
  </si>
  <si>
    <t>K31-2角台</t>
    <phoneticPr fontId="3" type="noConversion"/>
  </si>
  <si>
    <t>上封12层板45*212cm</t>
    <phoneticPr fontId="3" type="noConversion"/>
  </si>
  <si>
    <t>上封12层板49*217cm</t>
    <phoneticPr fontId="3" type="noConversion"/>
  </si>
  <si>
    <t>K35-1角台</t>
    <phoneticPr fontId="3" type="noConversion"/>
  </si>
  <si>
    <t>成都BOOM GC.CLUB包间木料单</t>
    <phoneticPr fontId="3" type="noConversion"/>
  </si>
  <si>
    <t>B01-1</t>
    <phoneticPr fontId="3" type="noConversion"/>
  </si>
  <si>
    <t>扶手连接料</t>
    <phoneticPr fontId="3" type="noConversion"/>
  </si>
  <si>
    <t>3#，4#</t>
    <phoneticPr fontId="3" type="noConversion"/>
  </si>
  <si>
    <t>5#</t>
    <phoneticPr fontId="3" type="noConversion"/>
  </si>
  <si>
    <t>2#</t>
    <phoneticPr fontId="3" type="noConversion"/>
  </si>
  <si>
    <t>6#</t>
    <phoneticPr fontId="3" type="noConversion"/>
  </si>
  <si>
    <t>7#</t>
    <phoneticPr fontId="3" type="noConversion"/>
  </si>
  <si>
    <t>锯119.3°斜口</t>
    <phoneticPr fontId="3" type="noConversion"/>
  </si>
  <si>
    <t>B01-1</t>
    <phoneticPr fontId="3" type="noConversion"/>
  </si>
  <si>
    <t>B01-4,B02-4</t>
    <phoneticPr fontId="3" type="noConversion"/>
  </si>
  <si>
    <t>B01-3,B02-3</t>
    <phoneticPr fontId="3" type="noConversion"/>
  </si>
  <si>
    <t>B02-2</t>
    <phoneticPr fontId="3" type="noConversion"/>
  </si>
  <si>
    <t>锯120.9°斜口</t>
    <phoneticPr fontId="3" type="noConversion"/>
  </si>
  <si>
    <t>B02-1</t>
    <phoneticPr fontId="3" type="noConversion"/>
  </si>
  <si>
    <t>1号</t>
    <phoneticPr fontId="3" type="noConversion"/>
  </si>
  <si>
    <t>2号</t>
    <phoneticPr fontId="3" type="noConversion"/>
  </si>
  <si>
    <t>地台盒子辅料</t>
    <phoneticPr fontId="3" type="noConversion"/>
  </si>
  <si>
    <t>过桥</t>
    <phoneticPr fontId="3" type="noConversion"/>
  </si>
  <si>
    <t>过桥立柱</t>
    <phoneticPr fontId="3" type="noConversion"/>
  </si>
  <si>
    <t>坐侧打立柱打两根，一根横着，一根棱着使得立柱能撑起坐侧上和坐侧下</t>
    <phoneticPr fontId="3" type="noConversion"/>
  </si>
  <si>
    <t>B02-1地台盒子主料倒斜口使用样板</t>
    <phoneticPr fontId="3" type="noConversion"/>
  </si>
  <si>
    <t>B01-1地台盒子主料倒斜口使用样板</t>
    <phoneticPr fontId="3" type="noConversion"/>
  </si>
  <si>
    <t>B01-1坐侧上/下</t>
    <phoneticPr fontId="3" type="noConversion"/>
  </si>
  <si>
    <t>B02-1坐侧上/下</t>
    <phoneticPr fontId="3" type="noConversion"/>
  </si>
  <si>
    <t>坐侧上/下</t>
    <phoneticPr fontId="3" type="noConversion"/>
  </si>
  <si>
    <t>坐前立柱</t>
    <phoneticPr fontId="3" type="noConversion"/>
  </si>
  <si>
    <t>辅料</t>
    <phoneticPr fontId="3" type="noConversion"/>
  </si>
  <si>
    <t>坐侧上</t>
    <phoneticPr fontId="3" type="noConversion"/>
  </si>
  <si>
    <t>坐侧下</t>
    <phoneticPr fontId="3" type="noConversion"/>
  </si>
  <si>
    <t>背侧前</t>
    <phoneticPr fontId="3" type="noConversion"/>
  </si>
  <si>
    <t>背侧后</t>
    <phoneticPr fontId="3" type="noConversion"/>
  </si>
  <si>
    <t>背中前</t>
    <phoneticPr fontId="3" type="noConversion"/>
  </si>
  <si>
    <t>背中后</t>
    <phoneticPr fontId="3" type="noConversion"/>
  </si>
  <si>
    <t>坐前立柱</t>
    <phoneticPr fontId="3" type="noConversion"/>
  </si>
  <si>
    <t>扶手背边</t>
    <phoneticPr fontId="3" type="noConversion"/>
  </si>
  <si>
    <t>B01-2坐侧上</t>
    <phoneticPr fontId="3" type="noConversion"/>
  </si>
  <si>
    <t>B01-2坐侧下</t>
    <phoneticPr fontId="3" type="noConversion"/>
  </si>
  <si>
    <t>B02-2坐侧上</t>
    <phoneticPr fontId="3" type="noConversion"/>
  </si>
  <si>
    <t>B02-2坐侧下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</si>
</sst>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8" x14ac:knownFonts="1">
    <font>
      <sz val="11"/>
      <color theme="1"/>
      <name val="宋体"/>
      <charset val="134"/>
      <scheme val="minor"/>
    </font>
    <font>
      <sz val="16"/>
      <color theme="4" tint="-0.249977111117893"/>
      <name val="华文楷体"/>
      <family val="3"/>
      <charset val="134"/>
    </font>
    <font>
      <sz val="16"/>
      <color theme="1"/>
      <name val="华文楷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9A82"/>
        <bgColor indexed="64"/>
      </patternFill>
    </fill>
    <fill>
      <patternFill patternType="solid">
        <fgColor rgb="FFA59C5B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9C5B"/>
      <color rgb="FF669A8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73" workbookViewId="0">
      <selection activeCell="E106" sqref="E106"/>
    </sheetView>
  </sheetViews>
  <sheetFormatPr defaultColWidth="9" defaultRowHeight="13.5" x14ac:dyDescent="0.15"/>
  <cols>
    <col min="1" max="1" width="11.25" customWidth="1"/>
    <col min="2" max="3" width="4.875" customWidth="1"/>
    <col min="4" max="5" width="9.875" customWidth="1"/>
    <col min="6" max="6" width="4.25" customWidth="1"/>
    <col min="7" max="7" width="9.875" customWidth="1"/>
    <col min="8" max="9" width="4.875" customWidth="1"/>
    <col min="10" max="11" width="9.875" customWidth="1"/>
  </cols>
  <sheetData>
    <row r="1" spans="1:11" x14ac:dyDescent="0.15">
      <c r="A1" s="47" t="s">
        <v>115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x14ac:dyDescent="0.15">
      <c r="A3" s="49" t="s">
        <v>0</v>
      </c>
      <c r="B3" s="50"/>
      <c r="C3" s="50"/>
      <c r="D3" s="50"/>
      <c r="E3" s="51"/>
      <c r="G3" s="49" t="s">
        <v>1</v>
      </c>
      <c r="H3" s="50"/>
      <c r="I3" s="50"/>
      <c r="J3" s="50"/>
      <c r="K3" s="51"/>
    </row>
    <row r="4" spans="1:11" x14ac:dyDescent="0.15">
      <c r="A4" s="52"/>
      <c r="B4" s="53"/>
      <c r="C4" s="53"/>
      <c r="D4" s="53"/>
      <c r="E4" s="54"/>
      <c r="G4" s="52"/>
      <c r="H4" s="53"/>
      <c r="I4" s="53"/>
      <c r="J4" s="53"/>
      <c r="K4" s="54"/>
    </row>
    <row r="5" spans="1:11" x14ac:dyDescent="0.15">
      <c r="A5" s="44" t="s">
        <v>2</v>
      </c>
      <c r="B5" s="44"/>
      <c r="C5" s="44"/>
      <c r="D5" s="2">
        <v>45</v>
      </c>
      <c r="E5" s="3">
        <f>1/COS((90-D5)*PI()/180)</f>
        <v>1.41421356237309</v>
      </c>
      <c r="G5" s="44" t="s">
        <v>2</v>
      </c>
      <c r="H5" s="44"/>
      <c r="I5" s="44"/>
      <c r="J5" s="4">
        <v>45</v>
      </c>
      <c r="K5" s="6">
        <f>1/COS((90-J5)*PI()/180)</f>
        <v>1.41421356237309</v>
      </c>
    </row>
    <row r="6" spans="1:11" x14ac:dyDescent="0.15">
      <c r="A6" s="2">
        <v>197.6</v>
      </c>
      <c r="B6" s="44" t="s">
        <v>3</v>
      </c>
      <c r="C6" s="44"/>
      <c r="D6" s="1" t="s">
        <v>4</v>
      </c>
      <c r="E6" s="1" t="s">
        <v>5</v>
      </c>
      <c r="G6" s="4">
        <v>140.5</v>
      </c>
      <c r="H6" s="44" t="s">
        <v>3</v>
      </c>
      <c r="I6" s="44"/>
      <c r="J6" s="1" t="s">
        <v>4</v>
      </c>
      <c r="K6" s="1" t="s">
        <v>5</v>
      </c>
    </row>
    <row r="7" spans="1:11" x14ac:dyDescent="0.15">
      <c r="A7" s="1" t="s">
        <v>6</v>
      </c>
      <c r="B7" s="1">
        <v>3</v>
      </c>
      <c r="C7" s="1">
        <v>5</v>
      </c>
      <c r="D7" s="5">
        <f>A6-(1*TAN((90-D5)*PI()/180))-1.3-0.4*E5</f>
        <v>194.734314575051</v>
      </c>
      <c r="E7" s="1">
        <v>6</v>
      </c>
      <c r="G7" s="1" t="s">
        <v>6</v>
      </c>
      <c r="H7" s="1">
        <v>3</v>
      </c>
      <c r="I7" s="1">
        <v>5</v>
      </c>
      <c r="J7" s="5">
        <f>G6-(1*TAN((90-J5)*PI()/180))-5.8-0.4*K5</f>
        <v>133.13431457505101</v>
      </c>
      <c r="K7" s="1">
        <v>1</v>
      </c>
    </row>
    <row r="8" spans="1:11" x14ac:dyDescent="0.15">
      <c r="A8" s="1" t="s">
        <v>7</v>
      </c>
      <c r="B8" s="1">
        <v>2</v>
      </c>
      <c r="C8" s="1">
        <v>4</v>
      </c>
      <c r="D8" s="5">
        <f>A6-(1*TAN((90-D5)*PI()/180))-1.3-0.4*E5</f>
        <v>194.734314575051</v>
      </c>
      <c r="E8" s="1">
        <f>E7</f>
        <v>6</v>
      </c>
      <c r="G8" s="1" t="s">
        <v>7</v>
      </c>
      <c r="H8" s="1">
        <v>2</v>
      </c>
      <c r="I8" s="1">
        <v>4</v>
      </c>
      <c r="J8" s="5">
        <f>G6-(1*TAN((90-J5)*PI()/180))-2.3-0.4*K5</f>
        <v>136.63431457505101</v>
      </c>
      <c r="K8" s="1">
        <f>K7</f>
        <v>1</v>
      </c>
    </row>
    <row r="9" spans="1:11" x14ac:dyDescent="0.15">
      <c r="A9" s="1" t="s">
        <v>8</v>
      </c>
      <c r="B9" s="1">
        <v>2</v>
      </c>
      <c r="C9" s="1">
        <v>7</v>
      </c>
      <c r="D9" s="5">
        <f>A6-(1*TAN((90-D5)*PI()/180))-1.3-0.4*E5</f>
        <v>194.734314575051</v>
      </c>
      <c r="E9" s="1">
        <f>E7*1</f>
        <v>6</v>
      </c>
      <c r="G9" s="1" t="s">
        <v>8</v>
      </c>
      <c r="H9" s="1">
        <v>2</v>
      </c>
      <c r="I9" s="1">
        <v>7</v>
      </c>
      <c r="J9" s="5">
        <f>G6-(1*TAN((90-J5)*PI()/180))-2.3-0.4*K5</f>
        <v>136.63431457505101</v>
      </c>
      <c r="K9" s="1">
        <f>K7*1</f>
        <v>1</v>
      </c>
    </row>
    <row r="10" spans="1:11" x14ac:dyDescent="0.15">
      <c r="A10" s="1" t="s">
        <v>9</v>
      </c>
      <c r="B10" s="1">
        <v>2</v>
      </c>
      <c r="C10" s="1">
        <v>4</v>
      </c>
      <c r="D10" s="5">
        <f>A6-(8.6*TAN((90-D5)*PI()/180))-1.3-0.4*E5</f>
        <v>187.13431457505101</v>
      </c>
      <c r="E10" s="1">
        <f>E7</f>
        <v>6</v>
      </c>
      <c r="G10" s="1" t="s">
        <v>9</v>
      </c>
      <c r="H10" s="1">
        <v>2</v>
      </c>
      <c r="I10" s="1">
        <v>4</v>
      </c>
      <c r="J10" s="5">
        <f>G6-(8.6*TAN((90-J5)*PI()/180))-2.3-0.4*K5</f>
        <v>129.03431457505101</v>
      </c>
      <c r="K10" s="1">
        <f>K7</f>
        <v>1</v>
      </c>
    </row>
    <row r="11" spans="1:11" x14ac:dyDescent="0.15">
      <c r="A11" s="1" t="s">
        <v>10</v>
      </c>
      <c r="B11" s="1">
        <v>2</v>
      </c>
      <c r="C11" s="1">
        <v>4</v>
      </c>
      <c r="D11" s="5">
        <f>A6-(9.6*TAN((90-D5)*PI()/180))-1.3-0.4*E5</f>
        <v>186.13431457505101</v>
      </c>
      <c r="E11" s="1">
        <f>E7</f>
        <v>6</v>
      </c>
      <c r="G11" s="1" t="s">
        <v>10</v>
      </c>
      <c r="H11" s="1">
        <v>2</v>
      </c>
      <c r="I11" s="1">
        <v>4</v>
      </c>
      <c r="J11" s="5">
        <f>G6-(9.6*TAN((90-J5)*PI()/180))-2.3-0.4*K5</f>
        <v>128.03431457505101</v>
      </c>
      <c r="K11" s="1">
        <f>K7</f>
        <v>1</v>
      </c>
    </row>
    <row r="12" spans="1:11" x14ac:dyDescent="0.15">
      <c r="A12" s="1" t="s">
        <v>11</v>
      </c>
      <c r="B12" s="1">
        <v>2</v>
      </c>
      <c r="C12" s="1">
        <v>4</v>
      </c>
      <c r="D12" s="5">
        <f>A6-(11.5*TAN((90-D5)*PI()/180))-1.3-0.4*E5</f>
        <v>184.234314575051</v>
      </c>
      <c r="E12" s="1">
        <f>E7</f>
        <v>6</v>
      </c>
      <c r="G12" s="1" t="s">
        <v>11</v>
      </c>
      <c r="H12" s="1">
        <v>2</v>
      </c>
      <c r="I12" s="1">
        <v>4</v>
      </c>
      <c r="J12" s="5">
        <f>G6-(11.5*TAN((90-J5)*PI()/180))-2.3-0.4*K5</f>
        <v>126.13431457505099</v>
      </c>
      <c r="K12" s="1">
        <f>K7</f>
        <v>1</v>
      </c>
    </row>
    <row r="13" spans="1:11" x14ac:dyDescent="0.15">
      <c r="A13" s="1" t="s">
        <v>12</v>
      </c>
      <c r="B13" s="1">
        <v>2</v>
      </c>
      <c r="C13" s="1">
        <v>4</v>
      </c>
      <c r="D13" s="5">
        <f>A6-(14.9*TAN((90-D5)*PI()/180))-1.3-0.4*E5</f>
        <v>180.834314575051</v>
      </c>
      <c r="E13" s="1">
        <f>E7</f>
        <v>6</v>
      </c>
      <c r="G13" s="1" t="s">
        <v>12</v>
      </c>
      <c r="H13" s="1">
        <v>2</v>
      </c>
      <c r="I13" s="1">
        <v>4</v>
      </c>
      <c r="J13" s="5">
        <f>G6-(14.9*TAN((90-J5)*PI()/180))-2.3-0.4*K5</f>
        <v>122.734314575051</v>
      </c>
      <c r="K13" s="1">
        <f>K7</f>
        <v>1</v>
      </c>
    </row>
    <row r="14" spans="1:11" x14ac:dyDescent="0.15">
      <c r="A14" s="1" t="s">
        <v>13</v>
      </c>
      <c r="B14" s="1">
        <v>2</v>
      </c>
      <c r="C14" s="1">
        <v>4</v>
      </c>
      <c r="D14" s="5">
        <f>A6-(14.2*TAN((90-D5)*PI()/180))-1.3-0.4*E5</f>
        <v>181.53431457505101</v>
      </c>
      <c r="E14" s="1">
        <f>E7</f>
        <v>6</v>
      </c>
      <c r="G14" s="1" t="s">
        <v>13</v>
      </c>
      <c r="H14" s="1">
        <v>2</v>
      </c>
      <c r="I14" s="1">
        <v>4</v>
      </c>
      <c r="J14" s="5">
        <f>G6-(14.2*TAN((90-J5)*PI()/180))-2.3-0.4*K5</f>
        <v>123.434314575051</v>
      </c>
      <c r="K14" s="1">
        <f>K7</f>
        <v>1</v>
      </c>
    </row>
    <row r="15" spans="1:11" x14ac:dyDescent="0.15">
      <c r="A15" s="1" t="s">
        <v>14</v>
      </c>
      <c r="B15" s="1">
        <v>3</v>
      </c>
      <c r="C15" s="1">
        <v>5</v>
      </c>
      <c r="D15" s="5">
        <f>A6-(18.5*TAN((90-D5)*PI()/180))-1.3-0.4*E5</f>
        <v>177.234314575051</v>
      </c>
      <c r="E15" s="1">
        <f>E7*1</f>
        <v>6</v>
      </c>
      <c r="G15" s="1" t="s">
        <v>14</v>
      </c>
      <c r="H15" s="1">
        <v>3</v>
      </c>
      <c r="I15" s="1">
        <v>5</v>
      </c>
      <c r="J15" s="5">
        <f>G6-(18.5*TAN((90-J5)*PI()/180))-5.8-0.4*K5</f>
        <v>115.63431457505099</v>
      </c>
      <c r="K15" s="1">
        <f>K7*1</f>
        <v>1</v>
      </c>
    </row>
    <row r="16" spans="1:11" x14ac:dyDescent="0.15">
      <c r="A16" s="1" t="s">
        <v>15</v>
      </c>
      <c r="B16" s="1">
        <v>3</v>
      </c>
      <c r="C16" s="1">
        <v>5</v>
      </c>
      <c r="D16" s="5">
        <f>A6-(38.4*TAN((90-D5)*PI()/180))-1.3-0.4*E5</f>
        <v>157.334314575051</v>
      </c>
      <c r="E16" s="1">
        <f>E7*1</f>
        <v>6</v>
      </c>
      <c r="G16" s="1" t="s">
        <v>15</v>
      </c>
      <c r="H16" s="1">
        <v>3</v>
      </c>
      <c r="I16" s="1">
        <v>5</v>
      </c>
      <c r="J16" s="5">
        <f>G6-(38.4*TAN((90-J5)*PI()/180))-5.8-0.4*K5</f>
        <v>95.734314575050803</v>
      </c>
      <c r="K16" s="1">
        <f>K7*1</f>
        <v>1</v>
      </c>
    </row>
    <row r="17" spans="1:11" x14ac:dyDescent="0.15">
      <c r="A17" s="1" t="s">
        <v>16</v>
      </c>
      <c r="B17" s="1">
        <v>3</v>
      </c>
      <c r="C17" s="1">
        <v>5</v>
      </c>
      <c r="D17" s="5">
        <f>A6-(56*TAN((90-D5)*PI()/180))-1.3-0.4*E5</f>
        <v>139.734314575051</v>
      </c>
      <c r="E17" s="1">
        <f>E7</f>
        <v>6</v>
      </c>
      <c r="G17" s="1" t="s">
        <v>16</v>
      </c>
      <c r="H17" s="1">
        <v>3</v>
      </c>
      <c r="I17" s="1">
        <v>5</v>
      </c>
      <c r="J17" s="5">
        <f>G6-(56*TAN((90-J5)*PI()/180))-5.8-0.4*K5</f>
        <v>78.134314575050794</v>
      </c>
      <c r="K17" s="1">
        <f>K7</f>
        <v>1</v>
      </c>
    </row>
    <row r="18" spans="1:11" x14ac:dyDescent="0.15">
      <c r="A18" s="1" t="s">
        <v>17</v>
      </c>
      <c r="B18" s="1">
        <v>2</v>
      </c>
      <c r="C18" s="1">
        <v>4</v>
      </c>
      <c r="D18" s="5">
        <f>A6-(58.9*TAN((90-D5)*PI()/180))-1.3-0.4*E5</f>
        <v>136.834314575051</v>
      </c>
      <c r="E18" s="1">
        <f>E9</f>
        <v>6</v>
      </c>
      <c r="G18" s="1" t="s">
        <v>17</v>
      </c>
      <c r="H18" s="1">
        <v>2</v>
      </c>
      <c r="I18" s="1">
        <v>4</v>
      </c>
      <c r="J18" s="5">
        <f>G6-(58.9*TAN((90-J5)*PI()/180))-5.8-0.4*K5</f>
        <v>75.234314575050803</v>
      </c>
      <c r="K18" s="1">
        <f>K9</f>
        <v>1</v>
      </c>
    </row>
    <row r="19" spans="1:11" x14ac:dyDescent="0.15">
      <c r="A19" s="1" t="s">
        <v>18</v>
      </c>
      <c r="B19" s="1">
        <v>3</v>
      </c>
      <c r="C19" s="1">
        <v>5</v>
      </c>
      <c r="D19" s="5">
        <f>A6-(56*TAN((90-D5)*PI()/180))-1.3-0.4*E5</f>
        <v>139.734314575051</v>
      </c>
      <c r="E19" s="1">
        <f>E7</f>
        <v>6</v>
      </c>
      <c r="G19" s="1" t="s">
        <v>18</v>
      </c>
      <c r="H19" s="1">
        <v>3</v>
      </c>
      <c r="I19" s="1">
        <v>5</v>
      </c>
      <c r="J19" s="5">
        <f>G6-(56*TAN((90-J5)*PI()/180))-5.8-0.4*K5</f>
        <v>78.134314575050794</v>
      </c>
      <c r="K19" s="1">
        <f>K7</f>
        <v>1</v>
      </c>
    </row>
    <row r="20" spans="1:11" x14ac:dyDescent="0.15">
      <c r="A20" s="1" t="s">
        <v>19</v>
      </c>
      <c r="B20" s="1">
        <v>3</v>
      </c>
      <c r="C20" s="1">
        <v>5</v>
      </c>
      <c r="D20" s="5">
        <f>A6-(56*TAN((90-D5)*PI()/180))-1.3-0.4*E5</f>
        <v>139.734314575051</v>
      </c>
      <c r="E20" s="1">
        <f>E7</f>
        <v>6</v>
      </c>
      <c r="G20" s="1" t="s">
        <v>19</v>
      </c>
      <c r="H20" s="1">
        <v>3</v>
      </c>
      <c r="I20" s="1">
        <v>5</v>
      </c>
      <c r="J20" s="5">
        <f>G6-(56*TAN((90-J5)*PI()/180))-5.8-0.4*K5</f>
        <v>78.134314575050794</v>
      </c>
      <c r="K20" s="1">
        <f>K7</f>
        <v>1</v>
      </c>
    </row>
    <row r="21" spans="1:11" x14ac:dyDescent="0.15">
      <c r="A21" s="1" t="s">
        <v>20</v>
      </c>
      <c r="B21" s="1">
        <v>2</v>
      </c>
      <c r="C21" s="1">
        <v>4</v>
      </c>
      <c r="D21" s="5">
        <f>A6-(61.2*TAN((90-D5)*PI()/180))-0.5-0.4*E5</f>
        <v>135.334314575051</v>
      </c>
      <c r="E21" s="1">
        <f>E10</f>
        <v>6</v>
      </c>
      <c r="G21" s="1" t="s">
        <v>20</v>
      </c>
      <c r="H21" s="1">
        <v>2</v>
      </c>
      <c r="I21" s="1">
        <v>4</v>
      </c>
      <c r="J21" s="5">
        <f>G6-(61.2*TAN((90-J5)*PI()/180))-1.5-0.4*K5</f>
        <v>77.234314575050803</v>
      </c>
      <c r="K21" s="1">
        <f>K10</f>
        <v>1</v>
      </c>
    </row>
    <row r="23" spans="1:11" x14ac:dyDescent="0.15">
      <c r="A23" s="49" t="s">
        <v>21</v>
      </c>
      <c r="B23" s="50"/>
      <c r="C23" s="50"/>
      <c r="D23" s="50"/>
      <c r="E23" s="51"/>
      <c r="G23" s="49" t="s">
        <v>22</v>
      </c>
      <c r="H23" s="50"/>
      <c r="I23" s="50"/>
      <c r="J23" s="50"/>
      <c r="K23" s="51"/>
    </row>
    <row r="24" spans="1:11" x14ac:dyDescent="0.15">
      <c r="A24" s="52"/>
      <c r="B24" s="53"/>
      <c r="C24" s="53"/>
      <c r="D24" s="53"/>
      <c r="E24" s="54"/>
      <c r="G24" s="52"/>
      <c r="H24" s="53"/>
      <c r="I24" s="53"/>
      <c r="J24" s="53"/>
      <c r="K24" s="54"/>
    </row>
    <row r="25" spans="1:11" x14ac:dyDescent="0.15">
      <c r="A25" s="44" t="s">
        <v>2</v>
      </c>
      <c r="B25" s="44"/>
      <c r="C25" s="44"/>
      <c r="D25" s="4">
        <v>45</v>
      </c>
      <c r="E25" s="6">
        <f>1/COS((90-D25)*PI()/180)</f>
        <v>1.41421356237309</v>
      </c>
      <c r="G25" s="44" t="s">
        <v>2</v>
      </c>
      <c r="H25" s="44"/>
      <c r="I25" s="44"/>
      <c r="J25" s="4">
        <v>45</v>
      </c>
      <c r="K25" s="6">
        <f>1/COS((90-J25)*PI()/180)</f>
        <v>1.41421356237309</v>
      </c>
    </row>
    <row r="26" spans="1:11" x14ac:dyDescent="0.15">
      <c r="A26" s="4">
        <v>148</v>
      </c>
      <c r="B26" s="44" t="s">
        <v>3</v>
      </c>
      <c r="C26" s="44"/>
      <c r="D26" s="1" t="s">
        <v>4</v>
      </c>
      <c r="E26" s="1" t="s">
        <v>5</v>
      </c>
      <c r="G26" s="4">
        <v>146.5</v>
      </c>
      <c r="H26" s="44" t="s">
        <v>3</v>
      </c>
      <c r="I26" s="44"/>
      <c r="J26" s="1" t="s">
        <v>4</v>
      </c>
      <c r="K26" s="1" t="s">
        <v>5</v>
      </c>
    </row>
    <row r="27" spans="1:11" x14ac:dyDescent="0.15">
      <c r="A27" s="1" t="s">
        <v>6</v>
      </c>
      <c r="B27" s="1">
        <v>3</v>
      </c>
      <c r="C27" s="1">
        <v>5</v>
      </c>
      <c r="D27" s="5">
        <f>A26-(1*TAN((90-D25)*PI()/180))-5.8-0.4*E25</f>
        <v>140.63431457505101</v>
      </c>
      <c r="E27" s="1">
        <v>4</v>
      </c>
      <c r="G27" s="1" t="s">
        <v>6</v>
      </c>
      <c r="H27" s="1">
        <v>3</v>
      </c>
      <c r="I27" s="1">
        <v>5</v>
      </c>
      <c r="J27" s="5">
        <f>G26-(1*TAN((90-J25)*PI()/180))-5.8-0.4*K25</f>
        <v>139.13431457505101</v>
      </c>
      <c r="K27" s="1">
        <v>1</v>
      </c>
    </row>
    <row r="28" spans="1:11" x14ac:dyDescent="0.15">
      <c r="A28" s="1" t="s">
        <v>7</v>
      </c>
      <c r="B28" s="1">
        <v>2</v>
      </c>
      <c r="C28" s="1">
        <v>4</v>
      </c>
      <c r="D28" s="5">
        <f>A26-(1*TAN((90-D25)*PI()/180))-2.3-0.4*E25</f>
        <v>144.13431457505101</v>
      </c>
      <c r="E28" s="1">
        <f>E27</f>
        <v>4</v>
      </c>
      <c r="G28" s="1" t="s">
        <v>7</v>
      </c>
      <c r="H28" s="1">
        <v>2</v>
      </c>
      <c r="I28" s="1">
        <v>4</v>
      </c>
      <c r="J28" s="5">
        <f>G26-(1*TAN((90-J25)*PI()/180))-2.3-0.4*K25</f>
        <v>142.63431457505101</v>
      </c>
      <c r="K28" s="1">
        <f>K27</f>
        <v>1</v>
      </c>
    </row>
    <row r="29" spans="1:11" x14ac:dyDescent="0.15">
      <c r="A29" s="1" t="s">
        <v>8</v>
      </c>
      <c r="B29" s="1">
        <v>2</v>
      </c>
      <c r="C29" s="1">
        <v>7</v>
      </c>
      <c r="D29" s="5">
        <f>A26-(1*TAN((90-D25)*PI()/180))-2.3-0.4*E25</f>
        <v>144.13431457505101</v>
      </c>
      <c r="E29" s="1">
        <f>E27*1</f>
        <v>4</v>
      </c>
      <c r="G29" s="1" t="s">
        <v>8</v>
      </c>
      <c r="H29" s="1">
        <v>2</v>
      </c>
      <c r="I29" s="1">
        <v>7</v>
      </c>
      <c r="J29" s="5">
        <f>G26-(1*TAN((90-J25)*PI()/180))-2.3-0.4*K25</f>
        <v>142.63431457505101</v>
      </c>
      <c r="K29" s="1">
        <f>K27*1</f>
        <v>1</v>
      </c>
    </row>
    <row r="30" spans="1:11" x14ac:dyDescent="0.15">
      <c r="A30" s="1" t="s">
        <v>9</v>
      </c>
      <c r="B30" s="1">
        <v>2</v>
      </c>
      <c r="C30" s="1">
        <v>4</v>
      </c>
      <c r="D30" s="5">
        <f>A26-(8.6*TAN((90-D25)*PI()/180))-2.3-0.4*E25</f>
        <v>136.53431457505101</v>
      </c>
      <c r="E30" s="1">
        <f>E27</f>
        <v>4</v>
      </c>
      <c r="G30" s="1" t="s">
        <v>9</v>
      </c>
      <c r="H30" s="1">
        <v>2</v>
      </c>
      <c r="I30" s="1">
        <v>4</v>
      </c>
      <c r="J30" s="5">
        <f>G26-(8.6*TAN((90-J25)*PI()/180))-2.3-0.4*K25</f>
        <v>135.03431457505101</v>
      </c>
      <c r="K30" s="1">
        <f>K27</f>
        <v>1</v>
      </c>
    </row>
    <row r="31" spans="1:11" x14ac:dyDescent="0.15">
      <c r="A31" s="1" t="s">
        <v>10</v>
      </c>
      <c r="B31" s="1">
        <v>2</v>
      </c>
      <c r="C31" s="1">
        <v>4</v>
      </c>
      <c r="D31" s="5">
        <f>A26-(9.6*TAN((90-D25)*PI()/180))-2.3-0.4*E25</f>
        <v>135.53431457505101</v>
      </c>
      <c r="E31" s="1">
        <f>E27</f>
        <v>4</v>
      </c>
      <c r="G31" s="1" t="s">
        <v>10</v>
      </c>
      <c r="H31" s="1">
        <v>2</v>
      </c>
      <c r="I31" s="1">
        <v>4</v>
      </c>
      <c r="J31" s="5">
        <f>G26-(9.6*TAN((90-J25)*PI()/180))-2.3-0.4*K25</f>
        <v>134.03431457505101</v>
      </c>
      <c r="K31" s="1">
        <f>K27</f>
        <v>1</v>
      </c>
    </row>
    <row r="32" spans="1:11" x14ac:dyDescent="0.15">
      <c r="A32" s="1" t="s">
        <v>11</v>
      </c>
      <c r="B32" s="1">
        <v>2</v>
      </c>
      <c r="C32" s="1">
        <v>4</v>
      </c>
      <c r="D32" s="5">
        <f>A26-(11.5*TAN((90-D25)*PI()/180))-2.3-0.4*E25</f>
        <v>133.63431457505101</v>
      </c>
      <c r="E32" s="1">
        <f>E27</f>
        <v>4</v>
      </c>
      <c r="G32" s="1" t="s">
        <v>11</v>
      </c>
      <c r="H32" s="1">
        <v>2</v>
      </c>
      <c r="I32" s="1">
        <v>4</v>
      </c>
      <c r="J32" s="5">
        <f>G26-(11.5*TAN((90-J25)*PI()/180))-2.3-0.4*K25</f>
        <v>132.13431457505101</v>
      </c>
      <c r="K32" s="1">
        <f>K27</f>
        <v>1</v>
      </c>
    </row>
    <row r="33" spans="1:11" x14ac:dyDescent="0.15">
      <c r="A33" s="1" t="s">
        <v>12</v>
      </c>
      <c r="B33" s="1">
        <v>2</v>
      </c>
      <c r="C33" s="1">
        <v>4</v>
      </c>
      <c r="D33" s="5">
        <f>A26-(14.9*TAN((90-D25)*PI()/180))-2.3-0.4*E25</f>
        <v>130.234314575051</v>
      </c>
      <c r="E33" s="1">
        <f>E27</f>
        <v>4</v>
      </c>
      <c r="G33" s="1" t="s">
        <v>12</v>
      </c>
      <c r="H33" s="1">
        <v>2</v>
      </c>
      <c r="I33" s="1">
        <v>4</v>
      </c>
      <c r="J33" s="5">
        <f>G26-(14.9*TAN((90-J25)*PI()/180))-2.3-0.4*K25</f>
        <v>128.734314575051</v>
      </c>
      <c r="K33" s="1">
        <f>K27</f>
        <v>1</v>
      </c>
    </row>
    <row r="34" spans="1:11" x14ac:dyDescent="0.15">
      <c r="A34" s="1" t="s">
        <v>13</v>
      </c>
      <c r="B34" s="1">
        <v>2</v>
      </c>
      <c r="C34" s="1">
        <v>4</v>
      </c>
      <c r="D34" s="5">
        <f>A26-(14.2*TAN((90-D25)*PI()/180))-2.3-0.4*E25</f>
        <v>130.93431457505099</v>
      </c>
      <c r="E34" s="1">
        <f>E27</f>
        <v>4</v>
      </c>
      <c r="G34" s="1" t="s">
        <v>13</v>
      </c>
      <c r="H34" s="1">
        <v>2</v>
      </c>
      <c r="I34" s="1">
        <v>4</v>
      </c>
      <c r="J34" s="5">
        <f>G26-(14.2*TAN((90-J25)*PI()/180))-2.3-0.4*K25</f>
        <v>129.43431457505099</v>
      </c>
      <c r="K34" s="1">
        <f>K27</f>
        <v>1</v>
      </c>
    </row>
    <row r="35" spans="1:11" x14ac:dyDescent="0.15">
      <c r="A35" s="1" t="s">
        <v>14</v>
      </c>
      <c r="B35" s="1">
        <v>3</v>
      </c>
      <c r="C35" s="1">
        <v>5</v>
      </c>
      <c r="D35" s="5">
        <f>A26-(18.5*TAN((90-D25)*PI()/180))-5.8-0.4*E25</f>
        <v>123.13431457505099</v>
      </c>
      <c r="E35" s="1">
        <f>E27*1</f>
        <v>4</v>
      </c>
      <c r="G35" s="1" t="s">
        <v>14</v>
      </c>
      <c r="H35" s="1">
        <v>3</v>
      </c>
      <c r="I35" s="1">
        <v>5</v>
      </c>
      <c r="J35" s="5">
        <f>G26-(18.5*TAN((90-J25)*PI()/180))-5.8-0.4*K25</f>
        <v>121.63431457505099</v>
      </c>
      <c r="K35" s="1">
        <f>K27*1</f>
        <v>1</v>
      </c>
    </row>
    <row r="36" spans="1:11" x14ac:dyDescent="0.15">
      <c r="A36" s="1" t="s">
        <v>15</v>
      </c>
      <c r="B36" s="1">
        <v>3</v>
      </c>
      <c r="C36" s="1">
        <v>5</v>
      </c>
      <c r="D36" s="5">
        <f>A26-(38.4*TAN((90-D25)*PI()/180))-5.8-0.4*E25</f>
        <v>103.234314575051</v>
      </c>
      <c r="E36" s="1">
        <f>E27*1</f>
        <v>4</v>
      </c>
      <c r="G36" s="1" t="s">
        <v>15</v>
      </c>
      <c r="H36" s="1">
        <v>3</v>
      </c>
      <c r="I36" s="1">
        <v>5</v>
      </c>
      <c r="J36" s="5">
        <f>G26-(38.4*TAN((90-J25)*PI()/180))-5.8-0.4*K25</f>
        <v>101.734314575051</v>
      </c>
      <c r="K36" s="1">
        <f>K27*1</f>
        <v>1</v>
      </c>
    </row>
    <row r="37" spans="1:11" x14ac:dyDescent="0.15">
      <c r="A37" s="1" t="s">
        <v>16</v>
      </c>
      <c r="B37" s="1">
        <v>3</v>
      </c>
      <c r="C37" s="1">
        <v>5</v>
      </c>
      <c r="D37" s="5">
        <f>A26-(56*TAN((90-D25)*PI()/180))-5.8-0.4*E25</f>
        <v>85.634314575050794</v>
      </c>
      <c r="E37" s="1">
        <f>E27</f>
        <v>4</v>
      </c>
      <c r="G37" s="1" t="s">
        <v>16</v>
      </c>
      <c r="H37" s="1">
        <v>3</v>
      </c>
      <c r="I37" s="1">
        <v>5</v>
      </c>
      <c r="J37" s="5">
        <f>G26-(56*TAN((90-J25)*PI()/180))-5.8-0.4*K25</f>
        <v>84.134314575050794</v>
      </c>
      <c r="K37" s="1">
        <f>K27</f>
        <v>1</v>
      </c>
    </row>
    <row r="38" spans="1:11" x14ac:dyDescent="0.15">
      <c r="A38" s="1" t="s">
        <v>17</v>
      </c>
      <c r="B38" s="1">
        <v>2</v>
      </c>
      <c r="C38" s="1">
        <v>4</v>
      </c>
      <c r="D38" s="5">
        <f>A26-(58.9*TAN((90-D25)*PI()/180))-5.8-0.4*E25</f>
        <v>82.734314575050803</v>
      </c>
      <c r="E38" s="1">
        <f>E29</f>
        <v>4</v>
      </c>
      <c r="G38" s="1" t="s">
        <v>17</v>
      </c>
      <c r="H38" s="1">
        <v>2</v>
      </c>
      <c r="I38" s="1">
        <v>4</v>
      </c>
      <c r="J38" s="5">
        <f>G26-(58.9*TAN((90-J25)*PI()/180))-5.8-0.4*K25</f>
        <v>81.234314575050803</v>
      </c>
      <c r="K38" s="1">
        <f>K29</f>
        <v>1</v>
      </c>
    </row>
    <row r="39" spans="1:11" x14ac:dyDescent="0.15">
      <c r="A39" s="1" t="s">
        <v>18</v>
      </c>
      <c r="B39" s="1">
        <v>3</v>
      </c>
      <c r="C39" s="1">
        <v>5</v>
      </c>
      <c r="D39" s="5">
        <f>A26-(56*TAN((90-D25)*PI()/180))-5.8-0.4*E25</f>
        <v>85.634314575050794</v>
      </c>
      <c r="E39" s="1">
        <f>E27</f>
        <v>4</v>
      </c>
      <c r="G39" s="1" t="s">
        <v>18</v>
      </c>
      <c r="H39" s="1">
        <v>3</v>
      </c>
      <c r="I39" s="1">
        <v>5</v>
      </c>
      <c r="J39" s="5">
        <f>G26-(56*TAN((90-J25)*PI()/180))-5.8-0.4*K25</f>
        <v>84.134314575050794</v>
      </c>
      <c r="K39" s="1">
        <f>K27</f>
        <v>1</v>
      </c>
    </row>
    <row r="40" spans="1:11" x14ac:dyDescent="0.15">
      <c r="A40" s="1" t="s">
        <v>19</v>
      </c>
      <c r="B40" s="1">
        <v>3</v>
      </c>
      <c r="C40" s="1">
        <v>5</v>
      </c>
      <c r="D40" s="5">
        <f>A26-(56*TAN((90-D25)*PI()/180))-5.8-0.4*E25</f>
        <v>85.634314575050794</v>
      </c>
      <c r="E40" s="1">
        <f>E27</f>
        <v>4</v>
      </c>
      <c r="G40" s="1" t="s">
        <v>19</v>
      </c>
      <c r="H40" s="1">
        <v>3</v>
      </c>
      <c r="I40" s="1">
        <v>5</v>
      </c>
      <c r="J40" s="5">
        <f>G26-(56*TAN((90-J25)*PI()/180))-5.8-0.4*K25</f>
        <v>84.134314575050794</v>
      </c>
      <c r="K40" s="1">
        <f>K27</f>
        <v>1</v>
      </c>
    </row>
    <row r="41" spans="1:11" x14ac:dyDescent="0.15">
      <c r="A41" s="1" t="s">
        <v>20</v>
      </c>
      <c r="B41" s="1">
        <v>2</v>
      </c>
      <c r="C41" s="1">
        <v>4</v>
      </c>
      <c r="D41" s="5">
        <f>A26-(61.2*TAN((90-D25)*PI()/180))-1.5-0.4*E25</f>
        <v>84.734314575050803</v>
      </c>
      <c r="E41" s="1">
        <f>E30</f>
        <v>4</v>
      </c>
      <c r="G41" s="1" t="s">
        <v>20</v>
      </c>
      <c r="H41" s="1">
        <v>2</v>
      </c>
      <c r="I41" s="1">
        <v>4</v>
      </c>
      <c r="J41" s="5">
        <f>G26-(61.2*TAN((90-J25)*PI()/180))-1.5-0.4*K25</f>
        <v>83.234314575050803</v>
      </c>
      <c r="K41" s="1">
        <f>K30</f>
        <v>1</v>
      </c>
    </row>
    <row r="52" spans="1:11" x14ac:dyDescent="0.15">
      <c r="A52" s="49" t="s">
        <v>23</v>
      </c>
      <c r="B52" s="50"/>
      <c r="C52" s="50"/>
      <c r="D52" s="50"/>
      <c r="E52" s="51"/>
      <c r="G52" s="49" t="s">
        <v>24</v>
      </c>
      <c r="H52" s="50"/>
      <c r="I52" s="50"/>
      <c r="J52" s="50"/>
      <c r="K52" s="51"/>
    </row>
    <row r="53" spans="1:11" x14ac:dyDescent="0.15">
      <c r="A53" s="52"/>
      <c r="B53" s="53"/>
      <c r="C53" s="53"/>
      <c r="D53" s="53"/>
      <c r="E53" s="54"/>
      <c r="G53" s="52"/>
      <c r="H53" s="53"/>
      <c r="I53" s="53"/>
      <c r="J53" s="53"/>
      <c r="K53" s="54"/>
    </row>
    <row r="54" spans="1:11" x14ac:dyDescent="0.15">
      <c r="A54" s="44" t="s">
        <v>2</v>
      </c>
      <c r="B54" s="44"/>
      <c r="C54" s="44"/>
      <c r="D54" s="2">
        <v>45</v>
      </c>
      <c r="E54" s="3">
        <f>1/COS((90-D54)*PI()/180)</f>
        <v>1.41421356237309</v>
      </c>
      <c r="G54" s="44" t="s">
        <v>2</v>
      </c>
      <c r="H54" s="44"/>
      <c r="I54" s="44"/>
      <c r="J54" s="4">
        <v>45</v>
      </c>
      <c r="K54" s="6">
        <f>1/COS((90-J54)*PI()/180)</f>
        <v>1.41421356237309</v>
      </c>
    </row>
    <row r="55" spans="1:11" x14ac:dyDescent="0.15">
      <c r="A55" s="2">
        <v>101.6</v>
      </c>
      <c r="B55" s="44" t="s">
        <v>3</v>
      </c>
      <c r="C55" s="44"/>
      <c r="D55" s="1" t="s">
        <v>4</v>
      </c>
      <c r="E55" s="1" t="s">
        <v>5</v>
      </c>
      <c r="G55" s="4">
        <v>165</v>
      </c>
      <c r="H55" s="44" t="s">
        <v>3</v>
      </c>
      <c r="I55" s="44"/>
      <c r="J55" s="1" t="s">
        <v>4</v>
      </c>
      <c r="K55" s="1" t="s">
        <v>5</v>
      </c>
    </row>
    <row r="56" spans="1:11" x14ac:dyDescent="0.15">
      <c r="A56" s="1" t="s">
        <v>6</v>
      </c>
      <c r="B56" s="1">
        <v>3</v>
      </c>
      <c r="C56" s="1">
        <v>5</v>
      </c>
      <c r="D56" s="5">
        <f>A55-(1*TAN((90-D54)*PI()/180))-1.3-0.4*E54</f>
        <v>98.734314575050803</v>
      </c>
      <c r="E56" s="1">
        <v>6</v>
      </c>
      <c r="G56" s="1" t="s">
        <v>6</v>
      </c>
      <c r="H56" s="1">
        <v>3</v>
      </c>
      <c r="I56" s="1">
        <v>5</v>
      </c>
      <c r="J56" s="5">
        <f>G55-(1*TAN((90-J54)*PI()/180))-5.8-0.4*K54</f>
        <v>157.63431457505101</v>
      </c>
      <c r="K56" s="1">
        <v>4</v>
      </c>
    </row>
    <row r="57" spans="1:11" x14ac:dyDescent="0.15">
      <c r="A57" s="1" t="s">
        <v>7</v>
      </c>
      <c r="B57" s="1">
        <v>2</v>
      </c>
      <c r="C57" s="1">
        <v>4</v>
      </c>
      <c r="D57" s="5">
        <f>A55-(1*TAN((90-D54)*PI()/180))-1.3-0.4*E54</f>
        <v>98.734314575050803</v>
      </c>
      <c r="E57" s="1">
        <f>E56</f>
        <v>6</v>
      </c>
      <c r="G57" s="1" t="s">
        <v>7</v>
      </c>
      <c r="H57" s="1">
        <v>2</v>
      </c>
      <c r="I57" s="1">
        <v>4</v>
      </c>
      <c r="J57" s="5">
        <f>G55-(1*TAN((90-J54)*PI()/180))-20.8-0.4*K54</f>
        <v>142.63431457505101</v>
      </c>
      <c r="K57" s="1">
        <f>K56</f>
        <v>4</v>
      </c>
    </row>
    <row r="58" spans="1:11" x14ac:dyDescent="0.15">
      <c r="A58" s="1" t="s">
        <v>8</v>
      </c>
      <c r="B58" s="1">
        <v>2</v>
      </c>
      <c r="C58" s="1">
        <v>7</v>
      </c>
      <c r="D58" s="5">
        <f>A55-(1*TAN((90-D54)*PI()/180))-1.3-0.4*E54</f>
        <v>98.734314575050803</v>
      </c>
      <c r="E58" s="1">
        <f>E56*1</f>
        <v>6</v>
      </c>
      <c r="G58" s="1" t="s">
        <v>8</v>
      </c>
      <c r="H58" s="1">
        <v>2</v>
      </c>
      <c r="I58" s="1">
        <v>7</v>
      </c>
      <c r="J58" s="5">
        <f>G55-(1*TAN((90-J54)*PI()/180))-20.8-0.4*K54</f>
        <v>142.63431457505101</v>
      </c>
      <c r="K58" s="1">
        <f>K56*1</f>
        <v>4</v>
      </c>
    </row>
    <row r="59" spans="1:11" x14ac:dyDescent="0.15">
      <c r="A59" s="1" t="s">
        <v>9</v>
      </c>
      <c r="B59" s="1">
        <v>2</v>
      </c>
      <c r="C59" s="1">
        <v>4</v>
      </c>
      <c r="D59" s="5">
        <f>A55-(8.6*TAN((90-D54)*PI()/180))-1.3-0.4*E54</f>
        <v>91.134314575050794</v>
      </c>
      <c r="E59" s="1">
        <f>E56</f>
        <v>6</v>
      </c>
      <c r="G59" s="1" t="s">
        <v>9</v>
      </c>
      <c r="H59" s="1">
        <v>2</v>
      </c>
      <c r="I59" s="1">
        <v>4</v>
      </c>
      <c r="J59" s="5">
        <f>G55-(8.6*TAN((90-J54)*PI()/180))-20.8-0.4*K54</f>
        <v>135.03431457505101</v>
      </c>
      <c r="K59" s="1">
        <f>K56</f>
        <v>4</v>
      </c>
    </row>
    <row r="60" spans="1:11" x14ac:dyDescent="0.15">
      <c r="A60" s="1" t="s">
        <v>10</v>
      </c>
      <c r="B60" s="1">
        <v>2</v>
      </c>
      <c r="C60" s="1">
        <v>4</v>
      </c>
      <c r="D60" s="5">
        <f>A55-(9.6*TAN((90-D54)*PI()/180))-1.3-0.4*E54</f>
        <v>90.134314575050794</v>
      </c>
      <c r="E60" s="1">
        <f>E56</f>
        <v>6</v>
      </c>
      <c r="G60" s="1" t="s">
        <v>10</v>
      </c>
      <c r="H60" s="1">
        <v>2</v>
      </c>
      <c r="I60" s="1">
        <v>4</v>
      </c>
      <c r="J60" s="5">
        <f>G55-(9.6*TAN((90-J54)*PI()/180))-20.8-0.4*K54</f>
        <v>134.03431457505101</v>
      </c>
      <c r="K60" s="1">
        <f>K56</f>
        <v>4</v>
      </c>
    </row>
    <row r="61" spans="1:11" x14ac:dyDescent="0.15">
      <c r="A61" s="1" t="s">
        <v>11</v>
      </c>
      <c r="B61" s="1">
        <v>2</v>
      </c>
      <c r="C61" s="1">
        <v>4</v>
      </c>
      <c r="D61" s="5">
        <f>A55-(11.5*TAN((90-D54)*PI()/180))-1.3-0.4*E54</f>
        <v>88.234314575050803</v>
      </c>
      <c r="E61" s="1">
        <f>E56</f>
        <v>6</v>
      </c>
      <c r="G61" s="1" t="s">
        <v>11</v>
      </c>
      <c r="H61" s="1">
        <v>2</v>
      </c>
      <c r="I61" s="1">
        <v>4</v>
      </c>
      <c r="J61" s="5">
        <f>G55-(11.5*TAN((90-J54)*PI()/180))-20.8-0.4*K54</f>
        <v>132.13431457505101</v>
      </c>
      <c r="K61" s="1">
        <f>K56</f>
        <v>4</v>
      </c>
    </row>
    <row r="62" spans="1:11" x14ac:dyDescent="0.15">
      <c r="A62" s="1" t="s">
        <v>12</v>
      </c>
      <c r="B62" s="1">
        <v>2</v>
      </c>
      <c r="C62" s="1">
        <v>4</v>
      </c>
      <c r="D62" s="5">
        <f>A55-(14.9*TAN((90-D54)*PI()/180))-1.3-0.4*E54</f>
        <v>84.834314575050797</v>
      </c>
      <c r="E62" s="1">
        <f>E56</f>
        <v>6</v>
      </c>
      <c r="G62" s="1" t="s">
        <v>12</v>
      </c>
      <c r="H62" s="1">
        <v>2</v>
      </c>
      <c r="I62" s="1">
        <v>4</v>
      </c>
      <c r="J62" s="5">
        <f>G55-(14.9*TAN((90-J54)*PI()/180))-20.8-0.4*K54</f>
        <v>128.734314575051</v>
      </c>
      <c r="K62" s="1">
        <f>K56</f>
        <v>4</v>
      </c>
    </row>
    <row r="63" spans="1:11" x14ac:dyDescent="0.15">
      <c r="A63" s="1" t="s">
        <v>13</v>
      </c>
      <c r="B63" s="1">
        <v>2</v>
      </c>
      <c r="C63" s="1">
        <v>4</v>
      </c>
      <c r="D63" s="5">
        <f>A55-(14.2*TAN((90-D54)*PI()/180))-1.3-0.4*E54</f>
        <v>85.5343145750508</v>
      </c>
      <c r="E63" s="1">
        <f>E56</f>
        <v>6</v>
      </c>
      <c r="G63" s="1" t="s">
        <v>13</v>
      </c>
      <c r="H63" s="1">
        <v>2</v>
      </c>
      <c r="I63" s="1">
        <v>4</v>
      </c>
      <c r="J63" s="5">
        <f>G55-(14.2*TAN((90-J54)*PI()/180))-20.8-0.4*K54</f>
        <v>129.43431457505099</v>
      </c>
      <c r="K63" s="1">
        <f>K56</f>
        <v>4</v>
      </c>
    </row>
    <row r="64" spans="1:11" x14ac:dyDescent="0.15">
      <c r="A64" s="1" t="s">
        <v>14</v>
      </c>
      <c r="B64" s="1">
        <v>3</v>
      </c>
      <c r="C64" s="1">
        <v>5</v>
      </c>
      <c r="D64" s="5">
        <f>A55-(18.5*TAN((90-D54)*PI()/180))-1.3-0.4*E54</f>
        <v>81.234314575050803</v>
      </c>
      <c r="E64" s="1">
        <f>E56*1</f>
        <v>6</v>
      </c>
      <c r="G64" s="1" t="s">
        <v>14</v>
      </c>
      <c r="H64" s="1">
        <v>3</v>
      </c>
      <c r="I64" s="1">
        <v>5</v>
      </c>
      <c r="J64" s="5">
        <f>G55-(18.5*TAN((90-J54)*PI()/180))-5.8-0.4*K54</f>
        <v>140.13431457505101</v>
      </c>
      <c r="K64" s="1">
        <f>K56*1</f>
        <v>4</v>
      </c>
    </row>
    <row r="65" spans="1:11" x14ac:dyDescent="0.15">
      <c r="A65" s="1" t="s">
        <v>15</v>
      </c>
      <c r="B65" s="1">
        <v>3</v>
      </c>
      <c r="C65" s="1">
        <v>5</v>
      </c>
      <c r="D65" s="5">
        <f>A55-(38.4*TAN((90-D54)*PI()/180))-1.3-0.4*E54</f>
        <v>61.334314575050797</v>
      </c>
      <c r="E65" s="1">
        <f>E56*1</f>
        <v>6</v>
      </c>
      <c r="G65" s="1" t="s">
        <v>15</v>
      </c>
      <c r="H65" s="1">
        <v>3</v>
      </c>
      <c r="I65" s="1">
        <v>5</v>
      </c>
      <c r="J65" s="5">
        <f>G55-(38.4*TAN((90-J54)*PI()/180))-5.8-0.4*K54</f>
        <v>120.234314575051</v>
      </c>
      <c r="K65" s="1">
        <f>K56*1</f>
        <v>4</v>
      </c>
    </row>
    <row r="66" spans="1:11" x14ac:dyDescent="0.15">
      <c r="A66" s="1" t="s">
        <v>16</v>
      </c>
      <c r="B66" s="1">
        <v>3</v>
      </c>
      <c r="C66" s="1">
        <v>5</v>
      </c>
      <c r="D66" s="5">
        <f>A55-(56*TAN((90-D54)*PI()/180))-1.3-0.4*E54</f>
        <v>43.734314575050803</v>
      </c>
      <c r="E66" s="1">
        <f>E56</f>
        <v>6</v>
      </c>
      <c r="G66" s="1" t="s">
        <v>16</v>
      </c>
      <c r="H66" s="1">
        <v>3</v>
      </c>
      <c r="I66" s="1">
        <v>5</v>
      </c>
      <c r="J66" s="5">
        <f>G55-(56*TAN((90-J54)*PI()/180))-5.8-0.4*K54</f>
        <v>102.63431457505099</v>
      </c>
      <c r="K66" s="1">
        <f>K56</f>
        <v>4</v>
      </c>
    </row>
    <row r="67" spans="1:11" x14ac:dyDescent="0.15">
      <c r="A67" s="1" t="s">
        <v>17</v>
      </c>
      <c r="B67" s="1">
        <v>2</v>
      </c>
      <c r="C67" s="1">
        <v>4</v>
      </c>
      <c r="D67" s="5">
        <f>A55-(58.9*TAN((90-D54)*PI()/180))-1.3-0.4*E54</f>
        <v>40.834314575050797</v>
      </c>
      <c r="E67" s="1">
        <f>E58</f>
        <v>6</v>
      </c>
      <c r="G67" s="1" t="s">
        <v>17</v>
      </c>
      <c r="H67" s="1">
        <v>2</v>
      </c>
      <c r="I67" s="1">
        <v>4</v>
      </c>
      <c r="J67" s="5">
        <f>G55-(58.9*TAN((90-J54)*PI()/180))-5.8-0.4*K54</f>
        <v>99.734314575050803</v>
      </c>
      <c r="K67" s="1">
        <f>K58</f>
        <v>4</v>
      </c>
    </row>
    <row r="68" spans="1:11" x14ac:dyDescent="0.15">
      <c r="A68" s="1" t="s">
        <v>18</v>
      </c>
      <c r="B68" s="1">
        <v>3</v>
      </c>
      <c r="C68" s="1">
        <v>5</v>
      </c>
      <c r="D68" s="5">
        <f>A55-(56*TAN((90-D54)*PI()/180))-1.3-0.4*E54</f>
        <v>43.734314575050803</v>
      </c>
      <c r="E68" s="1">
        <f>E56</f>
        <v>6</v>
      </c>
      <c r="G68" s="1" t="s">
        <v>18</v>
      </c>
      <c r="H68" s="1">
        <v>3</v>
      </c>
      <c r="I68" s="1">
        <v>5</v>
      </c>
      <c r="J68" s="5">
        <f>G55-(56*TAN((90-J54)*PI()/180))-5.8-0.4*K54</f>
        <v>102.63431457505099</v>
      </c>
      <c r="K68" s="1">
        <f>K56</f>
        <v>4</v>
      </c>
    </row>
    <row r="69" spans="1:11" x14ac:dyDescent="0.15">
      <c r="A69" s="1" t="s">
        <v>19</v>
      </c>
      <c r="B69" s="1">
        <v>3</v>
      </c>
      <c r="C69" s="1">
        <v>5</v>
      </c>
      <c r="D69" s="5">
        <f>A55-(56*TAN((90-D54)*PI()/180))-1.3-0.4*E54</f>
        <v>43.734314575050803</v>
      </c>
      <c r="E69" s="1">
        <f>E56</f>
        <v>6</v>
      </c>
      <c r="G69" s="1" t="s">
        <v>19</v>
      </c>
      <c r="H69" s="1">
        <v>3</v>
      </c>
      <c r="I69" s="1">
        <v>5</v>
      </c>
      <c r="J69" s="5">
        <f>G55-(56*TAN((90-J54)*PI()/180))-5.8-0.4*K54</f>
        <v>102.63431457505099</v>
      </c>
      <c r="K69" s="1">
        <f>K56</f>
        <v>4</v>
      </c>
    </row>
    <row r="70" spans="1:11" x14ac:dyDescent="0.15">
      <c r="A70" s="1" t="s">
        <v>20</v>
      </c>
      <c r="B70" s="1">
        <v>2</v>
      </c>
      <c r="C70" s="1">
        <v>4</v>
      </c>
      <c r="D70" s="5">
        <f>A55-(61.2*TAN((90-D54)*PI()/180))-0.5-0.4*E54</f>
        <v>39.334314575050797</v>
      </c>
      <c r="E70" s="1">
        <f>E59</f>
        <v>6</v>
      </c>
      <c r="G70" s="1" t="s">
        <v>20</v>
      </c>
      <c r="H70" s="1">
        <v>2</v>
      </c>
      <c r="I70" s="1">
        <v>4</v>
      </c>
      <c r="J70" s="5">
        <f>G55-(61.2*TAN((90-J54)*PI()/180))-1.5-0.4*K54</f>
        <v>101.734314575051</v>
      </c>
      <c r="K70" s="1">
        <f>K59</f>
        <v>4</v>
      </c>
    </row>
    <row r="71" spans="1:11" x14ac:dyDescent="0.15">
      <c r="G71" s="7" t="s">
        <v>25</v>
      </c>
      <c r="H71" s="7">
        <v>3</v>
      </c>
      <c r="I71" s="7">
        <v>5</v>
      </c>
      <c r="J71" s="7">
        <v>14.2</v>
      </c>
      <c r="K71" s="7">
        <v>4</v>
      </c>
    </row>
    <row r="72" spans="1:11" x14ac:dyDescent="0.15">
      <c r="A72" s="49" t="s">
        <v>26</v>
      </c>
      <c r="B72" s="50"/>
      <c r="C72" s="50"/>
      <c r="D72" s="50"/>
      <c r="E72" s="51"/>
      <c r="G72" s="7" t="s">
        <v>27</v>
      </c>
      <c r="H72" s="7">
        <v>3</v>
      </c>
      <c r="I72" s="7">
        <v>5</v>
      </c>
      <c r="J72" s="7">
        <v>20.6</v>
      </c>
      <c r="K72" s="7">
        <v>8</v>
      </c>
    </row>
    <row r="73" spans="1:11" x14ac:dyDescent="0.15">
      <c r="A73" s="52"/>
      <c r="B73" s="53"/>
      <c r="C73" s="53"/>
      <c r="D73" s="53"/>
      <c r="E73" s="54"/>
    </row>
    <row r="74" spans="1:11" x14ac:dyDescent="0.15">
      <c r="A74" s="44" t="s">
        <v>2</v>
      </c>
      <c r="B74" s="44"/>
      <c r="C74" s="44"/>
      <c r="D74" s="8">
        <v>45</v>
      </c>
      <c r="E74" s="9">
        <f>1/COS((90-D74)*PI()/180)</f>
        <v>1.41421356237309</v>
      </c>
      <c r="G74" s="46" t="s">
        <v>28</v>
      </c>
      <c r="H74" s="46"/>
      <c r="I74" s="46"/>
      <c r="J74" s="46"/>
      <c r="K74" s="46"/>
    </row>
    <row r="75" spans="1:11" x14ac:dyDescent="0.15">
      <c r="A75" s="8">
        <v>165</v>
      </c>
      <c r="B75" s="44" t="s">
        <v>3</v>
      </c>
      <c r="C75" s="44"/>
      <c r="D75" s="1" t="s">
        <v>4</v>
      </c>
      <c r="E75" s="1" t="s">
        <v>5</v>
      </c>
      <c r="G75" s="7" t="s">
        <v>29</v>
      </c>
      <c r="H75" s="7">
        <v>2</v>
      </c>
      <c r="I75" s="7">
        <v>4</v>
      </c>
      <c r="J75" s="7">
        <v>38.6</v>
      </c>
      <c r="K75" s="7">
        <v>24</v>
      </c>
    </row>
    <row r="76" spans="1:11" x14ac:dyDescent="0.15">
      <c r="A76" s="1" t="s">
        <v>6</v>
      </c>
      <c r="B76" s="1">
        <v>3</v>
      </c>
      <c r="C76" s="1">
        <v>5</v>
      </c>
      <c r="D76" s="5">
        <f>A75-(1*TAN((90-D74)*PI()/180))-5.8-0.4*E74</f>
        <v>157.63431457505101</v>
      </c>
      <c r="E76" s="1">
        <v>2</v>
      </c>
      <c r="G76" s="7" t="s">
        <v>30</v>
      </c>
      <c r="H76" s="7">
        <v>2</v>
      </c>
      <c r="I76" s="7">
        <v>4</v>
      </c>
      <c r="J76" s="7">
        <v>50.3</v>
      </c>
      <c r="K76" s="7">
        <v>36</v>
      </c>
    </row>
    <row r="77" spans="1:11" x14ac:dyDescent="0.15">
      <c r="A77" s="1" t="s">
        <v>7</v>
      </c>
      <c r="B77" s="1">
        <v>2</v>
      </c>
      <c r="C77" s="1">
        <v>4</v>
      </c>
      <c r="D77" s="5">
        <f>A75-(1*TAN((90-D74)*PI()/180))-20.8-0.4*E74</f>
        <v>142.63431457505101</v>
      </c>
      <c r="E77" s="1">
        <f>E76</f>
        <v>2</v>
      </c>
      <c r="G77" s="7" t="s">
        <v>31</v>
      </c>
      <c r="H77" s="7">
        <v>2</v>
      </c>
      <c r="I77" s="7">
        <v>4</v>
      </c>
      <c r="J77" s="7">
        <v>40</v>
      </c>
      <c r="K77" s="7">
        <v>30</v>
      </c>
    </row>
    <row r="78" spans="1:11" x14ac:dyDescent="0.15">
      <c r="A78" s="1" t="s">
        <v>8</v>
      </c>
      <c r="B78" s="1">
        <v>2</v>
      </c>
      <c r="C78" s="1">
        <v>7</v>
      </c>
      <c r="D78" s="5">
        <f>A75-(1*TAN((90-D74)*PI()/180))-20.8-0.4*E74</f>
        <v>142.63431457505101</v>
      </c>
      <c r="E78" s="1">
        <f>E76*1</f>
        <v>2</v>
      </c>
      <c r="G78" s="7" t="s">
        <v>32</v>
      </c>
      <c r="H78" s="7">
        <v>2</v>
      </c>
      <c r="I78" s="7">
        <v>4</v>
      </c>
      <c r="J78" s="7">
        <v>50</v>
      </c>
      <c r="K78" s="7">
        <v>30</v>
      </c>
    </row>
    <row r="79" spans="1:11" x14ac:dyDescent="0.15">
      <c r="A79" s="1" t="s">
        <v>9</v>
      </c>
      <c r="B79" s="1">
        <v>2</v>
      </c>
      <c r="C79" s="1">
        <v>4</v>
      </c>
      <c r="D79" s="5">
        <f>A75-(8.6*TAN((90-D74)*PI()/180))-20.8-0.4*E74</f>
        <v>135.03431457505101</v>
      </c>
      <c r="E79" s="1">
        <f>E76</f>
        <v>2</v>
      </c>
      <c r="G79" s="7" t="s">
        <v>33</v>
      </c>
      <c r="H79" s="7">
        <v>2</v>
      </c>
      <c r="I79" s="7">
        <v>4</v>
      </c>
      <c r="J79" s="7">
        <v>40</v>
      </c>
      <c r="K79" s="7">
        <v>48</v>
      </c>
    </row>
    <row r="80" spans="1:11" x14ac:dyDescent="0.15">
      <c r="A80" s="1" t="s">
        <v>10</v>
      </c>
      <c r="B80" s="1">
        <v>2</v>
      </c>
      <c r="C80" s="1">
        <v>4</v>
      </c>
      <c r="D80" s="5">
        <f>A75-(9.6*TAN((90-D74)*PI()/180))-20.8-0.4*E74</f>
        <v>134.03431457505101</v>
      </c>
      <c r="E80" s="1">
        <f>E76</f>
        <v>2</v>
      </c>
      <c r="G80" s="7" t="s">
        <v>34</v>
      </c>
      <c r="H80" s="7">
        <v>2</v>
      </c>
      <c r="I80" s="7">
        <v>4</v>
      </c>
      <c r="J80" s="7">
        <v>55.8</v>
      </c>
      <c r="K80" s="7">
        <v>44</v>
      </c>
    </row>
    <row r="81" spans="1:11" x14ac:dyDescent="0.15">
      <c r="A81" s="1" t="s">
        <v>11</v>
      </c>
      <c r="B81" s="1">
        <v>2</v>
      </c>
      <c r="C81" s="1">
        <v>4</v>
      </c>
      <c r="D81" s="5">
        <f>A75-(11.5*TAN((90-D74)*PI()/180))-20.8-0.4*E74</f>
        <v>132.13431457505101</v>
      </c>
      <c r="E81" s="1">
        <f>E76</f>
        <v>2</v>
      </c>
      <c r="G81" s="7" t="s">
        <v>35</v>
      </c>
      <c r="H81" s="7">
        <v>3</v>
      </c>
      <c r="I81" s="7">
        <v>5</v>
      </c>
      <c r="J81" s="7">
        <v>58.7</v>
      </c>
      <c r="K81" s="7">
        <v>42</v>
      </c>
    </row>
    <row r="82" spans="1:11" x14ac:dyDescent="0.15">
      <c r="A82" s="1" t="s">
        <v>12</v>
      </c>
      <c r="B82" s="1">
        <v>2</v>
      </c>
      <c r="C82" s="1">
        <v>4</v>
      </c>
      <c r="D82" s="5">
        <f>A75-(14.9*TAN((90-D74)*PI()/180))-20.8-0.4*E74</f>
        <v>128.734314575051</v>
      </c>
      <c r="E82" s="1">
        <f>E76</f>
        <v>2</v>
      </c>
      <c r="G82" s="7" t="s">
        <v>36</v>
      </c>
      <c r="H82" s="7">
        <v>3</v>
      </c>
      <c r="I82" s="7">
        <v>5</v>
      </c>
      <c r="J82" s="7">
        <v>17.899999999999999</v>
      </c>
      <c r="K82" s="7">
        <v>38</v>
      </c>
    </row>
    <row r="83" spans="1:11" x14ac:dyDescent="0.15">
      <c r="A83" s="1" t="s">
        <v>13</v>
      </c>
      <c r="B83" s="1">
        <v>2</v>
      </c>
      <c r="C83" s="1">
        <v>4</v>
      </c>
      <c r="D83" s="5">
        <f>A75-(14.2*TAN((90-D74)*PI()/180))-20.8-0.4*E74</f>
        <v>129.43431457505099</v>
      </c>
      <c r="E83" s="1">
        <f>E76</f>
        <v>2</v>
      </c>
      <c r="G83" s="7" t="s">
        <v>37</v>
      </c>
      <c r="H83" s="7">
        <v>2</v>
      </c>
      <c r="I83" s="7">
        <v>4</v>
      </c>
      <c r="J83" s="7">
        <v>17.600000000000001</v>
      </c>
      <c r="K83" s="7">
        <v>100</v>
      </c>
    </row>
    <row r="84" spans="1:11" x14ac:dyDescent="0.15">
      <c r="A84" s="1" t="s">
        <v>14</v>
      </c>
      <c r="B84" s="1">
        <v>3</v>
      </c>
      <c r="C84" s="1">
        <v>5</v>
      </c>
      <c r="D84" s="5">
        <f>A75-(18.5*TAN((90-D74)*PI()/180))-5.8-0.4*E74</f>
        <v>140.13431457505101</v>
      </c>
      <c r="E84" s="1">
        <f>E76*1</f>
        <v>2</v>
      </c>
      <c r="G84" s="7" t="s">
        <v>38</v>
      </c>
      <c r="H84" s="7">
        <v>2</v>
      </c>
      <c r="I84" s="7">
        <v>4</v>
      </c>
      <c r="J84" s="7">
        <v>9</v>
      </c>
      <c r="K84" s="7">
        <v>100</v>
      </c>
    </row>
    <row r="85" spans="1:11" x14ac:dyDescent="0.15">
      <c r="A85" s="1" t="s">
        <v>15</v>
      </c>
      <c r="B85" s="1">
        <v>3</v>
      </c>
      <c r="C85" s="1">
        <v>5</v>
      </c>
      <c r="D85" s="5">
        <f>A75-(38.4*TAN((90-D74)*PI()/180))-5.8-0.4*E74</f>
        <v>120.234314575051</v>
      </c>
      <c r="E85" s="1">
        <f>E76*1</f>
        <v>2</v>
      </c>
      <c r="G85" s="7" t="s">
        <v>39</v>
      </c>
      <c r="H85" s="7">
        <v>3</v>
      </c>
      <c r="I85" s="7">
        <v>5</v>
      </c>
      <c r="J85" s="7">
        <v>47.7</v>
      </c>
      <c r="K85" s="7">
        <v>6</v>
      </c>
    </row>
    <row r="86" spans="1:11" x14ac:dyDescent="0.15">
      <c r="A86" s="1" t="s">
        <v>16</v>
      </c>
      <c r="B86" s="1">
        <v>3</v>
      </c>
      <c r="C86" s="1">
        <v>5</v>
      </c>
      <c r="D86" s="5">
        <f>A75-(56*TAN((90-D74)*PI()/180))-5.8-0.4*E74</f>
        <v>102.63431457505099</v>
      </c>
      <c r="E86" s="1">
        <f>E76</f>
        <v>2</v>
      </c>
      <c r="G86" s="7" t="s">
        <v>40</v>
      </c>
      <c r="H86" s="7">
        <v>3</v>
      </c>
      <c r="I86" s="7">
        <v>5</v>
      </c>
      <c r="J86" s="7">
        <v>55</v>
      </c>
      <c r="K86" s="7">
        <v>12</v>
      </c>
    </row>
    <row r="87" spans="1:11" x14ac:dyDescent="0.15">
      <c r="A87" s="1" t="s">
        <v>17</v>
      </c>
      <c r="B87" s="1">
        <v>2</v>
      </c>
      <c r="C87" s="1">
        <v>4</v>
      </c>
      <c r="D87" s="5">
        <f>A75-(58.9*TAN((90-D74)*PI()/180))-5.8-0.4*E74</f>
        <v>99.734314575050803</v>
      </c>
      <c r="E87" s="1">
        <f>E78</f>
        <v>2</v>
      </c>
      <c r="G87" s="10" t="s">
        <v>41</v>
      </c>
      <c r="H87" s="7">
        <v>3</v>
      </c>
      <c r="I87" s="7">
        <v>5</v>
      </c>
      <c r="J87" s="7">
        <v>59.7</v>
      </c>
      <c r="K87" s="7">
        <v>12</v>
      </c>
    </row>
    <row r="88" spans="1:11" x14ac:dyDescent="0.15">
      <c r="A88" s="1" t="s">
        <v>18</v>
      </c>
      <c r="B88" s="1">
        <v>3</v>
      </c>
      <c r="C88" s="1">
        <v>5</v>
      </c>
      <c r="D88" s="5">
        <f>A75-(56*TAN((90-D74)*PI()/180))-5.8-0.4*E74</f>
        <v>102.63431457505099</v>
      </c>
      <c r="E88" s="1">
        <f>E76</f>
        <v>2</v>
      </c>
      <c r="G88" s="55" t="s">
        <v>42</v>
      </c>
      <c r="H88" s="56"/>
      <c r="I88" s="56"/>
      <c r="J88" s="56"/>
      <c r="K88" s="57"/>
    </row>
    <row r="89" spans="1:11" x14ac:dyDescent="0.15">
      <c r="A89" s="1" t="s">
        <v>19</v>
      </c>
      <c r="B89" s="1">
        <v>3</v>
      </c>
      <c r="C89" s="1">
        <v>5</v>
      </c>
      <c r="D89" s="5">
        <f>A75-(56*TAN((90-D74)*PI()/180))-5.8-0.4*E74</f>
        <v>102.63431457505099</v>
      </c>
      <c r="E89" s="1">
        <f>E76</f>
        <v>2</v>
      </c>
      <c r="G89" s="7" t="s">
        <v>32</v>
      </c>
      <c r="H89" s="7">
        <v>2</v>
      </c>
      <c r="I89" s="7">
        <v>4</v>
      </c>
      <c r="J89" s="7">
        <v>45</v>
      </c>
      <c r="K89" s="7">
        <v>2</v>
      </c>
    </row>
    <row r="90" spans="1:11" x14ac:dyDescent="0.15">
      <c r="A90" s="1" t="s">
        <v>43</v>
      </c>
      <c r="B90" s="1">
        <v>3</v>
      </c>
      <c r="C90" s="1">
        <v>5</v>
      </c>
      <c r="D90" s="5">
        <f>A75-(3*TAN((90-D74)*PI()/180))-5.8-0.4*E74</f>
        <v>155.63431457505101</v>
      </c>
      <c r="E90" s="1">
        <f>E76</f>
        <v>2</v>
      </c>
      <c r="G90" s="7" t="s">
        <v>34</v>
      </c>
      <c r="H90" s="7">
        <v>2</v>
      </c>
      <c r="I90" s="7">
        <v>4</v>
      </c>
      <c r="J90" s="7">
        <v>50.8</v>
      </c>
      <c r="K90" s="7">
        <v>4</v>
      </c>
    </row>
    <row r="91" spans="1:11" x14ac:dyDescent="0.15">
      <c r="A91" s="1" t="s">
        <v>20</v>
      </c>
      <c r="B91" s="1">
        <v>2</v>
      </c>
      <c r="C91" s="1">
        <v>4</v>
      </c>
      <c r="D91" s="5">
        <f>A75-(61.2*TAN((90-D74)*PI()/180))-1.5-0.4*E74</f>
        <v>101.734314575051</v>
      </c>
      <c r="E91" s="1">
        <f>E79</f>
        <v>2</v>
      </c>
      <c r="G91" s="7" t="s">
        <v>44</v>
      </c>
      <c r="H91" s="7">
        <v>3</v>
      </c>
      <c r="I91" s="7">
        <v>5</v>
      </c>
      <c r="J91" s="7">
        <v>12.9</v>
      </c>
      <c r="K91" s="7">
        <v>4</v>
      </c>
    </row>
    <row r="92" spans="1:11" x14ac:dyDescent="0.15">
      <c r="A92" s="7" t="s">
        <v>45</v>
      </c>
      <c r="B92" s="7">
        <v>3</v>
      </c>
      <c r="C92" s="7">
        <v>5</v>
      </c>
      <c r="D92" s="7">
        <v>14.2</v>
      </c>
      <c r="E92" s="7">
        <v>2</v>
      </c>
      <c r="G92" s="7" t="s">
        <v>46</v>
      </c>
      <c r="H92" s="7">
        <v>3</v>
      </c>
      <c r="I92" s="7">
        <v>5</v>
      </c>
      <c r="J92" s="7">
        <v>5.8</v>
      </c>
      <c r="K92" s="7">
        <v>100</v>
      </c>
    </row>
    <row r="93" spans="1:11" x14ac:dyDescent="0.15">
      <c r="A93" s="7" t="s">
        <v>27</v>
      </c>
      <c r="B93" s="7">
        <v>3</v>
      </c>
      <c r="C93" s="7">
        <v>5</v>
      </c>
      <c r="D93" s="7">
        <v>15.6</v>
      </c>
      <c r="E93" s="7">
        <v>4</v>
      </c>
      <c r="G93" s="7" t="s">
        <v>47</v>
      </c>
      <c r="H93" s="7">
        <v>2</v>
      </c>
      <c r="I93" s="7">
        <v>4</v>
      </c>
      <c r="J93" s="7">
        <v>56</v>
      </c>
      <c r="K93" s="7">
        <v>24</v>
      </c>
    </row>
    <row r="94" spans="1:11" x14ac:dyDescent="0.15">
      <c r="G94" s="7" t="s">
        <v>48</v>
      </c>
      <c r="H94" s="7">
        <v>2</v>
      </c>
      <c r="I94" s="7">
        <v>4</v>
      </c>
      <c r="J94" s="7">
        <v>71</v>
      </c>
      <c r="K94" s="7">
        <v>12</v>
      </c>
    </row>
    <row r="95" spans="1:11" x14ac:dyDescent="0.15">
      <c r="A95" s="11" t="s">
        <v>49</v>
      </c>
      <c r="B95" s="46" t="s">
        <v>50</v>
      </c>
      <c r="C95" s="46"/>
      <c r="D95" s="46"/>
      <c r="E95" s="46"/>
      <c r="G95" s="7" t="s">
        <v>51</v>
      </c>
      <c r="H95" s="7">
        <v>2</v>
      </c>
      <c r="I95" s="7">
        <v>4</v>
      </c>
      <c r="J95" s="7">
        <v>53.4</v>
      </c>
      <c r="K95" s="7">
        <v>6</v>
      </c>
    </row>
    <row r="96" spans="1:11" x14ac:dyDescent="0.15">
      <c r="A96" s="11" t="s">
        <v>52</v>
      </c>
      <c r="B96" s="45">
        <v>173.2</v>
      </c>
      <c r="C96" s="45"/>
      <c r="D96" s="11" t="s">
        <v>53</v>
      </c>
      <c r="E96" s="13">
        <v>3</v>
      </c>
      <c r="G96" s="7" t="s">
        <v>54</v>
      </c>
      <c r="H96" s="7">
        <v>2</v>
      </c>
      <c r="I96" s="7">
        <v>4</v>
      </c>
      <c r="J96" s="7">
        <v>27.4</v>
      </c>
      <c r="K96" s="7">
        <v>6</v>
      </c>
    </row>
    <row r="97" spans="1:11" x14ac:dyDescent="0.15">
      <c r="A97" s="11" t="s">
        <v>55</v>
      </c>
      <c r="B97" s="46" t="s">
        <v>3</v>
      </c>
      <c r="C97" s="46"/>
      <c r="D97" s="11" t="s">
        <v>4</v>
      </c>
      <c r="E97" s="11" t="s">
        <v>56</v>
      </c>
      <c r="G97" s="7" t="s">
        <v>57</v>
      </c>
      <c r="H97" s="7">
        <v>2</v>
      </c>
      <c r="I97" s="7">
        <v>4</v>
      </c>
      <c r="J97" s="7">
        <v>10</v>
      </c>
      <c r="K97" s="7">
        <v>48</v>
      </c>
    </row>
    <row r="98" spans="1:11" x14ac:dyDescent="0.15">
      <c r="A98" s="11"/>
      <c r="B98" s="11">
        <v>2</v>
      </c>
      <c r="C98" s="11">
        <v>4</v>
      </c>
      <c r="D98" s="11">
        <f>B96-2.6</f>
        <v>170.6</v>
      </c>
      <c r="E98" s="11">
        <f>E96*7</f>
        <v>21</v>
      </c>
      <c r="G98" s="7"/>
      <c r="H98" s="7">
        <v>2</v>
      </c>
      <c r="I98" s="7">
        <v>4</v>
      </c>
      <c r="J98" s="7">
        <v>12</v>
      </c>
      <c r="K98" s="7">
        <v>48</v>
      </c>
    </row>
    <row r="99" spans="1:11" x14ac:dyDescent="0.15">
      <c r="A99" s="11"/>
      <c r="B99" s="11">
        <v>2</v>
      </c>
      <c r="C99" s="11">
        <v>7</v>
      </c>
      <c r="D99" s="11">
        <f>B96-2.6</f>
        <v>170.6</v>
      </c>
      <c r="E99" s="11">
        <f>E96*1</f>
        <v>3</v>
      </c>
    </row>
    <row r="100" spans="1:11" x14ac:dyDescent="0.15">
      <c r="A100" s="11"/>
      <c r="B100" s="11">
        <v>3</v>
      </c>
      <c r="C100" s="11">
        <v>5</v>
      </c>
      <c r="D100" s="11">
        <f>B96-2.6</f>
        <v>170.6</v>
      </c>
      <c r="E100" s="11">
        <f>E96*6</f>
        <v>18</v>
      </c>
    </row>
    <row r="101" spans="1:11" x14ac:dyDescent="0.15">
      <c r="A101" s="11" t="s">
        <v>20</v>
      </c>
      <c r="B101" s="11">
        <v>2</v>
      </c>
      <c r="C101" s="11">
        <v>4</v>
      </c>
      <c r="D101" s="11">
        <f>B96-1</f>
        <v>172.2</v>
      </c>
      <c r="E101" s="11">
        <f>E96*1</f>
        <v>3</v>
      </c>
    </row>
  </sheetData>
  <mergeCells count="27">
    <mergeCell ref="B96:C96"/>
    <mergeCell ref="B97:C97"/>
    <mergeCell ref="A1:K2"/>
    <mergeCell ref="A3:E4"/>
    <mergeCell ref="G3:K4"/>
    <mergeCell ref="A23:E24"/>
    <mergeCell ref="G23:K24"/>
    <mergeCell ref="A52:E53"/>
    <mergeCell ref="G52:K53"/>
    <mergeCell ref="A72:E73"/>
    <mergeCell ref="A74:C74"/>
    <mergeCell ref="G74:K74"/>
    <mergeCell ref="B75:C75"/>
    <mergeCell ref="G88:K88"/>
    <mergeCell ref="B95:E95"/>
    <mergeCell ref="B26:C26"/>
    <mergeCell ref="H26:I26"/>
    <mergeCell ref="A54:C54"/>
    <mergeCell ref="G54:I54"/>
    <mergeCell ref="B55:C55"/>
    <mergeCell ref="H55:I55"/>
    <mergeCell ref="A5:C5"/>
    <mergeCell ref="G5:I5"/>
    <mergeCell ref="B6:C6"/>
    <mergeCell ref="H6:I6"/>
    <mergeCell ref="A25:C25"/>
    <mergeCell ref="G25:I25"/>
  </mergeCells>
  <phoneticPr fontId="3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abSelected="1" zoomScaleNormal="100" workbookViewId="0">
      <selection activeCell="E15" sqref="E15"/>
    </sheetView>
  </sheetViews>
  <sheetFormatPr defaultRowHeight="13.5" x14ac:dyDescent="0.15"/>
  <cols>
    <col min="1" max="1" width="11.25" customWidth="1"/>
    <col min="2" max="3" width="4.875" customWidth="1"/>
    <col min="4" max="5" width="9.875" customWidth="1"/>
    <col min="6" max="6" width="4.25" customWidth="1"/>
    <col min="7" max="7" width="9.875" customWidth="1"/>
    <col min="8" max="9" width="4.875" customWidth="1"/>
    <col min="10" max="11" width="9.875" customWidth="1"/>
  </cols>
  <sheetData>
    <row r="1" spans="1:11" x14ac:dyDescent="0.15">
      <c r="A1" s="47" t="s">
        <v>87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x14ac:dyDescent="0.15">
      <c r="A3" s="49" t="s">
        <v>58</v>
      </c>
      <c r="B3" s="50"/>
      <c r="C3" s="50"/>
      <c r="D3" s="50"/>
      <c r="E3" s="51"/>
      <c r="G3" s="49" t="s">
        <v>59</v>
      </c>
      <c r="H3" s="50"/>
      <c r="I3" s="50"/>
      <c r="J3" s="50"/>
      <c r="K3" s="51"/>
    </row>
    <row r="4" spans="1:11" x14ac:dyDescent="0.15">
      <c r="A4" s="52"/>
      <c r="B4" s="53"/>
      <c r="C4" s="53"/>
      <c r="D4" s="53"/>
      <c r="E4" s="54"/>
      <c r="G4" s="52"/>
      <c r="H4" s="53"/>
      <c r="I4" s="53"/>
      <c r="J4" s="53"/>
      <c r="K4" s="54"/>
    </row>
    <row r="5" spans="1:11" x14ac:dyDescent="0.15">
      <c r="A5" s="44" t="s">
        <v>2</v>
      </c>
      <c r="B5" s="44"/>
      <c r="C5" s="44"/>
      <c r="D5" s="2">
        <v>45</v>
      </c>
      <c r="E5" s="3">
        <f>1/COS((90-D5)*PI()/180)</f>
        <v>1.4142135623730949</v>
      </c>
      <c r="G5" s="44" t="s">
        <v>2</v>
      </c>
      <c r="H5" s="44"/>
      <c r="I5" s="44"/>
      <c r="J5" s="4">
        <v>45</v>
      </c>
      <c r="K5" s="6">
        <f>1/COS((90-J5)*PI()/180)</f>
        <v>1.4142135623730949</v>
      </c>
    </row>
    <row r="6" spans="1:11" x14ac:dyDescent="0.15">
      <c r="A6" s="2">
        <v>138</v>
      </c>
      <c r="B6" s="44" t="s">
        <v>3</v>
      </c>
      <c r="C6" s="44"/>
      <c r="D6" s="1" t="s">
        <v>4</v>
      </c>
      <c r="E6" s="1" t="s">
        <v>5</v>
      </c>
      <c r="G6" s="4">
        <v>169</v>
      </c>
      <c r="H6" s="44" t="s">
        <v>3</v>
      </c>
      <c r="I6" s="44"/>
      <c r="J6" s="1" t="s">
        <v>4</v>
      </c>
      <c r="K6" s="1" t="s">
        <v>5</v>
      </c>
    </row>
    <row r="7" spans="1:11" x14ac:dyDescent="0.15">
      <c r="A7" s="1" t="s">
        <v>6</v>
      </c>
      <c r="B7" s="1">
        <v>3</v>
      </c>
      <c r="C7" s="1">
        <v>5</v>
      </c>
      <c r="D7" s="5">
        <f>A6-(1*TAN((90-D5)*PI()/180))-1.3-0.4*E5</f>
        <v>135.13431457505075</v>
      </c>
      <c r="E7" s="1">
        <v>1</v>
      </c>
      <c r="G7" s="1" t="s">
        <v>6</v>
      </c>
      <c r="H7" s="1">
        <v>3</v>
      </c>
      <c r="I7" s="1">
        <v>5</v>
      </c>
      <c r="J7" s="5">
        <f>G6-(1*TAN((90-J5)*PI()/180))-4.8-0.4*K5</f>
        <v>162.63431457505075</v>
      </c>
      <c r="K7" s="1">
        <v>1</v>
      </c>
    </row>
    <row r="8" spans="1:11" x14ac:dyDescent="0.15">
      <c r="A8" s="1" t="s">
        <v>7</v>
      </c>
      <c r="B8" s="1">
        <v>2</v>
      </c>
      <c r="C8" s="1">
        <v>4</v>
      </c>
      <c r="D8" s="5">
        <f>A6-(1*TAN((90-D5)*PI()/180))-1.3-0.4*E5</f>
        <v>135.13431457505075</v>
      </c>
      <c r="E8" s="1">
        <f>E7</f>
        <v>1</v>
      </c>
      <c r="G8" s="1" t="s">
        <v>7</v>
      </c>
      <c r="H8" s="1">
        <v>2</v>
      </c>
      <c r="I8" s="1">
        <v>4</v>
      </c>
      <c r="J8" s="5">
        <f>G6-(1*TAN((90-J5)*PI()/180))-1.3-0.4*K5</f>
        <v>166.13431457505075</v>
      </c>
      <c r="K8" s="1">
        <f>K7</f>
        <v>1</v>
      </c>
    </row>
    <row r="9" spans="1:11" x14ac:dyDescent="0.15">
      <c r="A9" s="1" t="s">
        <v>8</v>
      </c>
      <c r="B9" s="1">
        <v>2</v>
      </c>
      <c r="C9" s="1">
        <v>7</v>
      </c>
      <c r="D9" s="5">
        <f>A6-(1*TAN((90-D5)*PI()/180))-1.3-0.4*E5</f>
        <v>135.13431457505075</v>
      </c>
      <c r="E9" s="1">
        <f>E7*1</f>
        <v>1</v>
      </c>
      <c r="G9" s="1" t="s">
        <v>8</v>
      </c>
      <c r="H9" s="1">
        <v>2</v>
      </c>
      <c r="I9" s="1">
        <v>7</v>
      </c>
      <c r="J9" s="5">
        <f>G6-(1*TAN((90-J5)*PI()/180))-1.3-0.4*K5</f>
        <v>166.13431457505075</v>
      </c>
      <c r="K9" s="1">
        <f>K7*1</f>
        <v>1</v>
      </c>
    </row>
    <row r="10" spans="1:11" x14ac:dyDescent="0.15">
      <c r="A10" s="1" t="s">
        <v>9</v>
      </c>
      <c r="B10" s="1">
        <v>2</v>
      </c>
      <c r="C10" s="1">
        <v>4</v>
      </c>
      <c r="D10" s="5">
        <f>A6-(10.1*TAN((90-D5)*PI()/180))-1.3-0.4*E5</f>
        <v>126.03431457505077</v>
      </c>
      <c r="E10" s="1">
        <f>E7</f>
        <v>1</v>
      </c>
      <c r="G10" s="1" t="s">
        <v>9</v>
      </c>
      <c r="H10" s="1">
        <v>2</v>
      </c>
      <c r="I10" s="1">
        <v>4</v>
      </c>
      <c r="J10" s="5">
        <f>G6-(10.1*TAN((90-J5)*PI()/180))-1.3-0.4*K5</f>
        <v>157.03431457505076</v>
      </c>
      <c r="K10" s="1">
        <f>K7</f>
        <v>1</v>
      </c>
    </row>
    <row r="11" spans="1:11" x14ac:dyDescent="0.15">
      <c r="A11" s="1" t="s">
        <v>10</v>
      </c>
      <c r="B11" s="1">
        <v>2</v>
      </c>
      <c r="C11" s="1">
        <v>4</v>
      </c>
      <c r="D11" s="5">
        <f>A6-(11.1*TAN((90-D5)*PI()/180))-1.3-0.4*E5</f>
        <v>125.03431457505077</v>
      </c>
      <c r="E11" s="1">
        <f>E7</f>
        <v>1</v>
      </c>
      <c r="G11" s="1" t="s">
        <v>10</v>
      </c>
      <c r="H11" s="1">
        <v>2</v>
      </c>
      <c r="I11" s="1">
        <v>4</v>
      </c>
      <c r="J11" s="5">
        <f>G6-(11.1*TAN((90-J5)*PI()/180))-1.3-0.4*K5</f>
        <v>156.03431457505076</v>
      </c>
      <c r="K11" s="1">
        <f>K7</f>
        <v>1</v>
      </c>
    </row>
    <row r="12" spans="1:11" x14ac:dyDescent="0.15">
      <c r="A12" s="1" t="s">
        <v>11</v>
      </c>
      <c r="B12" s="1">
        <v>2</v>
      </c>
      <c r="C12" s="1">
        <v>4</v>
      </c>
      <c r="D12" s="5">
        <f>A6-(13*TAN((90-D5)*PI()/180))-1.3-0.4*E5</f>
        <v>123.13431457505077</v>
      </c>
      <c r="E12" s="1">
        <f>E7</f>
        <v>1</v>
      </c>
      <c r="G12" s="1" t="s">
        <v>11</v>
      </c>
      <c r="H12" s="1">
        <v>2</v>
      </c>
      <c r="I12" s="1">
        <v>4</v>
      </c>
      <c r="J12" s="5">
        <f>G6-(13*TAN((90-J5)*PI()/180))-1.3-0.4*K5</f>
        <v>154.13431457505075</v>
      </c>
      <c r="K12" s="1">
        <f>K7</f>
        <v>1</v>
      </c>
    </row>
    <row r="13" spans="1:11" x14ac:dyDescent="0.15">
      <c r="A13" s="1" t="s">
        <v>12</v>
      </c>
      <c r="B13" s="1">
        <v>2</v>
      </c>
      <c r="C13" s="1">
        <v>4</v>
      </c>
      <c r="D13" s="5">
        <f>A6-(16.4*TAN((90-D5)*PI()/180))-1.3-0.4*E5</f>
        <v>119.73431457505077</v>
      </c>
      <c r="E13" s="1">
        <f>E7</f>
        <v>1</v>
      </c>
      <c r="G13" s="1" t="s">
        <v>12</v>
      </c>
      <c r="H13" s="1">
        <v>2</v>
      </c>
      <c r="I13" s="1">
        <v>4</v>
      </c>
      <c r="J13" s="5">
        <f>G6-(16.4*TAN((90-J5)*PI()/180))-1.3-0.4*K5</f>
        <v>150.73431457505075</v>
      </c>
      <c r="K13" s="1">
        <f>K7</f>
        <v>1</v>
      </c>
    </row>
    <row r="14" spans="1:11" x14ac:dyDescent="0.15">
      <c r="A14" s="1" t="s">
        <v>13</v>
      </c>
      <c r="B14" s="1">
        <v>2</v>
      </c>
      <c r="C14" s="1">
        <v>4</v>
      </c>
      <c r="D14" s="5">
        <f>A6-(15.7*TAN((90-D5)*PI()/180))-1.3-0.4*E5</f>
        <v>120.43431457505076</v>
      </c>
      <c r="E14" s="1">
        <f>E7</f>
        <v>1</v>
      </c>
      <c r="G14" s="1" t="s">
        <v>13</v>
      </c>
      <c r="H14" s="1">
        <v>2</v>
      </c>
      <c r="I14" s="1">
        <v>4</v>
      </c>
      <c r="J14" s="5">
        <f>G6-(15.7*TAN((90-J5)*PI()/180))-1.3-0.4*K5</f>
        <v>151.43431457505076</v>
      </c>
      <c r="K14" s="1">
        <f>K7</f>
        <v>1</v>
      </c>
    </row>
    <row r="15" spans="1:11" x14ac:dyDescent="0.15">
      <c r="A15" s="1" t="s">
        <v>14</v>
      </c>
      <c r="B15" s="1">
        <v>3</v>
      </c>
      <c r="C15" s="1">
        <v>5</v>
      </c>
      <c r="D15" s="5">
        <f>A6-(20*TAN((90-D5)*PI()/180))-1.3-0.4*E5</f>
        <v>116.13431457505077</v>
      </c>
      <c r="E15" s="1">
        <f>E7*1</f>
        <v>1</v>
      </c>
      <c r="G15" s="1" t="s">
        <v>14</v>
      </c>
      <c r="H15" s="1">
        <v>3</v>
      </c>
      <c r="I15" s="1">
        <v>5</v>
      </c>
      <c r="J15" s="5">
        <f>G6-(20*TAN((90-J5)*PI()/180))-4.8-0.4*K5</f>
        <v>143.63431457505075</v>
      </c>
      <c r="K15" s="1">
        <f>K7*1</f>
        <v>1</v>
      </c>
    </row>
    <row r="16" spans="1:11" x14ac:dyDescent="0.15">
      <c r="A16" s="1" t="s">
        <v>15</v>
      </c>
      <c r="B16" s="1">
        <v>3</v>
      </c>
      <c r="C16" s="1">
        <v>5</v>
      </c>
      <c r="D16" s="5">
        <f>A6-(41.4*TAN((90-D5)*PI()/180))-1.3-0.4*E5</f>
        <v>94.734314575050774</v>
      </c>
      <c r="E16" s="1">
        <f>E7*1</f>
        <v>1</v>
      </c>
      <c r="G16" s="1" t="s">
        <v>15</v>
      </c>
      <c r="H16" s="1">
        <v>3</v>
      </c>
      <c r="I16" s="1">
        <v>5</v>
      </c>
      <c r="J16" s="5">
        <f>G6-(41.4*TAN((90-J5)*PI()/180))-4.8-0.4*K5</f>
        <v>122.23431457505077</v>
      </c>
      <c r="K16" s="1">
        <f>K7*1</f>
        <v>1</v>
      </c>
    </row>
    <row r="17" spans="1:11" x14ac:dyDescent="0.15">
      <c r="A17" s="1" t="s">
        <v>16</v>
      </c>
      <c r="B17" s="1">
        <v>3</v>
      </c>
      <c r="C17" s="1">
        <v>5</v>
      </c>
      <c r="D17" s="5">
        <f>A6-(61*TAN((90-D5)*PI()/180))-1.3-0.4*E5</f>
        <v>75.134314575050766</v>
      </c>
      <c r="E17" s="1">
        <f>E7</f>
        <v>1</v>
      </c>
      <c r="G17" s="1" t="s">
        <v>16</v>
      </c>
      <c r="H17" s="1">
        <v>3</v>
      </c>
      <c r="I17" s="1">
        <v>5</v>
      </c>
      <c r="J17" s="5">
        <f>G6-(61*TAN((90-J5)*PI()/180))-4.8-0.4*K5</f>
        <v>102.63431457505077</v>
      </c>
      <c r="K17" s="1">
        <f>K7</f>
        <v>1</v>
      </c>
    </row>
    <row r="18" spans="1:11" x14ac:dyDescent="0.15">
      <c r="A18" s="1" t="s">
        <v>17</v>
      </c>
      <c r="B18" s="1">
        <v>2</v>
      </c>
      <c r="C18" s="1">
        <v>4</v>
      </c>
      <c r="D18" s="5">
        <f>A6-(63.9*TAN((90-D5)*PI()/180))-1.3-0.4*E5</f>
        <v>72.234314575050774</v>
      </c>
      <c r="E18" s="1">
        <f>E9</f>
        <v>1</v>
      </c>
      <c r="G18" s="1" t="s">
        <v>17</v>
      </c>
      <c r="H18" s="1">
        <v>2</v>
      </c>
      <c r="I18" s="1">
        <v>4</v>
      </c>
      <c r="J18" s="5">
        <f>G6-(63.9*TAN((90-J5)*PI()/180))-4.8-0.4*K5</f>
        <v>99.734314575050774</v>
      </c>
      <c r="K18" s="1">
        <f>K9</f>
        <v>1</v>
      </c>
    </row>
    <row r="19" spans="1:11" x14ac:dyDescent="0.15">
      <c r="A19" s="1" t="s">
        <v>18</v>
      </c>
      <c r="B19" s="1">
        <v>3</v>
      </c>
      <c r="C19" s="1">
        <v>5</v>
      </c>
      <c r="D19" s="5">
        <f>A6-(61*TAN((90-D5)*PI()/180))-1.3-0.4*E5</f>
        <v>75.134314575050766</v>
      </c>
      <c r="E19" s="1">
        <f>E7</f>
        <v>1</v>
      </c>
      <c r="G19" s="1" t="s">
        <v>18</v>
      </c>
      <c r="H19" s="1">
        <v>3</v>
      </c>
      <c r="I19" s="1">
        <v>5</v>
      </c>
      <c r="J19" s="5">
        <f>G6-(61*TAN((90-J5)*PI()/180))-4.8-0.4*K5</f>
        <v>102.63431457505077</v>
      </c>
      <c r="K19" s="1">
        <f>K7</f>
        <v>1</v>
      </c>
    </row>
    <row r="20" spans="1:11" x14ac:dyDescent="0.15">
      <c r="A20" s="1" t="s">
        <v>19</v>
      </c>
      <c r="B20" s="1">
        <v>3</v>
      </c>
      <c r="C20" s="1">
        <v>5</v>
      </c>
      <c r="D20" s="5">
        <f>A6-(59.8*TAN((90-D5)*PI()/180))-1.3-0.4*E5</f>
        <v>76.334314575050783</v>
      </c>
      <c r="E20" s="1">
        <f>E7</f>
        <v>1</v>
      </c>
      <c r="G20" s="1" t="s">
        <v>19</v>
      </c>
      <c r="H20" s="1">
        <v>3</v>
      </c>
      <c r="I20" s="1">
        <v>5</v>
      </c>
      <c r="J20" s="5">
        <f>G6-(59.8*TAN((90-J5)*PI()/180))-4.8-0.4*K5</f>
        <v>103.83431457505078</v>
      </c>
      <c r="K20" s="1">
        <f>K7</f>
        <v>1</v>
      </c>
    </row>
    <row r="21" spans="1:11" x14ac:dyDescent="0.15">
      <c r="A21" s="1" t="s">
        <v>20</v>
      </c>
      <c r="B21" s="1">
        <v>2</v>
      </c>
      <c r="C21" s="1">
        <v>4</v>
      </c>
      <c r="D21" s="5">
        <f>A6-(66.2*TAN((90-D5)*PI()/180))-0.5-0.4*E5</f>
        <v>70.734314575050774</v>
      </c>
      <c r="E21" s="1">
        <f>E10</f>
        <v>1</v>
      </c>
      <c r="G21" s="1" t="s">
        <v>20</v>
      </c>
      <c r="H21" s="1">
        <v>2</v>
      </c>
      <c r="I21" s="1">
        <v>4</v>
      </c>
      <c r="J21" s="5">
        <f>G6-(66.2*TAN((90-J5)*PI()/180))-0.5-0.4*K5</f>
        <v>101.73431457505077</v>
      </c>
      <c r="K21" s="1">
        <f>K10</f>
        <v>1</v>
      </c>
    </row>
    <row r="23" spans="1:11" x14ac:dyDescent="0.15">
      <c r="A23" s="46" t="s">
        <v>49</v>
      </c>
      <c r="B23" s="46" t="s">
        <v>60</v>
      </c>
      <c r="C23" s="46"/>
      <c r="D23" s="46"/>
      <c r="E23" s="46"/>
      <c r="G23" s="46" t="s">
        <v>49</v>
      </c>
      <c r="H23" s="46" t="s">
        <v>74</v>
      </c>
      <c r="I23" s="46"/>
      <c r="J23" s="46"/>
      <c r="K23" s="46"/>
    </row>
    <row r="24" spans="1:11" x14ac:dyDescent="0.15">
      <c r="A24" s="46"/>
      <c r="B24" s="46"/>
      <c r="C24" s="46"/>
      <c r="D24" s="46"/>
      <c r="E24" s="46"/>
      <c r="G24" s="46"/>
      <c r="H24" s="46"/>
      <c r="I24" s="46"/>
      <c r="J24" s="46"/>
      <c r="K24" s="46"/>
    </row>
    <row r="25" spans="1:11" x14ac:dyDescent="0.15">
      <c r="A25" s="7" t="s">
        <v>52</v>
      </c>
      <c r="B25" s="45">
        <v>194</v>
      </c>
      <c r="C25" s="45"/>
      <c r="D25" s="7" t="s">
        <v>53</v>
      </c>
      <c r="E25" s="12">
        <v>1</v>
      </c>
      <c r="G25" s="7" t="s">
        <v>52</v>
      </c>
      <c r="H25" s="45">
        <v>183</v>
      </c>
      <c r="I25" s="45"/>
      <c r="J25" s="7" t="s">
        <v>53</v>
      </c>
      <c r="K25" s="12">
        <v>4</v>
      </c>
    </row>
    <row r="26" spans="1:11" x14ac:dyDescent="0.15">
      <c r="A26" s="7" t="s">
        <v>55</v>
      </c>
      <c r="B26" s="46" t="s">
        <v>3</v>
      </c>
      <c r="C26" s="46"/>
      <c r="D26" s="7" t="s">
        <v>4</v>
      </c>
      <c r="E26" s="7" t="s">
        <v>56</v>
      </c>
      <c r="G26" s="7" t="s">
        <v>55</v>
      </c>
      <c r="H26" s="46" t="s">
        <v>3</v>
      </c>
      <c r="I26" s="46"/>
      <c r="J26" s="7" t="s">
        <v>4</v>
      </c>
      <c r="K26" s="7" t="s">
        <v>56</v>
      </c>
    </row>
    <row r="27" spans="1:11" x14ac:dyDescent="0.15">
      <c r="A27" s="7"/>
      <c r="B27" s="7">
        <v>2</v>
      </c>
      <c r="C27" s="7">
        <v>4</v>
      </c>
      <c r="D27" s="7">
        <f>B25-2.6</f>
        <v>191.4</v>
      </c>
      <c r="E27" s="7">
        <f>E25*7</f>
        <v>7</v>
      </c>
      <c r="G27" s="7"/>
      <c r="H27" s="7">
        <v>2</v>
      </c>
      <c r="I27" s="7">
        <v>4</v>
      </c>
      <c r="J27" s="7">
        <f>H25-2.6</f>
        <v>180.4</v>
      </c>
      <c r="K27" s="7">
        <f>K25*7</f>
        <v>28</v>
      </c>
    </row>
    <row r="28" spans="1:11" x14ac:dyDescent="0.15">
      <c r="A28" s="7"/>
      <c r="B28" s="7">
        <v>2</v>
      </c>
      <c r="C28" s="7">
        <v>7</v>
      </c>
      <c r="D28" s="7">
        <f>B25-2.6</f>
        <v>191.4</v>
      </c>
      <c r="E28" s="7">
        <f>E25*1</f>
        <v>1</v>
      </c>
      <c r="G28" s="7"/>
      <c r="H28" s="7">
        <v>2</v>
      </c>
      <c r="I28" s="7">
        <v>7</v>
      </c>
      <c r="J28" s="7">
        <f>H25-2.6</f>
        <v>180.4</v>
      </c>
      <c r="K28" s="7">
        <f>K25*1</f>
        <v>4</v>
      </c>
    </row>
    <row r="29" spans="1:11" x14ac:dyDescent="0.15">
      <c r="A29" s="7"/>
      <c r="B29" s="7">
        <v>3</v>
      </c>
      <c r="C29" s="7">
        <v>5</v>
      </c>
      <c r="D29" s="7">
        <f>B25-2.6</f>
        <v>191.4</v>
      </c>
      <c r="E29" s="7">
        <f>E25*6</f>
        <v>6</v>
      </c>
      <c r="G29" s="7"/>
      <c r="H29" s="7">
        <v>3</v>
      </c>
      <c r="I29" s="7">
        <v>5</v>
      </c>
      <c r="J29" s="7">
        <f>H25-2.6</f>
        <v>180.4</v>
      </c>
      <c r="K29" s="7">
        <f>K25*6</f>
        <v>24</v>
      </c>
    </row>
    <row r="30" spans="1:11" x14ac:dyDescent="0.15">
      <c r="A30" s="7" t="s">
        <v>20</v>
      </c>
      <c r="B30" s="7">
        <v>2</v>
      </c>
      <c r="C30" s="7">
        <v>4</v>
      </c>
      <c r="D30" s="7">
        <f>B25-20.5</f>
        <v>173.5</v>
      </c>
      <c r="E30" s="7">
        <f>E25*1</f>
        <v>1</v>
      </c>
      <c r="G30" s="7" t="s">
        <v>20</v>
      </c>
      <c r="H30" s="7">
        <v>2</v>
      </c>
      <c r="I30" s="7">
        <v>4</v>
      </c>
      <c r="J30" s="7">
        <f>H25-20.5</f>
        <v>162.5</v>
      </c>
      <c r="K30" s="7">
        <f>K25*1</f>
        <v>4</v>
      </c>
    </row>
    <row r="31" spans="1:11" x14ac:dyDescent="0.15">
      <c r="A31" s="46" t="s">
        <v>61</v>
      </c>
      <c r="B31" s="46"/>
      <c r="C31" s="46"/>
      <c r="D31" s="46"/>
      <c r="E31" s="46"/>
      <c r="G31" s="46" t="s">
        <v>61</v>
      </c>
      <c r="H31" s="46"/>
      <c r="I31" s="46"/>
      <c r="J31" s="46"/>
      <c r="K31" s="46"/>
    </row>
    <row r="32" spans="1:11" x14ac:dyDescent="0.15">
      <c r="A32" s="7" t="s">
        <v>63</v>
      </c>
      <c r="B32" s="16">
        <v>2</v>
      </c>
      <c r="C32" s="16">
        <v>4</v>
      </c>
      <c r="D32" s="11">
        <v>52.3</v>
      </c>
      <c r="E32" s="16">
        <v>1</v>
      </c>
      <c r="G32" s="7" t="s">
        <v>63</v>
      </c>
      <c r="H32" s="16">
        <v>2</v>
      </c>
      <c r="I32" s="16">
        <v>4</v>
      </c>
      <c r="J32" s="11">
        <v>52.3</v>
      </c>
      <c r="K32" s="16">
        <f>K25</f>
        <v>4</v>
      </c>
    </row>
    <row r="33" spans="1:11" x14ac:dyDescent="0.15">
      <c r="A33" s="16" t="s">
        <v>64</v>
      </c>
      <c r="B33" s="16">
        <v>2</v>
      </c>
      <c r="C33" s="16">
        <v>7</v>
      </c>
      <c r="D33" s="11">
        <v>53.8</v>
      </c>
      <c r="E33" s="16">
        <v>1</v>
      </c>
      <c r="G33" s="16" t="s">
        <v>64</v>
      </c>
      <c r="H33" s="16">
        <v>2</v>
      </c>
      <c r="I33" s="16">
        <v>7</v>
      </c>
      <c r="J33" s="11">
        <v>53.8</v>
      </c>
      <c r="K33" s="16">
        <f>K32</f>
        <v>4</v>
      </c>
    </row>
    <row r="34" spans="1:11" x14ac:dyDescent="0.15">
      <c r="A34" s="16" t="s">
        <v>65</v>
      </c>
      <c r="B34" s="16">
        <v>2</v>
      </c>
      <c r="C34" s="16">
        <v>4</v>
      </c>
      <c r="D34" s="11">
        <v>53.4</v>
      </c>
      <c r="E34" s="16">
        <v>1</v>
      </c>
      <c r="G34" s="16" t="s">
        <v>65</v>
      </c>
      <c r="H34" s="16">
        <v>2</v>
      </c>
      <c r="I34" s="16">
        <v>4</v>
      </c>
      <c r="J34" s="11">
        <v>53.4</v>
      </c>
      <c r="K34" s="16">
        <f t="shared" ref="K34:K38" si="0">K33</f>
        <v>4</v>
      </c>
    </row>
    <row r="35" spans="1:11" x14ac:dyDescent="0.15">
      <c r="A35" s="16" t="s">
        <v>66</v>
      </c>
      <c r="B35" s="16">
        <v>2</v>
      </c>
      <c r="C35" s="16">
        <v>4</v>
      </c>
      <c r="D35" s="11">
        <v>52.8</v>
      </c>
      <c r="E35" s="16">
        <v>1</v>
      </c>
      <c r="G35" s="16" t="s">
        <v>66</v>
      </c>
      <c r="H35" s="16">
        <v>2</v>
      </c>
      <c r="I35" s="16">
        <v>4</v>
      </c>
      <c r="J35" s="11">
        <v>52.8</v>
      </c>
      <c r="K35" s="16">
        <f t="shared" si="0"/>
        <v>4</v>
      </c>
    </row>
    <row r="36" spans="1:11" x14ac:dyDescent="0.15">
      <c r="A36" s="16" t="s">
        <v>67</v>
      </c>
      <c r="B36" s="16">
        <v>2</v>
      </c>
      <c r="C36" s="16">
        <v>4</v>
      </c>
      <c r="D36" s="11">
        <v>52.3</v>
      </c>
      <c r="E36" s="16">
        <v>1</v>
      </c>
      <c r="G36" s="16" t="s">
        <v>67</v>
      </c>
      <c r="H36" s="16">
        <v>2</v>
      </c>
      <c r="I36" s="16">
        <v>4</v>
      </c>
      <c r="J36" s="11">
        <v>52.3</v>
      </c>
      <c r="K36" s="16">
        <f t="shared" si="0"/>
        <v>4</v>
      </c>
    </row>
    <row r="37" spans="1:11" x14ac:dyDescent="0.15">
      <c r="A37" s="16" t="s">
        <v>68</v>
      </c>
      <c r="B37" s="16">
        <v>2</v>
      </c>
      <c r="C37" s="16">
        <v>4</v>
      </c>
      <c r="D37" s="11">
        <v>47.5</v>
      </c>
      <c r="E37" s="16">
        <v>1</v>
      </c>
      <c r="G37" s="16" t="s">
        <v>68</v>
      </c>
      <c r="H37" s="16">
        <v>2</v>
      </c>
      <c r="I37" s="16">
        <v>4</v>
      </c>
      <c r="J37" s="11">
        <v>47.5</v>
      </c>
      <c r="K37" s="16">
        <f t="shared" si="0"/>
        <v>4</v>
      </c>
    </row>
    <row r="38" spans="1:11" x14ac:dyDescent="0.15">
      <c r="A38" s="16" t="s">
        <v>69</v>
      </c>
      <c r="B38" s="16">
        <v>2</v>
      </c>
      <c r="C38" s="16">
        <v>4</v>
      </c>
      <c r="D38" s="11">
        <v>48.2</v>
      </c>
      <c r="E38" s="16">
        <v>1</v>
      </c>
      <c r="G38" s="16" t="s">
        <v>69</v>
      </c>
      <c r="H38" s="16">
        <v>2</v>
      </c>
      <c r="I38" s="16">
        <v>4</v>
      </c>
      <c r="J38" s="11">
        <v>48.2</v>
      </c>
      <c r="K38" s="16">
        <f t="shared" si="0"/>
        <v>4</v>
      </c>
    </row>
    <row r="40" spans="1:11" x14ac:dyDescent="0.15">
      <c r="A40" s="46" t="s">
        <v>49</v>
      </c>
      <c r="B40" s="46" t="s">
        <v>71</v>
      </c>
      <c r="C40" s="46"/>
      <c r="D40" s="46"/>
      <c r="E40" s="46"/>
    </row>
    <row r="41" spans="1:11" x14ac:dyDescent="0.15">
      <c r="A41" s="46"/>
      <c r="B41" s="46"/>
      <c r="C41" s="46"/>
      <c r="D41" s="46"/>
      <c r="E41" s="46"/>
    </row>
    <row r="42" spans="1:11" x14ac:dyDescent="0.15">
      <c r="A42" s="7" t="s">
        <v>52</v>
      </c>
      <c r="B42" s="58">
        <v>148</v>
      </c>
      <c r="C42" s="58"/>
      <c r="D42" s="7" t="s">
        <v>53</v>
      </c>
      <c r="E42" s="17">
        <v>4</v>
      </c>
    </row>
    <row r="43" spans="1:11" x14ac:dyDescent="0.15">
      <c r="A43" s="7" t="s">
        <v>55</v>
      </c>
      <c r="B43" s="46" t="s">
        <v>3</v>
      </c>
      <c r="C43" s="46"/>
      <c r="D43" s="7" t="s">
        <v>4</v>
      </c>
      <c r="E43" s="7" t="s">
        <v>56</v>
      </c>
    </row>
    <row r="44" spans="1:11" x14ac:dyDescent="0.15">
      <c r="A44" s="59" t="s">
        <v>70</v>
      </c>
      <c r="B44" s="7">
        <v>2</v>
      </c>
      <c r="C44" s="7">
        <v>4</v>
      </c>
      <c r="D44" s="7">
        <f>B42-2.6</f>
        <v>145.4</v>
      </c>
      <c r="E44" s="7">
        <f>E42*6</f>
        <v>24</v>
      </c>
    </row>
    <row r="45" spans="1:11" x14ac:dyDescent="0.15">
      <c r="A45" s="60"/>
      <c r="B45" s="7">
        <v>2</v>
      </c>
      <c r="C45" s="7">
        <v>7</v>
      </c>
      <c r="D45" s="7">
        <f>B42-2.6</f>
        <v>145.4</v>
      </c>
      <c r="E45" s="7">
        <f>E42*1</f>
        <v>4</v>
      </c>
    </row>
    <row r="46" spans="1:11" x14ac:dyDescent="0.15">
      <c r="A46" s="59" t="s">
        <v>79</v>
      </c>
      <c r="B46" s="7">
        <v>2</v>
      </c>
      <c r="C46" s="7">
        <v>4</v>
      </c>
      <c r="D46" s="7">
        <f>B42-1.3-4.8</f>
        <v>141.89999999999998</v>
      </c>
      <c r="E46" s="7">
        <f>E42</f>
        <v>4</v>
      </c>
    </row>
    <row r="47" spans="1:11" x14ac:dyDescent="0.15">
      <c r="A47" s="60"/>
      <c r="B47" s="7">
        <v>3</v>
      </c>
      <c r="C47" s="7">
        <v>5</v>
      </c>
      <c r="D47" s="7">
        <f>B42-4.8-1.3</f>
        <v>141.89999999999998</v>
      </c>
      <c r="E47" s="7">
        <f>E42*6</f>
        <v>24</v>
      </c>
    </row>
    <row r="48" spans="1:11" x14ac:dyDescent="0.15">
      <c r="A48" s="7" t="s">
        <v>20</v>
      </c>
      <c r="B48" s="7">
        <v>2</v>
      </c>
      <c r="C48" s="7">
        <v>4</v>
      </c>
      <c r="D48" s="7">
        <f>B42-1</f>
        <v>147</v>
      </c>
      <c r="E48" s="7">
        <f>E42*1</f>
        <v>4</v>
      </c>
    </row>
    <row r="55" spans="1:11" x14ac:dyDescent="0.15">
      <c r="A55" s="68" t="s">
        <v>84</v>
      </c>
      <c r="B55" s="68"/>
      <c r="C55" s="68"/>
      <c r="D55" s="68"/>
      <c r="E55" s="68"/>
      <c r="G55" s="68" t="s">
        <v>73</v>
      </c>
      <c r="H55" s="68"/>
      <c r="I55" s="68"/>
      <c r="J55" s="68"/>
      <c r="K55" s="68"/>
    </row>
    <row r="56" spans="1:11" ht="13.5" customHeight="1" x14ac:dyDescent="0.15">
      <c r="A56" s="68"/>
      <c r="B56" s="68"/>
      <c r="C56" s="68"/>
      <c r="D56" s="68"/>
      <c r="E56" s="68"/>
      <c r="G56" s="68"/>
      <c r="H56" s="68"/>
      <c r="I56" s="68"/>
      <c r="J56" s="68"/>
      <c r="K56" s="68"/>
    </row>
    <row r="57" spans="1:11" ht="13.5" customHeight="1" x14ac:dyDescent="0.15">
      <c r="A57" s="68"/>
      <c r="B57" s="68"/>
      <c r="C57" s="68"/>
      <c r="D57" s="68"/>
      <c r="E57" s="68"/>
      <c r="G57" s="68"/>
      <c r="H57" s="68"/>
      <c r="I57" s="68"/>
      <c r="J57" s="68"/>
      <c r="K57" s="68"/>
    </row>
    <row r="58" spans="1:11" x14ac:dyDescent="0.15">
      <c r="A58" s="68"/>
      <c r="B58" s="68"/>
      <c r="C58" s="68"/>
      <c r="D58" s="68"/>
      <c r="E58" s="68"/>
      <c r="G58" s="68"/>
      <c r="H58" s="68"/>
      <c r="I58" s="68"/>
      <c r="J58" s="68"/>
      <c r="K58" s="68"/>
    </row>
    <row r="59" spans="1:11" x14ac:dyDescent="0.15">
      <c r="A59" s="44" t="s">
        <v>2</v>
      </c>
      <c r="B59" s="44"/>
      <c r="C59" s="44"/>
      <c r="D59" s="2">
        <v>45</v>
      </c>
      <c r="E59" s="3">
        <f>1/COS((90-D59)*PI()/180)</f>
        <v>1.4142135623730949</v>
      </c>
      <c r="G59" s="44" t="s">
        <v>2</v>
      </c>
      <c r="H59" s="44"/>
      <c r="I59" s="44"/>
      <c r="J59" s="8">
        <v>45</v>
      </c>
      <c r="K59" s="9">
        <f>1/COS((90-J59)*PI()/180)</f>
        <v>1.4142135623730949</v>
      </c>
    </row>
    <row r="60" spans="1:11" x14ac:dyDescent="0.15">
      <c r="A60" s="2">
        <v>107</v>
      </c>
      <c r="B60" s="44" t="s">
        <v>3</v>
      </c>
      <c r="C60" s="44"/>
      <c r="D60" s="1" t="s">
        <v>4</v>
      </c>
      <c r="E60" s="1" t="s">
        <v>5</v>
      </c>
      <c r="G60" s="8">
        <v>216.5</v>
      </c>
      <c r="H60" s="44" t="s">
        <v>3</v>
      </c>
      <c r="I60" s="44"/>
      <c r="J60" s="1" t="s">
        <v>4</v>
      </c>
      <c r="K60" s="1" t="s">
        <v>5</v>
      </c>
    </row>
    <row r="61" spans="1:11" x14ac:dyDescent="0.15">
      <c r="A61" s="1" t="s">
        <v>6</v>
      </c>
      <c r="B61" s="1">
        <v>3</v>
      </c>
      <c r="C61" s="1">
        <v>5</v>
      </c>
      <c r="D61" s="5">
        <f>A60-(1*TAN((90-D59)*PI()/180))-1.3-0.4*E59</f>
        <v>104.13431457505077</v>
      </c>
      <c r="E61" s="1">
        <v>20</v>
      </c>
      <c r="G61" s="1" t="s">
        <v>6</v>
      </c>
      <c r="H61" s="1">
        <v>3</v>
      </c>
      <c r="I61" s="1">
        <v>5</v>
      </c>
      <c r="J61" s="5">
        <f>G60-(1*TAN((90-J59)*PI()/180))-4.8-0.4*K59</f>
        <v>210.13431457505075</v>
      </c>
      <c r="K61" s="1">
        <v>4</v>
      </c>
    </row>
    <row r="62" spans="1:11" x14ac:dyDescent="0.15">
      <c r="A62" s="1" t="s">
        <v>7</v>
      </c>
      <c r="B62" s="1">
        <v>2</v>
      </c>
      <c r="C62" s="1">
        <v>4</v>
      </c>
      <c r="D62" s="5">
        <f>A60-(1*TAN((90-D59)*PI()/180))-1.3-0.4*E59</f>
        <v>104.13431457505077</v>
      </c>
      <c r="E62" s="1">
        <f>E61</f>
        <v>20</v>
      </c>
      <c r="G62" s="1" t="s">
        <v>7</v>
      </c>
      <c r="H62" s="1">
        <v>2</v>
      </c>
      <c r="I62" s="1">
        <v>4</v>
      </c>
      <c r="J62" s="5">
        <f>G60-(1*TAN((90-J59)*PI()/180))-22.3-0.4*K59</f>
        <v>192.63431457505075</v>
      </c>
      <c r="K62" s="1">
        <f>K61</f>
        <v>4</v>
      </c>
    </row>
    <row r="63" spans="1:11" x14ac:dyDescent="0.15">
      <c r="A63" s="1" t="s">
        <v>8</v>
      </c>
      <c r="B63" s="1">
        <v>2</v>
      </c>
      <c r="C63" s="1">
        <v>7</v>
      </c>
      <c r="D63" s="5">
        <f>A60-(1*TAN((90-D59)*PI()/180))-1.3-0.4*E59</f>
        <v>104.13431457505077</v>
      </c>
      <c r="E63" s="1">
        <f>E61*1</f>
        <v>20</v>
      </c>
      <c r="G63" s="1" t="s">
        <v>8</v>
      </c>
      <c r="H63" s="1">
        <v>2</v>
      </c>
      <c r="I63" s="1">
        <v>7</v>
      </c>
      <c r="J63" s="5">
        <f>G60-(1*TAN((90-J59)*PI()/180))-22.3-0.4*K59</f>
        <v>192.63431457505075</v>
      </c>
      <c r="K63" s="1">
        <f>K61*1</f>
        <v>4</v>
      </c>
    </row>
    <row r="64" spans="1:11" x14ac:dyDescent="0.15">
      <c r="A64" s="1" t="s">
        <v>9</v>
      </c>
      <c r="B64" s="1">
        <v>2</v>
      </c>
      <c r="C64" s="1">
        <v>4</v>
      </c>
      <c r="D64" s="5">
        <f>A60-(10.1*TAN((90-D59)*PI()/180))-1.3-0.4*E59</f>
        <v>95.034314575050772</v>
      </c>
      <c r="E64" s="1">
        <f>E61</f>
        <v>20</v>
      </c>
      <c r="G64" s="1" t="s">
        <v>9</v>
      </c>
      <c r="H64" s="1">
        <v>2</v>
      </c>
      <c r="I64" s="1">
        <v>4</v>
      </c>
      <c r="J64" s="5">
        <f>G60-(10.1*TAN((90-J59)*PI()/180))-22.3-0.4*K59</f>
        <v>183.53431457505076</v>
      </c>
      <c r="K64" s="1">
        <f>K61</f>
        <v>4</v>
      </c>
    </row>
    <row r="65" spans="1:12" x14ac:dyDescent="0.15">
      <c r="A65" s="1" t="s">
        <v>10</v>
      </c>
      <c r="B65" s="1">
        <v>2</v>
      </c>
      <c r="C65" s="1">
        <v>4</v>
      </c>
      <c r="D65" s="5">
        <f>A60-(11.1*TAN((90-D59)*PI()/180))-1.3-0.4*E59</f>
        <v>94.034314575050772</v>
      </c>
      <c r="E65" s="1">
        <f>E61</f>
        <v>20</v>
      </c>
      <c r="G65" s="1" t="s">
        <v>10</v>
      </c>
      <c r="H65" s="1">
        <v>2</v>
      </c>
      <c r="I65" s="1">
        <v>4</v>
      </c>
      <c r="J65" s="5">
        <f>G60-(11.1*TAN((90-J59)*PI()/180))-22.3-0.4*K59</f>
        <v>182.53431457505076</v>
      </c>
      <c r="K65" s="1">
        <f>K61</f>
        <v>4</v>
      </c>
    </row>
    <row r="66" spans="1:12" x14ac:dyDescent="0.15">
      <c r="A66" s="1" t="s">
        <v>11</v>
      </c>
      <c r="B66" s="1">
        <v>2</v>
      </c>
      <c r="C66" s="1">
        <v>4</v>
      </c>
      <c r="D66" s="5">
        <f>A60-(13*TAN((90-D59)*PI()/180))-1.3-0.4*E59</f>
        <v>92.134314575050766</v>
      </c>
      <c r="E66" s="1">
        <f>E61</f>
        <v>20</v>
      </c>
      <c r="G66" s="1" t="s">
        <v>11</v>
      </c>
      <c r="H66" s="1">
        <v>2</v>
      </c>
      <c r="I66" s="1">
        <v>4</v>
      </c>
      <c r="J66" s="5">
        <f>G60-(13*TAN((90-J59)*PI()/180))-22.3-0.4*K59</f>
        <v>180.63431457505075</v>
      </c>
      <c r="K66" s="1">
        <f>K61</f>
        <v>4</v>
      </c>
    </row>
    <row r="67" spans="1:12" x14ac:dyDescent="0.15">
      <c r="A67" s="1" t="s">
        <v>12</v>
      </c>
      <c r="B67" s="1">
        <v>2</v>
      </c>
      <c r="C67" s="1">
        <v>4</v>
      </c>
      <c r="D67" s="5">
        <f>A60-(16.4*TAN((90-D59)*PI()/180))-1.3-0.4*E59</f>
        <v>88.734314575050774</v>
      </c>
      <c r="E67" s="1">
        <f>E61</f>
        <v>20</v>
      </c>
      <c r="G67" s="1" t="s">
        <v>12</v>
      </c>
      <c r="H67" s="1">
        <v>2</v>
      </c>
      <c r="I67" s="1">
        <v>4</v>
      </c>
      <c r="J67" s="5">
        <f>G60-(16.4*TAN((90-J59)*PI()/180))-22.3-0.4*K59</f>
        <v>177.23431457505075</v>
      </c>
      <c r="K67" s="1">
        <f>K61</f>
        <v>4</v>
      </c>
    </row>
    <row r="68" spans="1:12" x14ac:dyDescent="0.15">
      <c r="A68" s="1" t="s">
        <v>13</v>
      </c>
      <c r="B68" s="1">
        <v>2</v>
      </c>
      <c r="C68" s="1">
        <v>4</v>
      </c>
      <c r="D68" s="5">
        <f>A60-(15.7*TAN((90-D59)*PI()/180))-1.3-0.4*E59</f>
        <v>89.434314575050763</v>
      </c>
      <c r="E68" s="1">
        <f>E61</f>
        <v>20</v>
      </c>
      <c r="G68" s="1" t="s">
        <v>13</v>
      </c>
      <c r="H68" s="1">
        <v>2</v>
      </c>
      <c r="I68" s="1">
        <v>4</v>
      </c>
      <c r="J68" s="5">
        <f>G60-(15.7*TAN((90-J59)*PI()/180))-22.3-0.4*K59</f>
        <v>177.93431457505076</v>
      </c>
      <c r="K68" s="1">
        <f>K61</f>
        <v>4</v>
      </c>
    </row>
    <row r="69" spans="1:12" x14ac:dyDescent="0.15">
      <c r="A69" s="1" t="s">
        <v>14</v>
      </c>
      <c r="B69" s="1">
        <v>3</v>
      </c>
      <c r="C69" s="1">
        <v>5</v>
      </c>
      <c r="D69" s="5">
        <f>A60-(20*TAN((90-D59)*PI()/180))-1.3-0.4*E59</f>
        <v>85.134314575050766</v>
      </c>
      <c r="E69" s="1">
        <f>E61*1</f>
        <v>20</v>
      </c>
      <c r="G69" s="1" t="s">
        <v>14</v>
      </c>
      <c r="H69" s="1">
        <v>3</v>
      </c>
      <c r="I69" s="1">
        <v>5</v>
      </c>
      <c r="J69" s="5">
        <f>G60-(20*TAN((90-J59)*PI()/180))-4.8-0.4*K59</f>
        <v>191.13431457505075</v>
      </c>
      <c r="K69" s="1">
        <f>K61*1</f>
        <v>4</v>
      </c>
    </row>
    <row r="70" spans="1:12" x14ac:dyDescent="0.15">
      <c r="A70" s="1" t="s">
        <v>15</v>
      </c>
      <c r="B70" s="1">
        <v>3</v>
      </c>
      <c r="C70" s="1">
        <v>5</v>
      </c>
      <c r="D70" s="5">
        <f>A60-(41.4*TAN((90-D59)*PI()/180))-1.3-0.4*E59</f>
        <v>63.734314575050774</v>
      </c>
      <c r="E70" s="1">
        <f>E61*1</f>
        <v>20</v>
      </c>
      <c r="G70" s="1" t="s">
        <v>15</v>
      </c>
      <c r="H70" s="1">
        <v>3</v>
      </c>
      <c r="I70" s="1">
        <v>5</v>
      </c>
      <c r="J70" s="5">
        <f>G60-(41.4*TAN((90-J59)*PI()/180))-4.8-0.4*K59</f>
        <v>169.73431457505077</v>
      </c>
      <c r="K70" s="1">
        <f>K61*1</f>
        <v>4</v>
      </c>
    </row>
    <row r="71" spans="1:12" x14ac:dyDescent="0.15">
      <c r="A71" s="1" t="s">
        <v>16</v>
      </c>
      <c r="B71" s="1">
        <v>3</v>
      </c>
      <c r="C71" s="1">
        <v>5</v>
      </c>
      <c r="D71" s="5">
        <f>A60-(61*TAN((90-D59)*PI()/180))-1.3-0.4*E59</f>
        <v>44.134314575050773</v>
      </c>
      <c r="E71" s="1">
        <f>E61</f>
        <v>20</v>
      </c>
      <c r="G71" s="1" t="s">
        <v>16</v>
      </c>
      <c r="H71" s="1">
        <v>3</v>
      </c>
      <c r="I71" s="1">
        <v>5</v>
      </c>
      <c r="J71" s="5">
        <f>G60-(61*TAN((90-J59)*PI()/180))-4.8-0.4*K59</f>
        <v>150.13431457505075</v>
      </c>
      <c r="K71" s="1">
        <f>K61</f>
        <v>4</v>
      </c>
    </row>
    <row r="72" spans="1:12" x14ac:dyDescent="0.15">
      <c r="A72" s="1" t="s">
        <v>17</v>
      </c>
      <c r="B72" s="1">
        <v>2</v>
      </c>
      <c r="C72" s="1">
        <v>4</v>
      </c>
      <c r="D72" s="5">
        <f>A60-(63.9*TAN((90-D59)*PI()/180))-1.3-0.4*E59</f>
        <v>41.234314575050774</v>
      </c>
      <c r="E72" s="1">
        <f>E63</f>
        <v>20</v>
      </c>
      <c r="G72" s="1" t="s">
        <v>17</v>
      </c>
      <c r="H72" s="1">
        <v>2</v>
      </c>
      <c r="I72" s="1">
        <v>4</v>
      </c>
      <c r="J72" s="5">
        <f>G60-(63.9*TAN((90-J59)*PI()/180))-4.8-0.4*K59</f>
        <v>147.23431457505077</v>
      </c>
      <c r="K72" s="1">
        <f>K63</f>
        <v>4</v>
      </c>
    </row>
    <row r="73" spans="1:12" x14ac:dyDescent="0.15">
      <c r="A73" s="1" t="s">
        <v>18</v>
      </c>
      <c r="B73" s="1">
        <v>3</v>
      </c>
      <c r="C73" s="1">
        <v>5</v>
      </c>
      <c r="D73" s="5">
        <f>A60-(61*TAN((90-D59)*PI()/180))-1.3-0.4*E59</f>
        <v>44.134314575050773</v>
      </c>
      <c r="E73" s="1">
        <f>E61</f>
        <v>20</v>
      </c>
      <c r="G73" s="1" t="s">
        <v>18</v>
      </c>
      <c r="H73" s="1">
        <v>3</v>
      </c>
      <c r="I73" s="1">
        <v>5</v>
      </c>
      <c r="J73" s="5">
        <f>G60-(61*TAN((90-J59)*PI()/180))-4.8-0.4*K59</f>
        <v>150.13431457505075</v>
      </c>
      <c r="K73" s="1">
        <f>K61</f>
        <v>4</v>
      </c>
    </row>
    <row r="74" spans="1:12" x14ac:dyDescent="0.15">
      <c r="A74" s="1" t="s">
        <v>19</v>
      </c>
      <c r="B74" s="1">
        <v>3</v>
      </c>
      <c r="C74" s="1">
        <v>5</v>
      </c>
      <c r="D74" s="5">
        <f>A60-(59.8*TAN((90-D59)*PI()/180))-1.3-0.4*E59</f>
        <v>45.334314575050776</v>
      </c>
      <c r="E74" s="1">
        <f>E61</f>
        <v>20</v>
      </c>
      <c r="G74" s="1" t="s">
        <v>19</v>
      </c>
      <c r="H74" s="1">
        <v>3</v>
      </c>
      <c r="I74" s="1">
        <v>5</v>
      </c>
      <c r="J74" s="5">
        <f>G60-(59.8*TAN((90-J59)*PI()/180))-4.8-0.4*K59</f>
        <v>151.33431457505077</v>
      </c>
      <c r="K74" s="1">
        <f>K61</f>
        <v>4</v>
      </c>
    </row>
    <row r="75" spans="1:12" x14ac:dyDescent="0.15">
      <c r="A75" s="1" t="s">
        <v>20</v>
      </c>
      <c r="B75" s="1">
        <v>2</v>
      </c>
      <c r="C75" s="1">
        <v>4</v>
      </c>
      <c r="D75" s="5">
        <f>A60-(66.2*TAN((90-D59)*PI()/180))-0.5-0.4*E59</f>
        <v>39.734314575050774</v>
      </c>
      <c r="E75" s="1">
        <f>E64</f>
        <v>20</v>
      </c>
      <c r="G75" s="1" t="s">
        <v>20</v>
      </c>
      <c r="H75" s="1">
        <v>2</v>
      </c>
      <c r="I75" s="1">
        <v>4</v>
      </c>
      <c r="J75" s="5">
        <f>G60-(66.2*TAN((90-J59)*PI()/180))-0.5-0.4*K59</f>
        <v>149.23431457505077</v>
      </c>
      <c r="K75" s="1">
        <f>K64</f>
        <v>4</v>
      </c>
    </row>
    <row r="76" spans="1:12" x14ac:dyDescent="0.15">
      <c r="G76" s="1" t="s">
        <v>75</v>
      </c>
      <c r="H76" s="1">
        <v>3</v>
      </c>
      <c r="I76" s="1">
        <v>5</v>
      </c>
      <c r="J76" s="7">
        <v>16.7</v>
      </c>
      <c r="K76" s="7">
        <f>K61</f>
        <v>4</v>
      </c>
    </row>
    <row r="77" spans="1:12" x14ac:dyDescent="0.15">
      <c r="A77" s="49" t="s">
        <v>72</v>
      </c>
      <c r="B77" s="50"/>
      <c r="C77" s="50"/>
      <c r="D77" s="50"/>
      <c r="E77" s="51"/>
    </row>
    <row r="78" spans="1:12" x14ac:dyDescent="0.15">
      <c r="A78" s="52"/>
      <c r="B78" s="53"/>
      <c r="C78" s="53"/>
      <c r="D78" s="53"/>
      <c r="E78" s="54"/>
      <c r="G78" s="49" t="s">
        <v>77</v>
      </c>
      <c r="H78" s="50"/>
      <c r="I78" s="50"/>
      <c r="J78" s="50"/>
      <c r="K78" s="51"/>
    </row>
    <row r="79" spans="1:12" x14ac:dyDescent="0.15">
      <c r="A79" s="44" t="s">
        <v>2</v>
      </c>
      <c r="B79" s="44"/>
      <c r="C79" s="44"/>
      <c r="D79" s="2">
        <v>45</v>
      </c>
      <c r="E79" s="3">
        <f>1/COS((90-D79)*PI()/180)</f>
        <v>1.4142135623730949</v>
      </c>
      <c r="G79" s="52"/>
      <c r="H79" s="53"/>
      <c r="I79" s="53"/>
      <c r="J79" s="53"/>
      <c r="K79" s="54"/>
      <c r="L79" t="s">
        <v>86</v>
      </c>
    </row>
    <row r="80" spans="1:12" x14ac:dyDescent="0.15">
      <c r="A80" s="2">
        <v>173</v>
      </c>
      <c r="B80" s="44" t="s">
        <v>3</v>
      </c>
      <c r="C80" s="44"/>
      <c r="D80" s="1" t="s">
        <v>4</v>
      </c>
      <c r="E80" s="1" t="s">
        <v>5</v>
      </c>
      <c r="G80" s="44" t="s">
        <v>2</v>
      </c>
      <c r="H80" s="44"/>
      <c r="I80" s="44"/>
      <c r="J80" s="4">
        <v>45</v>
      </c>
      <c r="K80" s="6">
        <f>1/COS((90-J80)*PI()/180)</f>
        <v>1.4142135623730949</v>
      </c>
    </row>
    <row r="81" spans="1:11" x14ac:dyDescent="0.15">
      <c r="A81" s="1" t="s">
        <v>6</v>
      </c>
      <c r="B81" s="1">
        <v>3</v>
      </c>
      <c r="C81" s="1">
        <v>5</v>
      </c>
      <c r="D81" s="5">
        <f>A80-(1*TAN((90-D79)*PI()/180))-1.3-0.4*E79</f>
        <v>170.13431457505075</v>
      </c>
      <c r="E81" s="1">
        <v>4</v>
      </c>
      <c r="G81" s="4">
        <v>180</v>
      </c>
      <c r="H81" s="44" t="s">
        <v>3</v>
      </c>
      <c r="I81" s="44"/>
      <c r="J81" s="1" t="s">
        <v>4</v>
      </c>
      <c r="K81" s="1" t="s">
        <v>5</v>
      </c>
    </row>
    <row r="82" spans="1:11" x14ac:dyDescent="0.15">
      <c r="A82" s="1" t="s">
        <v>7</v>
      </c>
      <c r="B82" s="1">
        <v>2</v>
      </c>
      <c r="C82" s="1">
        <v>4</v>
      </c>
      <c r="D82" s="5">
        <f>A80-(1*TAN((90-D79)*PI()/180))-1.3-0.4*E79</f>
        <v>170.13431457505075</v>
      </c>
      <c r="E82" s="1">
        <f>E81</f>
        <v>4</v>
      </c>
      <c r="G82" s="1" t="s">
        <v>6</v>
      </c>
      <c r="H82" s="1">
        <v>3</v>
      </c>
      <c r="I82" s="1">
        <v>5</v>
      </c>
      <c r="J82" s="5">
        <f>G81-(1*TAN((90-J80)*PI()/180))-4.8-0.4*K80</f>
        <v>173.63431457505075</v>
      </c>
      <c r="K82" s="1">
        <v>2</v>
      </c>
    </row>
    <row r="83" spans="1:11" x14ac:dyDescent="0.15">
      <c r="A83" s="1" t="s">
        <v>8</v>
      </c>
      <c r="B83" s="1">
        <v>2</v>
      </c>
      <c r="C83" s="1">
        <v>7</v>
      </c>
      <c r="D83" s="5">
        <f>A80-(1*TAN((90-D79)*PI()/180))-1.3-0.4*E79</f>
        <v>170.13431457505075</v>
      </c>
      <c r="E83" s="1">
        <f>E81*1</f>
        <v>4</v>
      </c>
      <c r="G83" s="1" t="s">
        <v>7</v>
      </c>
      <c r="H83" s="1">
        <v>2</v>
      </c>
      <c r="I83" s="1">
        <v>4</v>
      </c>
      <c r="J83" s="5">
        <f>G81-(1*TAN((90-J80)*PI()/180))-1.3-0.4*K80</f>
        <v>177.13431457505075</v>
      </c>
      <c r="K83" s="1">
        <f>K82</f>
        <v>2</v>
      </c>
    </row>
    <row r="84" spans="1:11" x14ac:dyDescent="0.15">
      <c r="A84" s="1" t="s">
        <v>9</v>
      </c>
      <c r="B84" s="1">
        <v>2</v>
      </c>
      <c r="C84" s="1">
        <v>4</v>
      </c>
      <c r="D84" s="5">
        <f>A80-(10.1*TAN((90-D79)*PI()/180))-1.3-0.4*E79</f>
        <v>161.03431457505076</v>
      </c>
      <c r="E84" s="1">
        <f>E81</f>
        <v>4</v>
      </c>
      <c r="G84" s="1" t="s">
        <v>8</v>
      </c>
      <c r="H84" s="1">
        <v>2</v>
      </c>
      <c r="I84" s="1">
        <v>7</v>
      </c>
      <c r="J84" s="5">
        <f>G81-(1*TAN((90-J80)*PI()/180))-1.3-0.4*K80</f>
        <v>177.13431457505075</v>
      </c>
      <c r="K84" s="1">
        <f>K82*1</f>
        <v>2</v>
      </c>
    </row>
    <row r="85" spans="1:11" x14ac:dyDescent="0.15">
      <c r="A85" s="1" t="s">
        <v>10</v>
      </c>
      <c r="B85" s="1">
        <v>2</v>
      </c>
      <c r="C85" s="1">
        <v>4</v>
      </c>
      <c r="D85" s="5">
        <f>A80-(11.1*TAN((90-D79)*PI()/180))-1.3-0.4*E79</f>
        <v>160.03431457505076</v>
      </c>
      <c r="E85" s="1">
        <f>E81</f>
        <v>4</v>
      </c>
      <c r="G85" s="1" t="s">
        <v>9</v>
      </c>
      <c r="H85" s="1">
        <v>2</v>
      </c>
      <c r="I85" s="1">
        <v>4</v>
      </c>
      <c r="J85" s="5">
        <f>G81-(10.1*TAN((90-J80)*PI()/180))-1.3-0.4*K80</f>
        <v>168.03431457505076</v>
      </c>
      <c r="K85" s="1">
        <f>K82</f>
        <v>2</v>
      </c>
    </row>
    <row r="86" spans="1:11" x14ac:dyDescent="0.15">
      <c r="A86" s="1" t="s">
        <v>11</v>
      </c>
      <c r="B86" s="1">
        <v>2</v>
      </c>
      <c r="C86" s="1">
        <v>4</v>
      </c>
      <c r="D86" s="5">
        <f>A80-(13*TAN((90-D79)*PI()/180))-1.3-0.4*E79</f>
        <v>158.13431457505075</v>
      </c>
      <c r="E86" s="1">
        <f>E81</f>
        <v>4</v>
      </c>
      <c r="G86" s="1" t="s">
        <v>10</v>
      </c>
      <c r="H86" s="1">
        <v>2</v>
      </c>
      <c r="I86" s="1">
        <v>4</v>
      </c>
      <c r="J86" s="5">
        <f>G81-(11.1*TAN((90-J80)*PI()/180))-1.3-0.4*K80</f>
        <v>167.03431457505076</v>
      </c>
      <c r="K86" s="1">
        <f>K82</f>
        <v>2</v>
      </c>
    </row>
    <row r="87" spans="1:11" x14ac:dyDescent="0.15">
      <c r="A87" s="1" t="s">
        <v>12</v>
      </c>
      <c r="B87" s="1">
        <v>2</v>
      </c>
      <c r="C87" s="1">
        <v>4</v>
      </c>
      <c r="D87" s="5">
        <f>A80-(16.4*TAN((90-D79)*PI()/180))-1.3-0.4*E79</f>
        <v>154.73431457505075</v>
      </c>
      <c r="E87" s="1">
        <f>E81</f>
        <v>4</v>
      </c>
      <c r="G87" s="1" t="s">
        <v>11</v>
      </c>
      <c r="H87" s="1">
        <v>2</v>
      </c>
      <c r="I87" s="1">
        <v>4</v>
      </c>
      <c r="J87" s="5">
        <f>G81-(13*TAN((90-J80)*PI()/180))-1.3-0.4*K80</f>
        <v>165.13431457505075</v>
      </c>
      <c r="K87" s="1">
        <f>K82</f>
        <v>2</v>
      </c>
    </row>
    <row r="88" spans="1:11" x14ac:dyDescent="0.15">
      <c r="A88" s="1" t="s">
        <v>13</v>
      </c>
      <c r="B88" s="1">
        <v>2</v>
      </c>
      <c r="C88" s="1">
        <v>4</v>
      </c>
      <c r="D88" s="5">
        <f>A80-(15.7*TAN((90-D79)*PI()/180))-1.3-0.4*E79</f>
        <v>155.43431457505076</v>
      </c>
      <c r="E88" s="1">
        <f>E81</f>
        <v>4</v>
      </c>
      <c r="G88" s="1" t="s">
        <v>12</v>
      </c>
      <c r="H88" s="1">
        <v>2</v>
      </c>
      <c r="I88" s="1">
        <v>4</v>
      </c>
      <c r="J88" s="5">
        <f>G81-(16.4*TAN((90-J80)*PI()/180))-1.3-0.4*K80</f>
        <v>161.73431457505075</v>
      </c>
      <c r="K88" s="1">
        <f>K82</f>
        <v>2</v>
      </c>
    </row>
    <row r="89" spans="1:11" x14ac:dyDescent="0.15">
      <c r="A89" s="1" t="s">
        <v>14</v>
      </c>
      <c r="B89" s="1">
        <v>3</v>
      </c>
      <c r="C89" s="1">
        <v>5</v>
      </c>
      <c r="D89" s="5">
        <f>A80-(20*TAN((90-D79)*PI()/180))-1.3-0.4*E79</f>
        <v>151.13431457505075</v>
      </c>
      <c r="E89" s="1">
        <f>E81*1</f>
        <v>4</v>
      </c>
      <c r="G89" s="1" t="s">
        <v>13</v>
      </c>
      <c r="H89" s="1">
        <v>2</v>
      </c>
      <c r="I89" s="1">
        <v>4</v>
      </c>
      <c r="J89" s="5">
        <f>G81-(15.7*TAN((90-J80)*PI()/180))-1.3-0.4*K80</f>
        <v>162.43431457505076</v>
      </c>
      <c r="K89" s="1">
        <f>K82</f>
        <v>2</v>
      </c>
    </row>
    <row r="90" spans="1:11" x14ac:dyDescent="0.15">
      <c r="A90" s="1" t="s">
        <v>15</v>
      </c>
      <c r="B90" s="1">
        <v>3</v>
      </c>
      <c r="C90" s="1">
        <v>5</v>
      </c>
      <c r="D90" s="5">
        <f>A80-(41.4*TAN((90-D79)*PI()/180))-1.3-0.4*E79</f>
        <v>129.73431457505077</v>
      </c>
      <c r="E90" s="1">
        <f>E81*1</f>
        <v>4</v>
      </c>
      <c r="G90" s="1" t="s">
        <v>14</v>
      </c>
      <c r="H90" s="1">
        <v>3</v>
      </c>
      <c r="I90" s="1">
        <v>5</v>
      </c>
      <c r="J90" s="5">
        <f>G81-(20*TAN((90-J80)*PI()/180))-4.8-0.4*K80</f>
        <v>154.63431457505075</v>
      </c>
      <c r="K90" s="1">
        <f>K82*1</f>
        <v>2</v>
      </c>
    </row>
    <row r="91" spans="1:11" x14ac:dyDescent="0.15">
      <c r="A91" s="1" t="s">
        <v>16</v>
      </c>
      <c r="B91" s="1">
        <v>3</v>
      </c>
      <c r="C91" s="1">
        <v>5</v>
      </c>
      <c r="D91" s="5">
        <f>A80-(61*TAN((90-D79)*PI()/180))-1.3-0.4*E79</f>
        <v>110.13431457505077</v>
      </c>
      <c r="E91" s="1">
        <f>E81</f>
        <v>4</v>
      </c>
      <c r="G91" s="1" t="s">
        <v>15</v>
      </c>
      <c r="H91" s="1">
        <v>3</v>
      </c>
      <c r="I91" s="1">
        <v>5</v>
      </c>
      <c r="J91" s="5">
        <f>G81-(41.4*TAN((90-J80)*PI()/180))-4.8-0.4*K80</f>
        <v>133.23431457505077</v>
      </c>
      <c r="K91" s="1">
        <f>K82*1</f>
        <v>2</v>
      </c>
    </row>
    <row r="92" spans="1:11" x14ac:dyDescent="0.15">
      <c r="A92" s="1" t="s">
        <v>17</v>
      </c>
      <c r="B92" s="1">
        <v>2</v>
      </c>
      <c r="C92" s="1">
        <v>4</v>
      </c>
      <c r="D92" s="5">
        <f>A80-(63.9*TAN((90-D79)*PI()/180))-1.3-0.4*E79</f>
        <v>107.23431457505077</v>
      </c>
      <c r="E92" s="1">
        <f>E83</f>
        <v>4</v>
      </c>
      <c r="G92" s="1" t="s">
        <v>16</v>
      </c>
      <c r="H92" s="1">
        <v>3</v>
      </c>
      <c r="I92" s="1">
        <v>5</v>
      </c>
      <c r="J92" s="5">
        <f>G81-(61*TAN((90-J80)*PI()/180))-4.8-0.4*K80</f>
        <v>113.63431457505077</v>
      </c>
      <c r="K92" s="1">
        <f>K82</f>
        <v>2</v>
      </c>
    </row>
    <row r="93" spans="1:11" x14ac:dyDescent="0.15">
      <c r="A93" s="1" t="s">
        <v>18</v>
      </c>
      <c r="B93" s="1">
        <v>3</v>
      </c>
      <c r="C93" s="1">
        <v>5</v>
      </c>
      <c r="D93" s="5">
        <f>A80-(61*TAN((90-D79)*PI()/180))-1.3-0.4*E79</f>
        <v>110.13431457505077</v>
      </c>
      <c r="E93" s="1">
        <f>E81</f>
        <v>4</v>
      </c>
      <c r="G93" s="1" t="s">
        <v>17</v>
      </c>
      <c r="H93" s="1">
        <v>2</v>
      </c>
      <c r="I93" s="1">
        <v>4</v>
      </c>
      <c r="J93" s="5">
        <f>G81-(63.9*TAN((90-J80)*PI()/180))-4.8-0.4*K80</f>
        <v>110.73431457505077</v>
      </c>
      <c r="K93" s="1">
        <f>K84</f>
        <v>2</v>
      </c>
    </row>
    <row r="94" spans="1:11" x14ac:dyDescent="0.15">
      <c r="A94" s="1" t="s">
        <v>19</v>
      </c>
      <c r="B94" s="1">
        <v>3</v>
      </c>
      <c r="C94" s="1">
        <v>5</v>
      </c>
      <c r="D94" s="5">
        <f>A80-(59.8*TAN((90-D79)*PI()/180))-1.3-0.4*E79</f>
        <v>111.33431457505078</v>
      </c>
      <c r="E94" s="1">
        <f>E81</f>
        <v>4</v>
      </c>
      <c r="G94" s="1" t="s">
        <v>18</v>
      </c>
      <c r="H94" s="1">
        <v>3</v>
      </c>
      <c r="I94" s="1">
        <v>5</v>
      </c>
      <c r="J94" s="5">
        <f>G81-(61*TAN((90-J80)*PI()/180))-4.8-0.4*K80</f>
        <v>113.63431457505077</v>
      </c>
      <c r="K94" s="1">
        <f>K82</f>
        <v>2</v>
      </c>
    </row>
    <row r="95" spans="1:11" x14ac:dyDescent="0.15">
      <c r="A95" s="1" t="s">
        <v>20</v>
      </c>
      <c r="B95" s="1">
        <v>2</v>
      </c>
      <c r="C95" s="1">
        <v>4</v>
      </c>
      <c r="D95" s="5">
        <f>A80-(66.2*TAN((90-D79)*PI()/180))-0.5-0.4*E79</f>
        <v>105.73431457505077</v>
      </c>
      <c r="E95" s="1">
        <f>E84</f>
        <v>4</v>
      </c>
      <c r="G95" s="1" t="s">
        <v>19</v>
      </c>
      <c r="H95" s="1">
        <v>3</v>
      </c>
      <c r="I95" s="1">
        <v>5</v>
      </c>
      <c r="J95" s="5">
        <f>G81-(59.8*TAN((90-J80)*PI()/180))-4.8-0.4*K80</f>
        <v>114.83431457505078</v>
      </c>
      <c r="K95" s="1">
        <f>K82</f>
        <v>2</v>
      </c>
    </row>
    <row r="96" spans="1:11" x14ac:dyDescent="0.15">
      <c r="G96" s="1" t="s">
        <v>76</v>
      </c>
      <c r="H96" s="1">
        <v>3</v>
      </c>
      <c r="I96" s="1">
        <v>5</v>
      </c>
      <c r="J96" s="5">
        <f>G81-(3*TAN((90-J80)*PI()/180))-4.8-0.4*K80</f>
        <v>171.63431457505075</v>
      </c>
      <c r="K96" s="1">
        <f>K95</f>
        <v>2</v>
      </c>
    </row>
    <row r="97" spans="1:11" x14ac:dyDescent="0.15">
      <c r="G97" s="1" t="s">
        <v>20</v>
      </c>
      <c r="H97" s="1">
        <v>2</v>
      </c>
      <c r="I97" s="1">
        <v>4</v>
      </c>
      <c r="J97" s="5">
        <f>G81-(66.2*TAN((90-J80)*PI()/180))-0.5-0.4*K80</f>
        <v>112.73431457505077</v>
      </c>
      <c r="K97" s="1">
        <f>K85</f>
        <v>2</v>
      </c>
    </row>
    <row r="105" spans="1:11" x14ac:dyDescent="0.15">
      <c r="D105" t="s">
        <v>78</v>
      </c>
    </row>
    <row r="110" spans="1:11" x14ac:dyDescent="0.15">
      <c r="A110" s="49" t="s">
        <v>85</v>
      </c>
      <c r="B110" s="50"/>
      <c r="C110" s="50"/>
      <c r="D110" s="50"/>
      <c r="E110" s="51"/>
      <c r="G110" s="49" t="s">
        <v>81</v>
      </c>
      <c r="H110" s="50"/>
      <c r="I110" s="50"/>
      <c r="J110" s="50"/>
      <c r="K110" s="51"/>
    </row>
    <row r="111" spans="1:11" x14ac:dyDescent="0.15">
      <c r="A111" s="52"/>
      <c r="B111" s="53"/>
      <c r="C111" s="53"/>
      <c r="D111" s="53"/>
      <c r="E111" s="54"/>
      <c r="G111" s="52"/>
      <c r="H111" s="53"/>
      <c r="I111" s="53"/>
      <c r="J111" s="53"/>
      <c r="K111" s="54"/>
    </row>
    <row r="112" spans="1:11" x14ac:dyDescent="0.15">
      <c r="A112" s="44" t="s">
        <v>2</v>
      </c>
      <c r="B112" s="44"/>
      <c r="C112" s="44"/>
      <c r="D112" s="4">
        <v>45</v>
      </c>
      <c r="E112" s="6">
        <f>1/COS((90-D112)*PI()/180)</f>
        <v>1.4142135623730949</v>
      </c>
      <c r="G112" s="44" t="s">
        <v>2</v>
      </c>
      <c r="H112" s="44"/>
      <c r="I112" s="44"/>
      <c r="J112" s="8">
        <v>45</v>
      </c>
      <c r="K112" s="9">
        <f>1/COS((90-J112)*PI()/180)</f>
        <v>1.4142135623730949</v>
      </c>
    </row>
    <row r="113" spans="1:11" x14ac:dyDescent="0.15">
      <c r="A113" s="4">
        <v>160</v>
      </c>
      <c r="B113" s="44" t="s">
        <v>3</v>
      </c>
      <c r="C113" s="44"/>
      <c r="D113" s="1" t="s">
        <v>4</v>
      </c>
      <c r="E113" s="1" t="s">
        <v>5</v>
      </c>
      <c r="G113" s="8">
        <v>162.30000000000001</v>
      </c>
      <c r="H113" s="44" t="s">
        <v>3</v>
      </c>
      <c r="I113" s="44"/>
      <c r="J113" s="1" t="s">
        <v>4</v>
      </c>
      <c r="K113" s="1" t="s">
        <v>5</v>
      </c>
    </row>
    <row r="114" spans="1:11" x14ac:dyDescent="0.15">
      <c r="A114" s="1" t="s">
        <v>62</v>
      </c>
      <c r="B114" s="1">
        <v>3</v>
      </c>
      <c r="C114" s="1">
        <v>5</v>
      </c>
      <c r="D114" s="5">
        <f>A113-(1*TAN((90-D112)*PI()/180))-4.8-0.4*E112</f>
        <v>153.63431457505075</v>
      </c>
      <c r="E114" s="1">
        <v>6</v>
      </c>
      <c r="G114" s="1" t="s">
        <v>6</v>
      </c>
      <c r="H114" s="1">
        <v>3</v>
      </c>
      <c r="I114" s="1">
        <v>5</v>
      </c>
      <c r="J114" s="5">
        <f>G113-(1*TAN((90-J112)*PI()/180))-4.8-0.4*K112</f>
        <v>155.93431457505076</v>
      </c>
      <c r="K114" s="1">
        <v>8</v>
      </c>
    </row>
    <row r="115" spans="1:11" x14ac:dyDescent="0.15">
      <c r="A115" s="1" t="s">
        <v>7</v>
      </c>
      <c r="B115" s="1">
        <v>2</v>
      </c>
      <c r="C115" s="1">
        <v>4</v>
      </c>
      <c r="D115" s="5">
        <f>A113-(1*TAN((90-D112)*PI()/180))-1.3-0.4*E112</f>
        <v>157.13431457505075</v>
      </c>
      <c r="E115" s="1">
        <f>E114</f>
        <v>6</v>
      </c>
      <c r="G115" s="1" t="s">
        <v>7</v>
      </c>
      <c r="H115" s="1">
        <v>2</v>
      </c>
      <c r="I115" s="1">
        <v>4</v>
      </c>
      <c r="J115" s="5">
        <f>G113-(1*TAN((90-J112)*PI()/180))-22.3-0.4*K112</f>
        <v>138.43431457505076</v>
      </c>
      <c r="K115" s="1">
        <f>K114</f>
        <v>8</v>
      </c>
    </row>
    <row r="116" spans="1:11" x14ac:dyDescent="0.15">
      <c r="A116" s="1" t="s">
        <v>8</v>
      </c>
      <c r="B116" s="1">
        <v>2</v>
      </c>
      <c r="C116" s="1">
        <v>7</v>
      </c>
      <c r="D116" s="5">
        <f>A113-(1*TAN((90-D112)*PI()/180))-1.3-0.4*E112</f>
        <v>157.13431457505075</v>
      </c>
      <c r="E116" s="1">
        <f>E114*1</f>
        <v>6</v>
      </c>
      <c r="G116" s="1" t="s">
        <v>8</v>
      </c>
      <c r="H116" s="1">
        <v>2</v>
      </c>
      <c r="I116" s="1">
        <v>7</v>
      </c>
      <c r="J116" s="5">
        <f>G113-(1*TAN((90-J112)*PI()/180))-22.3-0.4*K112</f>
        <v>138.43431457505076</v>
      </c>
      <c r="K116" s="1">
        <f>K114*1</f>
        <v>8</v>
      </c>
    </row>
    <row r="117" spans="1:11" x14ac:dyDescent="0.15">
      <c r="A117" s="1" t="s">
        <v>9</v>
      </c>
      <c r="B117" s="1">
        <v>2</v>
      </c>
      <c r="C117" s="1">
        <v>4</v>
      </c>
      <c r="D117" s="5">
        <f>A113-(10.1*TAN((90-D112)*PI()/180))-1.3-0.4*E112</f>
        <v>148.03431457505076</v>
      </c>
      <c r="E117" s="1">
        <f>E114</f>
        <v>6</v>
      </c>
      <c r="G117" s="1" t="s">
        <v>9</v>
      </c>
      <c r="H117" s="1">
        <v>2</v>
      </c>
      <c r="I117" s="1">
        <v>4</v>
      </c>
      <c r="J117" s="5">
        <f>G113-(10.1*TAN((90-J112)*PI()/180))-22.3-0.4*K112</f>
        <v>129.33431457505077</v>
      </c>
      <c r="K117" s="1">
        <f>K114</f>
        <v>8</v>
      </c>
    </row>
    <row r="118" spans="1:11" x14ac:dyDescent="0.15">
      <c r="A118" s="1" t="s">
        <v>10</v>
      </c>
      <c r="B118" s="1">
        <v>2</v>
      </c>
      <c r="C118" s="1">
        <v>4</v>
      </c>
      <c r="D118" s="5">
        <f>A113-(11.1*TAN((90-D112)*PI()/180))-1.3-0.4*E112</f>
        <v>147.03431457505076</v>
      </c>
      <c r="E118" s="1">
        <f>E114</f>
        <v>6</v>
      </c>
      <c r="G118" s="1" t="s">
        <v>10</v>
      </c>
      <c r="H118" s="1">
        <v>2</v>
      </c>
      <c r="I118" s="1">
        <v>4</v>
      </c>
      <c r="J118" s="5">
        <f>G113-(11.1*TAN((90-J112)*PI()/180))-22.3-0.4*K112</f>
        <v>128.33431457505077</v>
      </c>
      <c r="K118" s="1">
        <f>K114</f>
        <v>8</v>
      </c>
    </row>
    <row r="119" spans="1:11" x14ac:dyDescent="0.15">
      <c r="A119" s="1" t="s">
        <v>11</v>
      </c>
      <c r="B119" s="1">
        <v>2</v>
      </c>
      <c r="C119" s="1">
        <v>4</v>
      </c>
      <c r="D119" s="5">
        <f>A113-(13*TAN((90-D112)*PI()/180))-1.3-0.4*E112</f>
        <v>145.13431457505075</v>
      </c>
      <c r="E119" s="1">
        <f>E114</f>
        <v>6</v>
      </c>
      <c r="G119" s="1" t="s">
        <v>11</v>
      </c>
      <c r="H119" s="1">
        <v>2</v>
      </c>
      <c r="I119" s="1">
        <v>4</v>
      </c>
      <c r="J119" s="5">
        <f>G113-(13*TAN((90-J112)*PI()/180))-22.3-0.4*K112</f>
        <v>126.43431457505078</v>
      </c>
      <c r="K119" s="1">
        <f>K114</f>
        <v>8</v>
      </c>
    </row>
    <row r="120" spans="1:11" x14ac:dyDescent="0.15">
      <c r="A120" s="1" t="s">
        <v>12</v>
      </c>
      <c r="B120" s="1">
        <v>2</v>
      </c>
      <c r="C120" s="1">
        <v>4</v>
      </c>
      <c r="D120" s="5">
        <f>A113-(16.4*TAN((90-D112)*PI()/180))-1.3-0.4*E112</f>
        <v>141.73431457505075</v>
      </c>
      <c r="E120" s="1">
        <f>E114</f>
        <v>6</v>
      </c>
      <c r="G120" s="1" t="s">
        <v>12</v>
      </c>
      <c r="H120" s="1">
        <v>2</v>
      </c>
      <c r="I120" s="1">
        <v>4</v>
      </c>
      <c r="J120" s="5">
        <f>G113-(16.4*TAN((90-J112)*PI()/180))-22.3-0.4*K112</f>
        <v>123.03431457505077</v>
      </c>
      <c r="K120" s="1">
        <f>K114</f>
        <v>8</v>
      </c>
    </row>
    <row r="121" spans="1:11" x14ac:dyDescent="0.15">
      <c r="A121" s="1" t="s">
        <v>13</v>
      </c>
      <c r="B121" s="1">
        <v>2</v>
      </c>
      <c r="C121" s="1">
        <v>4</v>
      </c>
      <c r="D121" s="5">
        <f>A113-(15.7*TAN((90-D112)*PI()/180))-1.3-0.4*E112</f>
        <v>142.43431457505076</v>
      </c>
      <c r="E121" s="1">
        <f>E114</f>
        <v>6</v>
      </c>
      <c r="G121" s="1" t="s">
        <v>13</v>
      </c>
      <c r="H121" s="1">
        <v>2</v>
      </c>
      <c r="I121" s="1">
        <v>4</v>
      </c>
      <c r="J121" s="5">
        <f>G113-(15.7*TAN((90-J112)*PI()/180))-22.3-0.4*K112</f>
        <v>123.73431457505079</v>
      </c>
      <c r="K121" s="1">
        <f>K114</f>
        <v>8</v>
      </c>
    </row>
    <row r="122" spans="1:11" x14ac:dyDescent="0.15">
      <c r="A122" s="1" t="s">
        <v>14</v>
      </c>
      <c r="B122" s="1">
        <v>3</v>
      </c>
      <c r="C122" s="1">
        <v>5</v>
      </c>
      <c r="D122" s="5">
        <f>A113-(20*TAN((90-D112)*PI()/180))-4.8-0.4*E112</f>
        <v>134.63431457505075</v>
      </c>
      <c r="E122" s="1">
        <f>E114*1</f>
        <v>6</v>
      </c>
      <c r="G122" s="1" t="s">
        <v>14</v>
      </c>
      <c r="H122" s="1">
        <v>3</v>
      </c>
      <c r="I122" s="1">
        <v>5</v>
      </c>
      <c r="J122" s="5">
        <f>G113-(20*TAN((90-J112)*PI()/180))-4.8-0.4*K112</f>
        <v>136.93431457505076</v>
      </c>
      <c r="K122" s="1">
        <f>K114*1</f>
        <v>8</v>
      </c>
    </row>
    <row r="123" spans="1:11" x14ac:dyDescent="0.15">
      <c r="A123" s="1" t="s">
        <v>15</v>
      </c>
      <c r="B123" s="1">
        <v>3</v>
      </c>
      <c r="C123" s="1">
        <v>5</v>
      </c>
      <c r="D123" s="5">
        <f>A113-(41.4*TAN((90-D112)*PI()/180))-4.8-0.4*E112</f>
        <v>113.23431457505077</v>
      </c>
      <c r="E123" s="1">
        <f>E114*1</f>
        <v>6</v>
      </c>
      <c r="G123" s="1" t="s">
        <v>15</v>
      </c>
      <c r="H123" s="1">
        <v>3</v>
      </c>
      <c r="I123" s="1">
        <v>5</v>
      </c>
      <c r="J123" s="5">
        <f>G113-(41.4*TAN((90-J112)*PI()/180))-4.8-0.4*K112</f>
        <v>115.53431457505079</v>
      </c>
      <c r="K123" s="1">
        <f>K114*1</f>
        <v>8</v>
      </c>
    </row>
    <row r="124" spans="1:11" x14ac:dyDescent="0.15">
      <c r="A124" s="1" t="s">
        <v>16</v>
      </c>
      <c r="B124" s="1">
        <v>3</v>
      </c>
      <c r="C124" s="1">
        <v>5</v>
      </c>
      <c r="D124" s="5">
        <f>A113-(61*TAN((90-D112)*PI()/180))-4.8-0.4*E112</f>
        <v>93.634314575050766</v>
      </c>
      <c r="E124" s="1">
        <f>E114</f>
        <v>6</v>
      </c>
      <c r="G124" s="1" t="s">
        <v>16</v>
      </c>
      <c r="H124" s="1">
        <v>3</v>
      </c>
      <c r="I124" s="1">
        <v>5</v>
      </c>
      <c r="J124" s="5">
        <f>G113-(61*TAN((90-J112)*PI()/180))-4.8-0.4*K112</f>
        <v>95.934314575050777</v>
      </c>
      <c r="K124" s="1">
        <f>K114</f>
        <v>8</v>
      </c>
    </row>
    <row r="125" spans="1:11" x14ac:dyDescent="0.15">
      <c r="A125" s="1" t="s">
        <v>17</v>
      </c>
      <c r="B125" s="1">
        <v>2</v>
      </c>
      <c r="C125" s="1">
        <v>4</v>
      </c>
      <c r="D125" s="5">
        <f>A113-(63.9*TAN((90-D112)*PI()/180))-4.8-0.4*E112</f>
        <v>90.734314575050774</v>
      </c>
      <c r="E125" s="1">
        <f>E116</f>
        <v>6</v>
      </c>
      <c r="G125" s="1" t="s">
        <v>17</v>
      </c>
      <c r="H125" s="1">
        <v>2</v>
      </c>
      <c r="I125" s="1">
        <v>4</v>
      </c>
      <c r="J125" s="5">
        <f>G113-(63.9*TAN((90-J112)*PI()/180))-4.8-0.4*K112</f>
        <v>93.034314575050786</v>
      </c>
      <c r="K125" s="1">
        <f>K116</f>
        <v>8</v>
      </c>
    </row>
    <row r="126" spans="1:11" x14ac:dyDescent="0.15">
      <c r="A126" s="1" t="s">
        <v>18</v>
      </c>
      <c r="B126" s="1">
        <v>3</v>
      </c>
      <c r="C126" s="1">
        <v>5</v>
      </c>
      <c r="D126" s="5">
        <f>A113-(61*TAN((90-D112)*PI()/180))-4.8-0.4*E112</f>
        <v>93.634314575050766</v>
      </c>
      <c r="E126" s="1">
        <f>E114</f>
        <v>6</v>
      </c>
      <c r="G126" s="1" t="s">
        <v>18</v>
      </c>
      <c r="H126" s="1">
        <v>3</v>
      </c>
      <c r="I126" s="1">
        <v>5</v>
      </c>
      <c r="J126" s="5">
        <f>G113-(61*TAN((90-J112)*PI()/180))-4.8-0.4*K112</f>
        <v>95.934314575050777</v>
      </c>
      <c r="K126" s="1">
        <f>K114</f>
        <v>8</v>
      </c>
    </row>
    <row r="127" spans="1:11" x14ac:dyDescent="0.15">
      <c r="A127" s="1" t="s">
        <v>19</v>
      </c>
      <c r="B127" s="1">
        <v>3</v>
      </c>
      <c r="C127" s="1">
        <v>5</v>
      </c>
      <c r="D127" s="5">
        <f>A113-(59.8*TAN((90-D112)*PI()/180))-4.8-0.4*E112</f>
        <v>94.834314575050783</v>
      </c>
      <c r="E127" s="1">
        <f>E114</f>
        <v>6</v>
      </c>
      <c r="G127" s="1" t="s">
        <v>19</v>
      </c>
      <c r="H127" s="1">
        <v>3</v>
      </c>
      <c r="I127" s="1">
        <v>5</v>
      </c>
      <c r="J127" s="5">
        <f>G113-(59.8*TAN((90-J112)*PI()/180))-4.8-0.4*K112</f>
        <v>97.134314575050794</v>
      </c>
      <c r="K127" s="1">
        <f>K114</f>
        <v>8</v>
      </c>
    </row>
    <row r="128" spans="1:11" x14ac:dyDescent="0.15">
      <c r="A128" s="1" t="s">
        <v>76</v>
      </c>
      <c r="B128" s="1">
        <v>3</v>
      </c>
      <c r="C128" s="1">
        <v>5</v>
      </c>
      <c r="D128" s="5">
        <f>A113-(3*TAN((90-D112)*PI()/180))-4.8-0.4*E112</f>
        <v>151.63431457505075</v>
      </c>
      <c r="E128" s="1">
        <f>E127</f>
        <v>6</v>
      </c>
      <c r="G128" s="1" t="s">
        <v>20</v>
      </c>
      <c r="H128" s="1">
        <v>2</v>
      </c>
      <c r="I128" s="1">
        <v>4</v>
      </c>
      <c r="J128" s="5">
        <f>G113-(66.2*TAN((90-J112)*PI()/180))-0.5-0.4*K112</f>
        <v>95.034314575050786</v>
      </c>
      <c r="K128" s="1">
        <f>K117</f>
        <v>8</v>
      </c>
    </row>
    <row r="129" spans="1:11" x14ac:dyDescent="0.15">
      <c r="A129" s="1" t="s">
        <v>20</v>
      </c>
      <c r="B129" s="1">
        <v>2</v>
      </c>
      <c r="C129" s="1">
        <v>4</v>
      </c>
      <c r="D129" s="5">
        <f>A113-(66.2*TAN((90-D112)*PI()/180))-0.5-0.4*E112</f>
        <v>92.734314575050774</v>
      </c>
      <c r="E129" s="1">
        <f>E117</f>
        <v>6</v>
      </c>
      <c r="G129" s="1" t="s">
        <v>75</v>
      </c>
      <c r="H129" s="1">
        <v>3</v>
      </c>
      <c r="I129" s="1">
        <v>5</v>
      </c>
      <c r="J129" s="7">
        <v>16.7</v>
      </c>
      <c r="K129" s="7">
        <f>K114</f>
        <v>8</v>
      </c>
    </row>
    <row r="131" spans="1:11" x14ac:dyDescent="0.15">
      <c r="A131" s="46" t="s">
        <v>49</v>
      </c>
      <c r="B131" s="61" t="s">
        <v>80</v>
      </c>
      <c r="C131" s="62"/>
      <c r="D131" s="62"/>
      <c r="E131" s="63"/>
      <c r="G131" s="46" t="s">
        <v>49</v>
      </c>
      <c r="H131" s="46" t="s">
        <v>82</v>
      </c>
      <c r="I131" s="46"/>
      <c r="J131" s="46"/>
      <c r="K131" s="46"/>
    </row>
    <row r="132" spans="1:11" x14ac:dyDescent="0.15">
      <c r="A132" s="46"/>
      <c r="B132" s="64"/>
      <c r="C132" s="65"/>
      <c r="D132" s="65"/>
      <c r="E132" s="66"/>
      <c r="G132" s="46"/>
      <c r="H132" s="46"/>
      <c r="I132" s="46"/>
      <c r="J132" s="46"/>
      <c r="K132" s="46"/>
    </row>
    <row r="133" spans="1:11" x14ac:dyDescent="0.15">
      <c r="A133" s="7" t="s">
        <v>52</v>
      </c>
      <c r="B133" s="67">
        <v>188</v>
      </c>
      <c r="C133" s="67"/>
      <c r="D133" s="7" t="s">
        <v>53</v>
      </c>
      <c r="E133" s="18">
        <v>6</v>
      </c>
      <c r="G133" s="7" t="s">
        <v>52</v>
      </c>
      <c r="H133" s="58">
        <v>188</v>
      </c>
      <c r="I133" s="58"/>
      <c r="J133" s="7" t="s">
        <v>53</v>
      </c>
      <c r="K133" s="17">
        <v>2</v>
      </c>
    </row>
    <row r="134" spans="1:11" x14ac:dyDescent="0.15">
      <c r="A134" s="7" t="s">
        <v>55</v>
      </c>
      <c r="B134" s="46" t="s">
        <v>3</v>
      </c>
      <c r="C134" s="46"/>
      <c r="D134" s="7" t="s">
        <v>4</v>
      </c>
      <c r="E134" s="7" t="s">
        <v>56</v>
      </c>
      <c r="G134" s="7" t="s">
        <v>55</v>
      </c>
      <c r="H134" s="46" t="s">
        <v>3</v>
      </c>
      <c r="I134" s="46"/>
      <c r="J134" s="7" t="s">
        <v>4</v>
      </c>
      <c r="K134" s="7" t="s">
        <v>56</v>
      </c>
    </row>
    <row r="135" spans="1:11" x14ac:dyDescent="0.15">
      <c r="A135" s="59" t="s">
        <v>70</v>
      </c>
      <c r="B135" s="7">
        <v>2</v>
      </c>
      <c r="C135" s="7">
        <v>4</v>
      </c>
      <c r="D135" s="7">
        <f>B133-22.3-1.3</f>
        <v>164.39999999999998</v>
      </c>
      <c r="E135" s="7">
        <f>E133*6</f>
        <v>36</v>
      </c>
      <c r="G135" s="59" t="s">
        <v>70</v>
      </c>
      <c r="H135" s="7">
        <v>2</v>
      </c>
      <c r="I135" s="7">
        <v>4</v>
      </c>
      <c r="J135" s="7">
        <f>H133-2.6</f>
        <v>185.4</v>
      </c>
      <c r="K135" s="7">
        <f>K133*6</f>
        <v>12</v>
      </c>
    </row>
    <row r="136" spans="1:11" x14ac:dyDescent="0.15">
      <c r="A136" s="60"/>
      <c r="B136" s="7">
        <v>2</v>
      </c>
      <c r="C136" s="7">
        <v>7</v>
      </c>
      <c r="D136" s="7">
        <f>B133-22.3-1.3</f>
        <v>164.39999999999998</v>
      </c>
      <c r="E136" s="7">
        <f>E133*1</f>
        <v>6</v>
      </c>
      <c r="G136" s="60"/>
      <c r="H136" s="7">
        <v>2</v>
      </c>
      <c r="I136" s="7">
        <v>7</v>
      </c>
      <c r="J136" s="7">
        <f>H133-2.6</f>
        <v>185.4</v>
      </c>
      <c r="K136" s="7">
        <f>K133*1</f>
        <v>2</v>
      </c>
    </row>
    <row r="137" spans="1:11" x14ac:dyDescent="0.15">
      <c r="A137" s="59" t="s">
        <v>79</v>
      </c>
      <c r="B137" s="7">
        <v>2</v>
      </c>
      <c r="C137" s="7">
        <v>4</v>
      </c>
      <c r="D137" s="7">
        <f>B133-1.3-4.8</f>
        <v>181.89999999999998</v>
      </c>
      <c r="E137" s="7">
        <f>E133</f>
        <v>6</v>
      </c>
      <c r="G137" s="59" t="s">
        <v>79</v>
      </c>
      <c r="H137" s="7">
        <v>2</v>
      </c>
      <c r="I137" s="7">
        <v>4</v>
      </c>
      <c r="J137" s="7">
        <f>H133-1.3-4.8</f>
        <v>181.89999999999998</v>
      </c>
      <c r="K137" s="7">
        <f>K133</f>
        <v>2</v>
      </c>
    </row>
    <row r="138" spans="1:11" x14ac:dyDescent="0.15">
      <c r="A138" s="60"/>
      <c r="B138" s="7">
        <v>3</v>
      </c>
      <c r="C138" s="7">
        <v>5</v>
      </c>
      <c r="D138" s="7">
        <f>B133-4.8-1.3</f>
        <v>181.89999999999998</v>
      </c>
      <c r="E138" s="7">
        <f>E133*6</f>
        <v>36</v>
      </c>
      <c r="G138" s="60"/>
      <c r="H138" s="7">
        <v>3</v>
      </c>
      <c r="I138" s="7">
        <v>5</v>
      </c>
      <c r="J138" s="7">
        <f>H133-4.8-1.3</f>
        <v>181.89999999999998</v>
      </c>
      <c r="K138" s="7">
        <f>K133*6</f>
        <v>12</v>
      </c>
    </row>
    <row r="139" spans="1:11" x14ac:dyDescent="0.15">
      <c r="A139" s="7" t="s">
        <v>20</v>
      </c>
      <c r="B139" s="7">
        <v>2</v>
      </c>
      <c r="C139" s="7">
        <v>4</v>
      </c>
      <c r="D139" s="7">
        <f>B133-1</f>
        <v>187</v>
      </c>
      <c r="E139" s="7">
        <f>E133*1</f>
        <v>6</v>
      </c>
      <c r="G139" s="7" t="s">
        <v>20</v>
      </c>
      <c r="H139" s="7">
        <v>2</v>
      </c>
      <c r="I139" s="7">
        <v>4</v>
      </c>
      <c r="J139" s="7">
        <f>H133-1</f>
        <v>187</v>
      </c>
      <c r="K139" s="7">
        <f>K133*1</f>
        <v>2</v>
      </c>
    </row>
    <row r="141" spans="1:11" x14ac:dyDescent="0.15">
      <c r="A141" s="46" t="s">
        <v>49</v>
      </c>
      <c r="B141" s="46" t="s">
        <v>83</v>
      </c>
      <c r="C141" s="46"/>
      <c r="D141" s="46"/>
      <c r="E141" s="46"/>
    </row>
    <row r="142" spans="1:11" x14ac:dyDescent="0.15">
      <c r="A142" s="46"/>
      <c r="B142" s="46"/>
      <c r="C142" s="46"/>
      <c r="D142" s="46"/>
      <c r="E142" s="46"/>
    </row>
    <row r="143" spans="1:11" x14ac:dyDescent="0.15">
      <c r="A143" s="7" t="s">
        <v>52</v>
      </c>
      <c r="B143" s="58">
        <v>143</v>
      </c>
      <c r="C143" s="58"/>
      <c r="D143" s="7" t="s">
        <v>53</v>
      </c>
      <c r="E143" s="17">
        <v>4</v>
      </c>
    </row>
    <row r="144" spans="1:11" x14ac:dyDescent="0.15">
      <c r="A144" s="7" t="s">
        <v>55</v>
      </c>
      <c r="B144" s="46" t="s">
        <v>3</v>
      </c>
      <c r="C144" s="46"/>
      <c r="D144" s="7" t="s">
        <v>4</v>
      </c>
      <c r="E144" s="7" t="s">
        <v>56</v>
      </c>
    </row>
    <row r="145" spans="1:5" x14ac:dyDescent="0.15">
      <c r="A145" s="59" t="s">
        <v>70</v>
      </c>
      <c r="B145" s="7">
        <v>2</v>
      </c>
      <c r="C145" s="7">
        <v>4</v>
      </c>
      <c r="D145" s="7">
        <f>B143-2.6</f>
        <v>140.4</v>
      </c>
      <c r="E145" s="7">
        <f>E143*6</f>
        <v>24</v>
      </c>
    </row>
    <row r="146" spans="1:5" x14ac:dyDescent="0.15">
      <c r="A146" s="60"/>
      <c r="B146" s="7">
        <v>2</v>
      </c>
      <c r="C146" s="7">
        <v>7</v>
      </c>
      <c r="D146" s="7">
        <f>B143-2.6</f>
        <v>140.4</v>
      </c>
      <c r="E146" s="7">
        <f>E143*1</f>
        <v>4</v>
      </c>
    </row>
    <row r="147" spans="1:5" x14ac:dyDescent="0.15">
      <c r="A147" s="59" t="s">
        <v>79</v>
      </c>
      <c r="B147" s="7">
        <v>2</v>
      </c>
      <c r="C147" s="7">
        <v>4</v>
      </c>
      <c r="D147" s="7">
        <f>B143-1.3-4.8</f>
        <v>136.89999999999998</v>
      </c>
      <c r="E147" s="7">
        <f>E143</f>
        <v>4</v>
      </c>
    </row>
    <row r="148" spans="1:5" x14ac:dyDescent="0.15">
      <c r="A148" s="60"/>
      <c r="B148" s="7">
        <v>3</v>
      </c>
      <c r="C148" s="7">
        <v>5</v>
      </c>
      <c r="D148" s="7">
        <f>B143-4.8-1.3</f>
        <v>136.89999999999998</v>
      </c>
      <c r="E148" s="7">
        <f>E143*6</f>
        <v>24</v>
      </c>
    </row>
    <row r="149" spans="1:5" x14ac:dyDescent="0.15">
      <c r="A149" s="7" t="s">
        <v>20</v>
      </c>
      <c r="B149" s="7">
        <v>2</v>
      </c>
      <c r="C149" s="7">
        <v>4</v>
      </c>
      <c r="D149" s="7">
        <f>B143-1</f>
        <v>142</v>
      </c>
      <c r="E149" s="7">
        <f>E143*1</f>
        <v>4</v>
      </c>
    </row>
  </sheetData>
  <mergeCells count="59">
    <mergeCell ref="A141:A142"/>
    <mergeCell ref="B141:E142"/>
    <mergeCell ref="B143:C143"/>
    <mergeCell ref="B144:C144"/>
    <mergeCell ref="A145:A146"/>
    <mergeCell ref="A147:A148"/>
    <mergeCell ref="A137:A138"/>
    <mergeCell ref="A55:E58"/>
    <mergeCell ref="G55:K58"/>
    <mergeCell ref="G131:G132"/>
    <mergeCell ref="H131:K132"/>
    <mergeCell ref="H133:I133"/>
    <mergeCell ref="H134:I134"/>
    <mergeCell ref="G135:G136"/>
    <mergeCell ref="G137:G138"/>
    <mergeCell ref="A135:A136"/>
    <mergeCell ref="H81:I81"/>
    <mergeCell ref="G110:K111"/>
    <mergeCell ref="G112:I112"/>
    <mergeCell ref="H113:I113"/>
    <mergeCell ref="G78:K79"/>
    <mergeCell ref="A131:A132"/>
    <mergeCell ref="B131:E132"/>
    <mergeCell ref="B133:C133"/>
    <mergeCell ref="B134:C134"/>
    <mergeCell ref="A110:E111"/>
    <mergeCell ref="A112:C112"/>
    <mergeCell ref="B113:C113"/>
    <mergeCell ref="G80:I80"/>
    <mergeCell ref="B43:C43"/>
    <mergeCell ref="A59:C59"/>
    <mergeCell ref="B60:C60"/>
    <mergeCell ref="G59:I59"/>
    <mergeCell ref="H60:I60"/>
    <mergeCell ref="A46:A47"/>
    <mergeCell ref="A77:E78"/>
    <mergeCell ref="A79:C79"/>
    <mergeCell ref="B80:C80"/>
    <mergeCell ref="B42:C42"/>
    <mergeCell ref="A44:A45"/>
    <mergeCell ref="G23:G24"/>
    <mergeCell ref="H23:K24"/>
    <mergeCell ref="H25:I25"/>
    <mergeCell ref="H26:I26"/>
    <mergeCell ref="G31:K31"/>
    <mergeCell ref="A40:A41"/>
    <mergeCell ref="B40:E41"/>
    <mergeCell ref="B25:C25"/>
    <mergeCell ref="B26:C26"/>
    <mergeCell ref="B23:E24"/>
    <mergeCell ref="A23:A24"/>
    <mergeCell ref="A31:E31"/>
    <mergeCell ref="B6:C6"/>
    <mergeCell ref="H6:I6"/>
    <mergeCell ref="A1:K2"/>
    <mergeCell ref="A3:E4"/>
    <mergeCell ref="G3:K4"/>
    <mergeCell ref="A5:C5"/>
    <mergeCell ref="G5:I5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H48" sqref="H48"/>
    </sheetView>
  </sheetViews>
  <sheetFormatPr defaultRowHeight="13.5" x14ac:dyDescent="0.15"/>
  <cols>
    <col min="1" max="1" width="13.875" customWidth="1"/>
  </cols>
  <sheetData>
    <row r="1" spans="1:6" x14ac:dyDescent="0.15">
      <c r="A1" s="46" t="s">
        <v>112</v>
      </c>
      <c r="B1" s="46"/>
      <c r="C1" s="46"/>
      <c r="D1" s="46"/>
      <c r="E1" s="46"/>
      <c r="F1" s="46"/>
    </row>
    <row r="2" spans="1:6" x14ac:dyDescent="0.15">
      <c r="A2" s="7" t="s">
        <v>107</v>
      </c>
      <c r="B2" s="46" t="s">
        <v>108</v>
      </c>
      <c r="C2" s="46"/>
      <c r="D2" s="7" t="s">
        <v>109</v>
      </c>
      <c r="E2" s="7" t="s">
        <v>110</v>
      </c>
      <c r="F2" s="7" t="s">
        <v>111</v>
      </c>
    </row>
    <row r="3" spans="1:6" x14ac:dyDescent="0.15">
      <c r="A3" s="7" t="s">
        <v>88</v>
      </c>
      <c r="B3" s="7">
        <v>2</v>
      </c>
      <c r="C3" s="7">
        <v>4</v>
      </c>
      <c r="D3" s="7">
        <v>42.1</v>
      </c>
      <c r="E3" s="7">
        <v>90</v>
      </c>
      <c r="F3" s="7"/>
    </row>
    <row r="4" spans="1:6" x14ac:dyDescent="0.15">
      <c r="A4" s="7" t="s">
        <v>89</v>
      </c>
      <c r="B4" s="7">
        <v>2</v>
      </c>
      <c r="C4" s="7">
        <v>4</v>
      </c>
      <c r="D4" s="7">
        <v>54.1</v>
      </c>
      <c r="E4" s="7">
        <v>108</v>
      </c>
      <c r="F4" s="7"/>
    </row>
    <row r="5" spans="1:6" x14ac:dyDescent="0.15">
      <c r="A5" s="7" t="s">
        <v>90</v>
      </c>
      <c r="B5" s="7">
        <v>2</v>
      </c>
      <c r="C5" s="7">
        <v>4</v>
      </c>
      <c r="D5" s="7">
        <v>40</v>
      </c>
      <c r="E5" s="7">
        <v>72</v>
      </c>
      <c r="F5" s="7"/>
    </row>
    <row r="6" spans="1:6" x14ac:dyDescent="0.15">
      <c r="A6" s="7" t="s">
        <v>91</v>
      </c>
      <c r="B6" s="7">
        <v>2</v>
      </c>
      <c r="C6" s="7">
        <v>4</v>
      </c>
      <c r="D6" s="7">
        <v>50</v>
      </c>
      <c r="E6" s="7">
        <v>72</v>
      </c>
      <c r="F6" s="7"/>
    </row>
    <row r="7" spans="1:6" x14ac:dyDescent="0.15">
      <c r="A7" s="7" t="s">
        <v>92</v>
      </c>
      <c r="B7" s="7">
        <v>2</v>
      </c>
      <c r="C7" s="7">
        <v>4</v>
      </c>
      <c r="D7" s="7">
        <v>40</v>
      </c>
      <c r="E7" s="7">
        <v>64</v>
      </c>
      <c r="F7" s="7"/>
    </row>
    <row r="8" spans="1:6" x14ac:dyDescent="0.15">
      <c r="A8" s="7" t="s">
        <v>93</v>
      </c>
      <c r="B8" s="7">
        <v>2</v>
      </c>
      <c r="C8" s="7">
        <v>4</v>
      </c>
      <c r="D8" s="7">
        <v>55.8</v>
      </c>
      <c r="E8" s="7">
        <v>48</v>
      </c>
      <c r="F8" s="7"/>
    </row>
    <row r="9" spans="1:6" x14ac:dyDescent="0.15">
      <c r="A9" s="7" t="s">
        <v>94</v>
      </c>
      <c r="B9" s="7">
        <v>3</v>
      </c>
      <c r="C9" s="7">
        <v>5</v>
      </c>
      <c r="D9" s="7">
        <v>64</v>
      </c>
      <c r="E9" s="7">
        <v>65</v>
      </c>
      <c r="F9" s="7"/>
    </row>
    <row r="10" spans="1:6" x14ac:dyDescent="0.15">
      <c r="A10" s="7" t="s">
        <v>95</v>
      </c>
      <c r="B10" s="7">
        <v>3</v>
      </c>
      <c r="C10" s="7">
        <v>5</v>
      </c>
      <c r="D10" s="7">
        <v>17.899999999999999</v>
      </c>
      <c r="E10" s="7">
        <v>48</v>
      </c>
      <c r="F10" s="7"/>
    </row>
    <row r="11" spans="1:6" x14ac:dyDescent="0.15">
      <c r="A11" s="7" t="s">
        <v>96</v>
      </c>
      <c r="B11" s="7">
        <v>2</v>
      </c>
      <c r="C11" s="7">
        <v>4</v>
      </c>
      <c r="D11" s="7">
        <v>9</v>
      </c>
      <c r="E11" s="7">
        <v>220</v>
      </c>
      <c r="F11" s="7"/>
    </row>
    <row r="12" spans="1:6" x14ac:dyDescent="0.15">
      <c r="A12" s="7" t="s">
        <v>97</v>
      </c>
      <c r="B12" s="7">
        <v>2</v>
      </c>
      <c r="C12" s="7">
        <v>4</v>
      </c>
      <c r="D12" s="7">
        <v>17.7</v>
      </c>
      <c r="E12" s="7">
        <v>220</v>
      </c>
      <c r="F12" s="7"/>
    </row>
    <row r="13" spans="1:6" x14ac:dyDescent="0.15">
      <c r="A13" s="7" t="s">
        <v>98</v>
      </c>
      <c r="B13" s="7">
        <v>2</v>
      </c>
      <c r="C13" s="7">
        <v>4</v>
      </c>
      <c r="D13" s="7">
        <v>10</v>
      </c>
      <c r="E13" s="7">
        <v>65</v>
      </c>
      <c r="F13" s="7"/>
    </row>
    <row r="14" spans="1:6" x14ac:dyDescent="0.15">
      <c r="A14" s="7"/>
      <c r="B14" s="7">
        <v>2</v>
      </c>
      <c r="C14" s="7">
        <v>4</v>
      </c>
      <c r="D14" s="7">
        <v>15</v>
      </c>
      <c r="E14" s="7">
        <v>65</v>
      </c>
      <c r="F14" s="7"/>
    </row>
    <row r="15" spans="1:6" x14ac:dyDescent="0.15">
      <c r="A15" s="7" t="s">
        <v>99</v>
      </c>
      <c r="B15" s="7">
        <v>3</v>
      </c>
      <c r="C15" s="7">
        <v>5</v>
      </c>
      <c r="D15" s="7">
        <v>7.3</v>
      </c>
      <c r="E15" s="7">
        <v>220</v>
      </c>
      <c r="F15" s="7"/>
    </row>
    <row r="16" spans="1:6" x14ac:dyDescent="0.15">
      <c r="A16" s="7" t="s">
        <v>105</v>
      </c>
      <c r="B16" s="7">
        <v>2</v>
      </c>
      <c r="C16" s="7">
        <v>4</v>
      </c>
      <c r="D16" s="7">
        <v>61</v>
      </c>
      <c r="E16" s="7">
        <v>46</v>
      </c>
      <c r="F16" s="7"/>
    </row>
    <row r="17" spans="1:6" x14ac:dyDescent="0.15">
      <c r="A17" s="7" t="s">
        <v>106</v>
      </c>
      <c r="B17" s="7">
        <v>2</v>
      </c>
      <c r="C17" s="7">
        <v>4</v>
      </c>
      <c r="D17" s="7">
        <v>76.5</v>
      </c>
      <c r="E17" s="7">
        <v>23</v>
      </c>
      <c r="F17" s="7"/>
    </row>
    <row r="18" spans="1:6" x14ac:dyDescent="0.15">
      <c r="A18" s="7" t="s">
        <v>113</v>
      </c>
      <c r="B18" s="7">
        <v>3</v>
      </c>
      <c r="C18" s="7">
        <v>5</v>
      </c>
      <c r="D18" s="7">
        <v>20.6</v>
      </c>
      <c r="E18" s="7">
        <v>36</v>
      </c>
      <c r="F18" s="7"/>
    </row>
    <row r="19" spans="1:6" x14ac:dyDescent="0.15">
      <c r="A19" s="7" t="s">
        <v>101</v>
      </c>
      <c r="B19" s="7">
        <v>3</v>
      </c>
      <c r="C19" s="7">
        <v>5</v>
      </c>
      <c r="D19" s="7">
        <v>60</v>
      </c>
      <c r="E19" s="7">
        <v>38</v>
      </c>
      <c r="F19" s="7"/>
    </row>
    <row r="20" spans="1:6" x14ac:dyDescent="0.15">
      <c r="A20" s="7" t="s">
        <v>100</v>
      </c>
      <c r="B20" s="7">
        <v>3</v>
      </c>
      <c r="C20" s="7">
        <v>5</v>
      </c>
      <c r="D20" s="7">
        <v>64.7</v>
      </c>
      <c r="E20" s="7">
        <v>36</v>
      </c>
      <c r="F20" s="7"/>
    </row>
    <row r="21" spans="1:6" x14ac:dyDescent="0.15">
      <c r="A21" s="7" t="s">
        <v>102</v>
      </c>
      <c r="B21" s="7">
        <v>3</v>
      </c>
      <c r="C21" s="7">
        <v>5</v>
      </c>
      <c r="D21" s="7">
        <v>47.8</v>
      </c>
      <c r="E21" s="7">
        <v>11</v>
      </c>
      <c r="F21" s="7"/>
    </row>
    <row r="22" spans="1:6" x14ac:dyDescent="0.15">
      <c r="A22" s="7" t="s">
        <v>103</v>
      </c>
      <c r="B22" s="7">
        <v>2</v>
      </c>
      <c r="C22" s="7">
        <v>4</v>
      </c>
      <c r="D22" s="7">
        <v>24.7</v>
      </c>
      <c r="E22" s="7">
        <v>6</v>
      </c>
      <c r="F22" s="7"/>
    </row>
    <row r="23" spans="1:6" x14ac:dyDescent="0.15">
      <c r="A23" s="7" t="s">
        <v>114</v>
      </c>
      <c r="B23" s="7">
        <v>2</v>
      </c>
      <c r="C23" s="7">
        <v>4</v>
      </c>
      <c r="D23" s="7">
        <v>27.4</v>
      </c>
      <c r="E23" s="7">
        <v>18</v>
      </c>
      <c r="F23" s="7"/>
    </row>
    <row r="24" spans="1:6" x14ac:dyDescent="0.15">
      <c r="A24" s="46" t="s">
        <v>104</v>
      </c>
      <c r="B24" s="46"/>
      <c r="C24" s="46"/>
      <c r="D24" s="46"/>
      <c r="E24" s="46"/>
      <c r="F24" s="46"/>
    </row>
    <row r="25" spans="1:6" x14ac:dyDescent="0.15">
      <c r="A25" s="7" t="s">
        <v>95</v>
      </c>
      <c r="B25" s="7">
        <v>3</v>
      </c>
      <c r="C25" s="7">
        <v>5</v>
      </c>
      <c r="D25" s="7">
        <v>13</v>
      </c>
      <c r="E25" s="7">
        <v>16</v>
      </c>
      <c r="F25" s="7"/>
    </row>
    <row r="26" spans="1:6" x14ac:dyDescent="0.15">
      <c r="A26" s="7" t="s">
        <v>91</v>
      </c>
      <c r="B26" s="7">
        <v>2</v>
      </c>
      <c r="C26" s="7">
        <v>4</v>
      </c>
      <c r="D26" s="7">
        <v>45.1</v>
      </c>
      <c r="E26" s="7">
        <v>8</v>
      </c>
      <c r="F26" s="7"/>
    </row>
    <row r="27" spans="1:6" x14ac:dyDescent="0.15">
      <c r="A27" s="7" t="s">
        <v>93</v>
      </c>
      <c r="B27" s="7">
        <v>2</v>
      </c>
      <c r="C27" s="7">
        <v>4</v>
      </c>
      <c r="D27" s="7">
        <v>51</v>
      </c>
      <c r="E27" s="7">
        <v>16</v>
      </c>
      <c r="F27" s="7"/>
    </row>
    <row r="29" spans="1:6" x14ac:dyDescent="0.15">
      <c r="A29" s="46" t="s">
        <v>112</v>
      </c>
      <c r="B29" s="46"/>
      <c r="C29" s="46"/>
      <c r="D29" s="46"/>
      <c r="E29" s="46"/>
      <c r="F29" s="46"/>
    </row>
    <row r="30" spans="1:6" x14ac:dyDescent="0.15">
      <c r="A30" s="25" t="s">
        <v>107</v>
      </c>
      <c r="B30" s="46" t="s">
        <v>108</v>
      </c>
      <c r="C30" s="46"/>
      <c r="D30" s="25" t="s">
        <v>109</v>
      </c>
      <c r="E30" s="25" t="s">
        <v>110</v>
      </c>
      <c r="F30" s="25" t="s">
        <v>111</v>
      </c>
    </row>
    <row r="31" spans="1:6" x14ac:dyDescent="0.15">
      <c r="A31" s="25" t="s">
        <v>88</v>
      </c>
      <c r="B31" s="25">
        <v>2</v>
      </c>
      <c r="C31" s="25">
        <v>4</v>
      </c>
      <c r="D31" s="25">
        <v>42.1</v>
      </c>
      <c r="E31" s="25">
        <v>120</v>
      </c>
      <c r="F31" s="25"/>
    </row>
    <row r="32" spans="1:6" x14ac:dyDescent="0.15">
      <c r="A32" s="25" t="s">
        <v>89</v>
      </c>
      <c r="B32" s="25">
        <v>2</v>
      </c>
      <c r="C32" s="25">
        <v>4</v>
      </c>
      <c r="D32" s="25">
        <v>54.1</v>
      </c>
      <c r="E32" s="25">
        <v>104</v>
      </c>
      <c r="F32" s="25"/>
    </row>
    <row r="33" spans="1:6" x14ac:dyDescent="0.15">
      <c r="A33" s="25" t="s">
        <v>90</v>
      </c>
      <c r="B33" s="25">
        <v>2</v>
      </c>
      <c r="C33" s="25">
        <v>4</v>
      </c>
      <c r="D33" s="25">
        <v>40</v>
      </c>
      <c r="E33" s="25">
        <v>107</v>
      </c>
      <c r="F33" s="25"/>
    </row>
    <row r="34" spans="1:6" x14ac:dyDescent="0.15">
      <c r="A34" s="25" t="s">
        <v>91</v>
      </c>
      <c r="B34" s="25">
        <v>2</v>
      </c>
      <c r="C34" s="25">
        <v>4</v>
      </c>
      <c r="D34" s="25">
        <v>50</v>
      </c>
      <c r="E34" s="25">
        <v>107</v>
      </c>
      <c r="F34" s="25"/>
    </row>
    <row r="35" spans="1:6" x14ac:dyDescent="0.15">
      <c r="A35" s="25" t="s">
        <v>92</v>
      </c>
      <c r="B35" s="25">
        <v>2</v>
      </c>
      <c r="C35" s="25">
        <v>4</v>
      </c>
      <c r="D35" s="25">
        <v>40</v>
      </c>
      <c r="E35" s="25">
        <v>130</v>
      </c>
      <c r="F35" s="25"/>
    </row>
    <row r="36" spans="1:6" x14ac:dyDescent="0.15">
      <c r="A36" s="25" t="s">
        <v>93</v>
      </c>
      <c r="B36" s="25">
        <v>2</v>
      </c>
      <c r="C36" s="25">
        <v>4</v>
      </c>
      <c r="D36" s="25">
        <v>55.8</v>
      </c>
      <c r="E36" s="25">
        <v>130</v>
      </c>
      <c r="F36" s="25"/>
    </row>
    <row r="37" spans="1:6" x14ac:dyDescent="0.15">
      <c r="A37" s="25" t="s">
        <v>94</v>
      </c>
      <c r="B37" s="25">
        <v>3</v>
      </c>
      <c r="C37" s="25">
        <v>5</v>
      </c>
      <c r="D37" s="25">
        <v>64</v>
      </c>
      <c r="E37" s="25">
        <v>90</v>
      </c>
      <c r="F37" s="25"/>
    </row>
    <row r="38" spans="1:6" x14ac:dyDescent="0.15">
      <c r="A38" s="25" t="s">
        <v>95</v>
      </c>
      <c r="B38" s="25">
        <v>3</v>
      </c>
      <c r="C38" s="25">
        <v>5</v>
      </c>
      <c r="D38" s="25">
        <v>17.899999999999999</v>
      </c>
      <c r="E38" s="25">
        <v>90</v>
      </c>
      <c r="F38" s="25"/>
    </row>
    <row r="39" spans="1:6" x14ac:dyDescent="0.15">
      <c r="A39" s="25" t="s">
        <v>96</v>
      </c>
      <c r="B39" s="25">
        <v>2</v>
      </c>
      <c r="C39" s="25">
        <v>4</v>
      </c>
      <c r="D39" s="25">
        <v>9</v>
      </c>
      <c r="E39" s="25">
        <v>220</v>
      </c>
      <c r="F39" s="25"/>
    </row>
    <row r="40" spans="1:6" x14ac:dyDescent="0.15">
      <c r="A40" s="25" t="s">
        <v>97</v>
      </c>
      <c r="B40" s="25">
        <v>2</v>
      </c>
      <c r="C40" s="25">
        <v>4</v>
      </c>
      <c r="D40" s="25">
        <v>17.7</v>
      </c>
      <c r="E40" s="25">
        <v>220</v>
      </c>
      <c r="F40" s="25"/>
    </row>
    <row r="41" spans="1:6" x14ac:dyDescent="0.15">
      <c r="A41" s="25" t="s">
        <v>98</v>
      </c>
      <c r="B41" s="25">
        <v>2</v>
      </c>
      <c r="C41" s="25">
        <v>4</v>
      </c>
      <c r="D41" s="25">
        <v>10</v>
      </c>
      <c r="E41" s="25">
        <v>130</v>
      </c>
      <c r="F41" s="25"/>
    </row>
    <row r="42" spans="1:6" x14ac:dyDescent="0.15">
      <c r="A42" s="25"/>
      <c r="B42" s="25">
        <v>2</v>
      </c>
      <c r="C42" s="25">
        <v>4</v>
      </c>
      <c r="D42" s="25">
        <v>15</v>
      </c>
      <c r="E42" s="25">
        <v>130</v>
      </c>
      <c r="F42" s="25"/>
    </row>
    <row r="43" spans="1:6" x14ac:dyDescent="0.15">
      <c r="A43" s="25" t="s">
        <v>99</v>
      </c>
      <c r="B43" s="25">
        <v>3</v>
      </c>
      <c r="C43" s="25">
        <v>5</v>
      </c>
      <c r="D43" s="25">
        <v>7.3</v>
      </c>
      <c r="E43" s="25">
        <v>220</v>
      </c>
      <c r="F43" s="25"/>
    </row>
    <row r="44" spans="1:6" x14ac:dyDescent="0.15">
      <c r="A44" s="25" t="s">
        <v>105</v>
      </c>
      <c r="B44" s="25">
        <v>2</v>
      </c>
      <c r="C44" s="25">
        <v>4</v>
      </c>
      <c r="D44" s="25">
        <v>61</v>
      </c>
      <c r="E44" s="25">
        <v>6</v>
      </c>
      <c r="F44" s="25"/>
    </row>
    <row r="45" spans="1:6" x14ac:dyDescent="0.15">
      <c r="A45" s="25" t="s">
        <v>106</v>
      </c>
      <c r="B45" s="25">
        <v>2</v>
      </c>
      <c r="C45" s="25">
        <v>4</v>
      </c>
      <c r="D45" s="25">
        <v>76.5</v>
      </c>
      <c r="E45" s="25">
        <v>3</v>
      </c>
      <c r="F45" s="25"/>
    </row>
    <row r="46" spans="1:6" x14ac:dyDescent="0.15">
      <c r="A46" s="25" t="s">
        <v>113</v>
      </c>
      <c r="B46" s="25">
        <v>3</v>
      </c>
      <c r="C46" s="25">
        <v>5</v>
      </c>
      <c r="D46" s="25">
        <v>20.6</v>
      </c>
      <c r="E46" s="25">
        <v>2</v>
      </c>
      <c r="F46" s="25"/>
    </row>
    <row r="47" spans="1:6" x14ac:dyDescent="0.15">
      <c r="A47" s="25" t="s">
        <v>101</v>
      </c>
      <c r="B47" s="25">
        <v>3</v>
      </c>
      <c r="C47" s="25">
        <v>5</v>
      </c>
      <c r="D47" s="25">
        <v>60</v>
      </c>
      <c r="E47" s="25">
        <v>36</v>
      </c>
      <c r="F47" s="25"/>
    </row>
    <row r="48" spans="1:6" x14ac:dyDescent="0.15">
      <c r="A48" s="25" t="s">
        <v>100</v>
      </c>
      <c r="B48" s="25">
        <v>3</v>
      </c>
      <c r="C48" s="25">
        <v>5</v>
      </c>
      <c r="D48" s="25">
        <v>64.7</v>
      </c>
      <c r="E48" s="25">
        <v>2</v>
      </c>
      <c r="F48" s="25"/>
    </row>
    <row r="49" spans="1:6" x14ac:dyDescent="0.15">
      <c r="A49" s="25" t="s">
        <v>102</v>
      </c>
      <c r="B49" s="25">
        <v>3</v>
      </c>
      <c r="C49" s="25">
        <v>5</v>
      </c>
      <c r="D49" s="25">
        <v>47.8</v>
      </c>
      <c r="E49" s="25">
        <v>18</v>
      </c>
      <c r="F49" s="25"/>
    </row>
    <row r="50" spans="1:6" x14ac:dyDescent="0.15">
      <c r="A50" s="25" t="s">
        <v>103</v>
      </c>
      <c r="B50" s="25">
        <v>2</v>
      </c>
      <c r="C50" s="25">
        <v>4</v>
      </c>
      <c r="D50" s="25">
        <v>24.7</v>
      </c>
      <c r="E50" s="25">
        <v>41</v>
      </c>
      <c r="F50" s="25"/>
    </row>
    <row r="51" spans="1:6" x14ac:dyDescent="0.15">
      <c r="A51" s="25" t="s">
        <v>114</v>
      </c>
      <c r="B51" s="25">
        <v>2</v>
      </c>
      <c r="C51" s="25">
        <v>4</v>
      </c>
      <c r="D51" s="25">
        <v>27.4</v>
      </c>
      <c r="E51" s="25">
        <v>1</v>
      </c>
      <c r="F51" s="25"/>
    </row>
    <row r="52" spans="1:6" x14ac:dyDescent="0.15">
      <c r="A52" s="46" t="s">
        <v>104</v>
      </c>
      <c r="B52" s="46"/>
      <c r="C52" s="46"/>
      <c r="D52" s="46"/>
      <c r="E52" s="46"/>
      <c r="F52" s="46"/>
    </row>
    <row r="53" spans="1:6" x14ac:dyDescent="0.15">
      <c r="A53" s="25" t="s">
        <v>95</v>
      </c>
      <c r="B53" s="25">
        <v>3</v>
      </c>
      <c r="C53" s="25">
        <v>5</v>
      </c>
      <c r="D53" s="25">
        <v>13</v>
      </c>
      <c r="E53" s="25">
        <v>2</v>
      </c>
      <c r="F53" s="25"/>
    </row>
    <row r="54" spans="1:6" x14ac:dyDescent="0.15">
      <c r="A54" s="25" t="s">
        <v>91</v>
      </c>
      <c r="B54" s="25">
        <v>2</v>
      </c>
      <c r="C54" s="25">
        <v>4</v>
      </c>
      <c r="D54" s="25">
        <v>45.1</v>
      </c>
      <c r="E54" s="25">
        <v>3</v>
      </c>
      <c r="F54" s="25"/>
    </row>
    <row r="55" spans="1:6" x14ac:dyDescent="0.15">
      <c r="A55" s="25" t="s">
        <v>93</v>
      </c>
      <c r="B55" s="25">
        <v>2</v>
      </c>
      <c r="C55" s="25">
        <v>4</v>
      </c>
      <c r="D55" s="25">
        <v>51</v>
      </c>
      <c r="E55" s="25">
        <v>2</v>
      </c>
      <c r="F55" s="25"/>
    </row>
  </sheetData>
  <mergeCells count="6">
    <mergeCell ref="A52:F52"/>
    <mergeCell ref="A1:F1"/>
    <mergeCell ref="B2:C2"/>
    <mergeCell ref="A24:F24"/>
    <mergeCell ref="A29:F29"/>
    <mergeCell ref="B30:C30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2"/>
  <sheetViews>
    <sheetView topLeftCell="A103" zoomScaleNormal="100" workbookViewId="0">
      <selection activeCell="G118" sqref="G118:K135"/>
    </sheetView>
  </sheetViews>
  <sheetFormatPr defaultRowHeight="13.5" x14ac:dyDescent="0.15"/>
  <cols>
    <col min="1" max="1" width="11.25" customWidth="1"/>
    <col min="2" max="3" width="4.875" customWidth="1"/>
    <col min="4" max="5" width="9.875" customWidth="1"/>
    <col min="6" max="6" width="4.25" customWidth="1"/>
    <col min="7" max="7" width="9.875" customWidth="1"/>
    <col min="8" max="9" width="4.875" customWidth="1"/>
    <col min="10" max="11" width="9.875" customWidth="1"/>
    <col min="13" max="13" width="11.25" customWidth="1"/>
    <col min="14" max="15" width="4.875" customWidth="1"/>
    <col min="16" max="17" width="9.875" customWidth="1"/>
    <col min="18" max="18" width="4.25" customWidth="1"/>
    <col min="19" max="19" width="9.875" customWidth="1"/>
    <col min="20" max="21" width="4.875" customWidth="1"/>
    <col min="22" max="23" width="9.875" customWidth="1"/>
  </cols>
  <sheetData>
    <row r="1" spans="1:23" ht="13.5" customHeight="1" x14ac:dyDescent="0.15">
      <c r="A1" s="47" t="s">
        <v>87</v>
      </c>
      <c r="B1" s="48"/>
      <c r="C1" s="48"/>
      <c r="D1" s="48"/>
      <c r="E1" s="48"/>
      <c r="F1" s="48"/>
      <c r="G1" s="48"/>
      <c r="H1" s="48"/>
      <c r="I1" s="48"/>
      <c r="J1" s="48"/>
      <c r="K1" s="48"/>
      <c r="M1" s="47" t="s">
        <v>87</v>
      </c>
      <c r="N1" s="48"/>
      <c r="O1" s="48"/>
      <c r="P1" s="48"/>
      <c r="Q1" s="48"/>
      <c r="R1" s="48"/>
      <c r="S1" s="48"/>
      <c r="T1" s="48"/>
      <c r="U1" s="48"/>
      <c r="V1" s="48"/>
      <c r="W1" s="48"/>
    </row>
    <row r="2" spans="1:23" ht="13.5" customHeight="1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</row>
    <row r="3" spans="1:23" x14ac:dyDescent="0.15">
      <c r="A3" s="70" t="s">
        <v>49</v>
      </c>
      <c r="B3" s="70" t="s">
        <v>127</v>
      </c>
      <c r="C3" s="70"/>
      <c r="D3" s="70"/>
      <c r="E3" s="70"/>
      <c r="G3" s="70" t="s">
        <v>49</v>
      </c>
      <c r="H3" s="70" t="s">
        <v>128</v>
      </c>
      <c r="I3" s="70"/>
      <c r="J3" s="70"/>
      <c r="K3" s="70"/>
      <c r="M3" s="46" t="s">
        <v>49</v>
      </c>
      <c r="N3" s="46" t="s">
        <v>150</v>
      </c>
      <c r="O3" s="46"/>
      <c r="P3" s="46"/>
      <c r="Q3" s="46"/>
      <c r="S3" s="46" t="s">
        <v>49</v>
      </c>
      <c r="T3" s="46" t="s">
        <v>128</v>
      </c>
      <c r="U3" s="46"/>
      <c r="V3" s="46"/>
      <c r="W3" s="46"/>
    </row>
    <row r="4" spans="1:23" x14ac:dyDescent="0.15">
      <c r="A4" s="70"/>
      <c r="B4" s="70"/>
      <c r="C4" s="70"/>
      <c r="D4" s="70"/>
      <c r="E4" s="70"/>
      <c r="G4" s="70"/>
      <c r="H4" s="70"/>
      <c r="I4" s="70"/>
      <c r="J4" s="70"/>
      <c r="K4" s="70"/>
      <c r="M4" s="46"/>
      <c r="N4" s="46"/>
      <c r="O4" s="46"/>
      <c r="P4" s="46"/>
      <c r="Q4" s="46"/>
      <c r="S4" s="46"/>
      <c r="T4" s="46"/>
      <c r="U4" s="46"/>
      <c r="V4" s="46"/>
      <c r="W4" s="46"/>
    </row>
    <row r="5" spans="1:23" x14ac:dyDescent="0.15">
      <c r="A5" s="33" t="s">
        <v>52</v>
      </c>
      <c r="B5" s="71">
        <v>213</v>
      </c>
      <c r="C5" s="71"/>
      <c r="D5" s="33" t="s">
        <v>53</v>
      </c>
      <c r="E5" s="34">
        <v>2</v>
      </c>
      <c r="G5" s="33" t="s">
        <v>52</v>
      </c>
      <c r="H5" s="71">
        <v>218</v>
      </c>
      <c r="I5" s="71"/>
      <c r="J5" s="33" t="s">
        <v>53</v>
      </c>
      <c r="K5" s="34">
        <v>1</v>
      </c>
      <c r="M5" s="27" t="s">
        <v>52</v>
      </c>
      <c r="N5" s="45">
        <v>213</v>
      </c>
      <c r="O5" s="45"/>
      <c r="P5" s="27" t="s">
        <v>53</v>
      </c>
      <c r="Q5" s="26">
        <v>1</v>
      </c>
      <c r="S5" s="27" t="s">
        <v>52</v>
      </c>
      <c r="T5" s="45">
        <v>218</v>
      </c>
      <c r="U5" s="45"/>
      <c r="V5" s="27" t="s">
        <v>53</v>
      </c>
      <c r="W5" s="26">
        <v>1</v>
      </c>
    </row>
    <row r="6" spans="1:23" x14ac:dyDescent="0.15">
      <c r="A6" s="33" t="s">
        <v>55</v>
      </c>
      <c r="B6" s="70" t="s">
        <v>3</v>
      </c>
      <c r="C6" s="70"/>
      <c r="D6" s="33" t="s">
        <v>4</v>
      </c>
      <c r="E6" s="33" t="s">
        <v>56</v>
      </c>
      <c r="G6" s="33" t="s">
        <v>55</v>
      </c>
      <c r="H6" s="70" t="s">
        <v>3</v>
      </c>
      <c r="I6" s="70"/>
      <c r="J6" s="33" t="s">
        <v>4</v>
      </c>
      <c r="K6" s="33" t="s">
        <v>56</v>
      </c>
      <c r="M6" s="27" t="s">
        <v>55</v>
      </c>
      <c r="N6" s="46" t="s">
        <v>3</v>
      </c>
      <c r="O6" s="46"/>
      <c r="P6" s="27" t="s">
        <v>4</v>
      </c>
      <c r="Q6" s="27" t="s">
        <v>56</v>
      </c>
      <c r="S6" s="27" t="s">
        <v>55</v>
      </c>
      <c r="T6" s="46" t="s">
        <v>3</v>
      </c>
      <c r="U6" s="46"/>
      <c r="V6" s="27" t="s">
        <v>4</v>
      </c>
      <c r="W6" s="27" t="s">
        <v>56</v>
      </c>
    </row>
    <row r="7" spans="1:23" x14ac:dyDescent="0.15">
      <c r="A7" s="35"/>
      <c r="B7" s="33">
        <v>3</v>
      </c>
      <c r="C7" s="33">
        <v>5</v>
      </c>
      <c r="D7" s="33">
        <f>B5/2-0.6-1.8</f>
        <v>104.10000000000001</v>
      </c>
      <c r="E7" s="33">
        <f>E5*5</f>
        <v>10</v>
      </c>
      <c r="G7" s="35"/>
      <c r="H7" s="33">
        <v>3</v>
      </c>
      <c r="I7" s="33">
        <v>5</v>
      </c>
      <c r="J7" s="33">
        <f>H5/2-0.6-1.8</f>
        <v>106.60000000000001</v>
      </c>
      <c r="K7" s="33">
        <f>K5*5</f>
        <v>5</v>
      </c>
      <c r="M7" s="23"/>
      <c r="N7" s="27">
        <v>3</v>
      </c>
      <c r="O7" s="27">
        <v>5</v>
      </c>
      <c r="P7" s="27">
        <f>N5/2-0.6-1.8</f>
        <v>104.10000000000001</v>
      </c>
      <c r="Q7" s="27">
        <f>Q5*5</f>
        <v>5</v>
      </c>
      <c r="S7" s="23"/>
      <c r="T7" s="27">
        <v>3</v>
      </c>
      <c r="U7" s="27">
        <v>5</v>
      </c>
      <c r="V7" s="27">
        <f>T5/2-0.6-1.8</f>
        <v>106.60000000000001</v>
      </c>
      <c r="W7" s="27">
        <f>W5*5</f>
        <v>5</v>
      </c>
    </row>
    <row r="8" spans="1:23" x14ac:dyDescent="0.15">
      <c r="A8" s="33" t="s">
        <v>52</v>
      </c>
      <c r="B8" s="71">
        <v>213</v>
      </c>
      <c r="C8" s="71"/>
      <c r="D8" s="33" t="s">
        <v>53</v>
      </c>
      <c r="E8" s="34">
        <v>2</v>
      </c>
      <c r="G8" s="33" t="s">
        <v>52</v>
      </c>
      <c r="H8" s="71">
        <v>218</v>
      </c>
      <c r="I8" s="71"/>
      <c r="J8" s="33" t="s">
        <v>53</v>
      </c>
      <c r="K8" s="34">
        <v>1</v>
      </c>
      <c r="M8" s="27" t="s">
        <v>52</v>
      </c>
      <c r="N8" s="45">
        <v>213</v>
      </c>
      <c r="O8" s="45"/>
      <c r="P8" s="27" t="s">
        <v>53</v>
      </c>
      <c r="Q8" s="26">
        <v>1</v>
      </c>
      <c r="S8" s="27" t="s">
        <v>52</v>
      </c>
      <c r="T8" s="45">
        <v>218</v>
      </c>
      <c r="U8" s="45"/>
      <c r="V8" s="27" t="s">
        <v>53</v>
      </c>
      <c r="W8" s="26">
        <v>1</v>
      </c>
    </row>
    <row r="9" spans="1:23" x14ac:dyDescent="0.15">
      <c r="A9" s="33" t="s">
        <v>55</v>
      </c>
      <c r="B9" s="70" t="s">
        <v>3</v>
      </c>
      <c r="C9" s="70"/>
      <c r="D9" s="33" t="s">
        <v>4</v>
      </c>
      <c r="E9" s="33" t="s">
        <v>56</v>
      </c>
      <c r="G9" s="33" t="s">
        <v>55</v>
      </c>
      <c r="H9" s="70" t="s">
        <v>3</v>
      </c>
      <c r="I9" s="70"/>
      <c r="J9" s="33" t="s">
        <v>4</v>
      </c>
      <c r="K9" s="33" t="s">
        <v>56</v>
      </c>
      <c r="M9" s="27" t="s">
        <v>55</v>
      </c>
      <c r="N9" s="46" t="s">
        <v>3</v>
      </c>
      <c r="O9" s="46"/>
      <c r="P9" s="27" t="s">
        <v>4</v>
      </c>
      <c r="Q9" s="27" t="s">
        <v>56</v>
      </c>
      <c r="S9" s="27" t="s">
        <v>55</v>
      </c>
      <c r="T9" s="46" t="s">
        <v>3</v>
      </c>
      <c r="U9" s="46"/>
      <c r="V9" s="27" t="s">
        <v>4</v>
      </c>
      <c r="W9" s="27" t="s">
        <v>56</v>
      </c>
    </row>
    <row r="10" spans="1:23" x14ac:dyDescent="0.15">
      <c r="A10" s="33"/>
      <c r="B10" s="33">
        <v>3</v>
      </c>
      <c r="C10" s="33">
        <v>5</v>
      </c>
      <c r="D10" s="33">
        <f>B8/2-0.6-1.3</f>
        <v>104.60000000000001</v>
      </c>
      <c r="E10" s="33">
        <f>E8*3</f>
        <v>6</v>
      </c>
      <c r="G10" s="33"/>
      <c r="H10" s="33">
        <v>3</v>
      </c>
      <c r="I10" s="33">
        <v>5</v>
      </c>
      <c r="J10" s="33">
        <f>H8/2-0.6-1.3</f>
        <v>107.10000000000001</v>
      </c>
      <c r="K10" s="33">
        <f>K8*3</f>
        <v>3</v>
      </c>
      <c r="M10" s="27"/>
      <c r="N10" s="27">
        <v>3</v>
      </c>
      <c r="O10" s="27">
        <v>5</v>
      </c>
      <c r="P10" s="27">
        <f>N8/2-0.6-1.3</f>
        <v>104.60000000000001</v>
      </c>
      <c r="Q10" s="27">
        <f>Q8*3</f>
        <v>3</v>
      </c>
      <c r="S10" s="27"/>
      <c r="T10" s="27">
        <v>3</v>
      </c>
      <c r="U10" s="27">
        <v>5</v>
      </c>
      <c r="V10" s="27">
        <f>T8/2-0.6-1.3</f>
        <v>107.10000000000001</v>
      </c>
      <c r="W10" s="27">
        <f>W8*3</f>
        <v>3</v>
      </c>
    </row>
    <row r="11" spans="1:23" x14ac:dyDescent="0.15">
      <c r="A11" s="33"/>
      <c r="B11" s="33">
        <v>3</v>
      </c>
      <c r="C11" s="33">
        <v>5</v>
      </c>
      <c r="D11" s="33">
        <f>B8/2-0.6-5.2</f>
        <v>100.7</v>
      </c>
      <c r="E11" s="33">
        <f>E8*2</f>
        <v>4</v>
      </c>
      <c r="G11" s="33"/>
      <c r="H11" s="33">
        <v>3</v>
      </c>
      <c r="I11" s="33">
        <v>5</v>
      </c>
      <c r="J11" s="33">
        <f>H8/2-0.6-5.2</f>
        <v>103.2</v>
      </c>
      <c r="K11" s="33">
        <f>K8*2</f>
        <v>2</v>
      </c>
      <c r="M11" s="27"/>
      <c r="N11" s="27">
        <v>3</v>
      </c>
      <c r="O11" s="27">
        <v>5</v>
      </c>
      <c r="P11" s="27">
        <f>N8/2-0.6-5.2</f>
        <v>100.7</v>
      </c>
      <c r="Q11" s="27">
        <f>Q8*2</f>
        <v>2</v>
      </c>
      <c r="S11" s="27"/>
      <c r="T11" s="27">
        <v>3</v>
      </c>
      <c r="U11" s="27">
        <v>5</v>
      </c>
      <c r="V11" s="27">
        <f>T8/2-0.6-5.2</f>
        <v>103.2</v>
      </c>
      <c r="W11" s="27">
        <f>W8*2</f>
        <v>2</v>
      </c>
    </row>
    <row r="12" spans="1:23" x14ac:dyDescent="0.15">
      <c r="A12" s="33" t="s">
        <v>119</v>
      </c>
      <c r="B12" s="36">
        <v>3</v>
      </c>
      <c r="C12" s="36">
        <v>5</v>
      </c>
      <c r="D12" s="33">
        <v>54</v>
      </c>
      <c r="E12" s="33">
        <f>E8*2</f>
        <v>4</v>
      </c>
      <c r="G12" s="33" t="s">
        <v>119</v>
      </c>
      <c r="H12" s="36">
        <v>3</v>
      </c>
      <c r="I12" s="36">
        <v>5</v>
      </c>
      <c r="J12" s="33">
        <v>54</v>
      </c>
      <c r="K12" s="33">
        <f>K8*2</f>
        <v>2</v>
      </c>
      <c r="M12" s="27" t="s">
        <v>94</v>
      </c>
      <c r="N12" s="28">
        <v>3</v>
      </c>
      <c r="O12" s="28">
        <v>5</v>
      </c>
      <c r="P12" s="27">
        <v>54</v>
      </c>
      <c r="Q12" s="27">
        <f>Q8*2</f>
        <v>2</v>
      </c>
      <c r="S12" s="27" t="s">
        <v>94</v>
      </c>
      <c r="T12" s="28">
        <v>3</v>
      </c>
      <c r="U12" s="28">
        <v>5</v>
      </c>
      <c r="V12" s="27">
        <v>49</v>
      </c>
      <c r="W12" s="27">
        <f>W8*2</f>
        <v>2</v>
      </c>
    </row>
    <row r="13" spans="1:23" x14ac:dyDescent="0.15">
      <c r="A13" s="36" t="s">
        <v>120</v>
      </c>
      <c r="B13" s="36">
        <v>3</v>
      </c>
      <c r="C13" s="36">
        <v>5</v>
      </c>
      <c r="D13" s="33">
        <v>50.7</v>
      </c>
      <c r="E13" s="33">
        <f>E8*4</f>
        <v>8</v>
      </c>
      <c r="G13" s="36" t="s">
        <v>120</v>
      </c>
      <c r="H13" s="36">
        <v>3</v>
      </c>
      <c r="I13" s="36">
        <v>5</v>
      </c>
      <c r="J13" s="33">
        <v>50.7</v>
      </c>
      <c r="K13" s="33">
        <f>K8*4</f>
        <v>4</v>
      </c>
      <c r="M13" s="28" t="s">
        <v>120</v>
      </c>
      <c r="N13" s="28">
        <v>3</v>
      </c>
      <c r="O13" s="28">
        <v>5</v>
      </c>
      <c r="P13" s="27">
        <v>50.7</v>
      </c>
      <c r="Q13" s="27">
        <f>Q8*4</f>
        <v>4</v>
      </c>
      <c r="S13" s="28" t="s">
        <v>120</v>
      </c>
      <c r="T13" s="28">
        <v>3</v>
      </c>
      <c r="U13" s="28">
        <v>5</v>
      </c>
      <c r="V13" s="27">
        <v>50.7</v>
      </c>
      <c r="W13" s="27">
        <f>W8*4</f>
        <v>4</v>
      </c>
    </row>
    <row r="14" spans="1:23" x14ac:dyDescent="0.15">
      <c r="A14" s="36" t="s">
        <v>121</v>
      </c>
      <c r="B14" s="36">
        <v>2</v>
      </c>
      <c r="C14" s="36">
        <v>4</v>
      </c>
      <c r="D14" s="33">
        <v>48.6</v>
      </c>
      <c r="E14" s="33">
        <f>E8*4</f>
        <v>8</v>
      </c>
      <c r="G14" s="36" t="s">
        <v>121</v>
      </c>
      <c r="H14" s="36">
        <v>2</v>
      </c>
      <c r="I14" s="36">
        <v>4</v>
      </c>
      <c r="J14" s="33">
        <v>48.6</v>
      </c>
      <c r="K14" s="33">
        <f>K8*4</f>
        <v>4</v>
      </c>
      <c r="M14" s="28" t="s">
        <v>88</v>
      </c>
      <c r="N14" s="28">
        <v>2</v>
      </c>
      <c r="O14" s="28">
        <v>4</v>
      </c>
      <c r="P14" s="27">
        <v>48.6</v>
      </c>
      <c r="Q14" s="27">
        <f>Q8*4</f>
        <v>4</v>
      </c>
      <c r="S14" s="28" t="s">
        <v>88</v>
      </c>
      <c r="T14" s="28">
        <v>2</v>
      </c>
      <c r="U14" s="28">
        <v>4</v>
      </c>
      <c r="V14" s="27">
        <v>43.6</v>
      </c>
      <c r="W14" s="27">
        <f>W8*4</f>
        <v>4</v>
      </c>
    </row>
    <row r="15" spans="1:23" x14ac:dyDescent="0.15">
      <c r="A15" s="36" t="s">
        <v>122</v>
      </c>
      <c r="B15" s="36">
        <v>2</v>
      </c>
      <c r="C15" s="36">
        <v>4</v>
      </c>
      <c r="D15" s="33">
        <v>44.6</v>
      </c>
      <c r="E15" s="33">
        <f>E8*3</f>
        <v>6</v>
      </c>
      <c r="G15" s="36" t="s">
        <v>122</v>
      </c>
      <c r="H15" s="36">
        <v>2</v>
      </c>
      <c r="I15" s="36">
        <v>4</v>
      </c>
      <c r="J15" s="33">
        <v>44.6</v>
      </c>
      <c r="K15" s="33">
        <f>K8*3</f>
        <v>3</v>
      </c>
      <c r="M15" s="28" t="s">
        <v>89</v>
      </c>
      <c r="N15" s="28">
        <v>2</v>
      </c>
      <c r="O15" s="28">
        <v>4</v>
      </c>
      <c r="P15" s="27">
        <v>44.6</v>
      </c>
      <c r="Q15" s="27">
        <f>Q8*3</f>
        <v>3</v>
      </c>
      <c r="S15" s="28" t="s">
        <v>89</v>
      </c>
      <c r="T15" s="28">
        <v>2</v>
      </c>
      <c r="U15" s="28">
        <v>4</v>
      </c>
      <c r="V15" s="27">
        <v>40.5</v>
      </c>
      <c r="W15" s="27">
        <f>W8*3</f>
        <v>3</v>
      </c>
    </row>
    <row r="16" spans="1:23" x14ac:dyDescent="0.15">
      <c r="A16" s="36" t="s">
        <v>123</v>
      </c>
      <c r="B16" s="36">
        <v>3</v>
      </c>
      <c r="C16" s="36">
        <v>5</v>
      </c>
      <c r="D16" s="33">
        <v>55.4</v>
      </c>
      <c r="E16" s="33">
        <f>E8*12</f>
        <v>24</v>
      </c>
      <c r="G16" s="36" t="s">
        <v>123</v>
      </c>
      <c r="H16" s="36">
        <v>3</v>
      </c>
      <c r="I16" s="36">
        <v>5</v>
      </c>
      <c r="J16" s="33">
        <v>55.4</v>
      </c>
      <c r="K16" s="33">
        <f>K8*12</f>
        <v>12</v>
      </c>
      <c r="M16" s="28" t="s">
        <v>96</v>
      </c>
      <c r="N16" s="28">
        <v>3</v>
      </c>
      <c r="O16" s="28">
        <v>5</v>
      </c>
      <c r="P16" s="27">
        <v>55.4</v>
      </c>
      <c r="Q16" s="27">
        <f>Q8*12</f>
        <v>12</v>
      </c>
      <c r="S16" s="28" t="s">
        <v>96</v>
      </c>
      <c r="T16" s="28">
        <v>3</v>
      </c>
      <c r="U16" s="28">
        <v>5</v>
      </c>
      <c r="V16" s="27">
        <v>55.4</v>
      </c>
      <c r="W16" s="27">
        <f>W8*12</f>
        <v>12</v>
      </c>
    </row>
    <row r="17" spans="1:23" x14ac:dyDescent="0.15">
      <c r="A17" s="36" t="s">
        <v>124</v>
      </c>
      <c r="B17" s="36">
        <v>3</v>
      </c>
      <c r="C17" s="36">
        <v>5</v>
      </c>
      <c r="D17" s="33">
        <v>54</v>
      </c>
      <c r="E17" s="33">
        <f>E8*2</f>
        <v>4</v>
      </c>
      <c r="G17" s="36" t="s">
        <v>124</v>
      </c>
      <c r="H17" s="36">
        <v>3</v>
      </c>
      <c r="I17" s="36">
        <v>5</v>
      </c>
      <c r="J17" s="33">
        <v>54</v>
      </c>
      <c r="K17" s="33">
        <f>K8*2</f>
        <v>2</v>
      </c>
      <c r="M17" s="28" t="s">
        <v>124</v>
      </c>
      <c r="N17" s="28">
        <v>3</v>
      </c>
      <c r="O17" s="28">
        <v>5</v>
      </c>
      <c r="P17" s="27">
        <v>54</v>
      </c>
      <c r="Q17" s="27">
        <f>Q8*2</f>
        <v>2</v>
      </c>
      <c r="S17" s="28" t="s">
        <v>124</v>
      </c>
      <c r="T17" s="28">
        <v>3</v>
      </c>
      <c r="U17" s="28">
        <v>5</v>
      </c>
      <c r="V17" s="27">
        <v>49</v>
      </c>
      <c r="W17" s="27">
        <f>W8*2</f>
        <v>2</v>
      </c>
    </row>
    <row r="18" spans="1:23" x14ac:dyDescent="0.15">
      <c r="A18" s="36"/>
      <c r="B18" s="36">
        <v>3</v>
      </c>
      <c r="C18" s="36">
        <v>5</v>
      </c>
      <c r="D18" s="33">
        <v>44.5</v>
      </c>
      <c r="E18" s="33">
        <f>E8*3</f>
        <v>6</v>
      </c>
      <c r="G18" s="36"/>
      <c r="H18" s="36">
        <v>3</v>
      </c>
      <c r="I18" s="36">
        <v>5</v>
      </c>
      <c r="J18" s="33">
        <v>44.5</v>
      </c>
      <c r="K18" s="33">
        <f>K8*3</f>
        <v>3</v>
      </c>
      <c r="M18" s="28"/>
      <c r="N18" s="28">
        <v>3</v>
      </c>
      <c r="O18" s="28">
        <v>5</v>
      </c>
      <c r="P18" s="27">
        <v>44.5</v>
      </c>
      <c r="Q18" s="27">
        <f>Q8*3</f>
        <v>3</v>
      </c>
      <c r="S18" s="28"/>
      <c r="T18" s="28">
        <v>3</v>
      </c>
      <c r="U18" s="28">
        <v>5</v>
      </c>
      <c r="V18" s="27">
        <v>44.5</v>
      </c>
      <c r="W18" s="27">
        <f>W8*3</f>
        <v>3</v>
      </c>
    </row>
    <row r="19" spans="1:23" x14ac:dyDescent="0.15">
      <c r="A19" s="36" t="s">
        <v>125</v>
      </c>
      <c r="B19" s="36">
        <v>2</v>
      </c>
      <c r="C19" s="36">
        <v>4</v>
      </c>
      <c r="D19" s="33">
        <v>73.5</v>
      </c>
      <c r="E19" s="33">
        <f>E8*2</f>
        <v>4</v>
      </c>
      <c r="G19" s="36" t="s">
        <v>125</v>
      </c>
      <c r="H19" s="36">
        <v>2</v>
      </c>
      <c r="I19" s="36">
        <v>4</v>
      </c>
      <c r="J19" s="33">
        <v>73.5</v>
      </c>
      <c r="K19" s="33">
        <f>K8*2</f>
        <v>2</v>
      </c>
      <c r="M19" s="28" t="s">
        <v>125</v>
      </c>
      <c r="N19" s="28">
        <v>2</v>
      </c>
      <c r="O19" s="28">
        <v>4</v>
      </c>
      <c r="P19" s="27">
        <v>73.5</v>
      </c>
      <c r="Q19" s="27">
        <f>Q8*2</f>
        <v>2</v>
      </c>
      <c r="S19" s="28" t="s">
        <v>125</v>
      </c>
      <c r="T19" s="28">
        <v>2</v>
      </c>
      <c r="U19" s="28">
        <v>4</v>
      </c>
      <c r="V19" s="27">
        <v>73.5</v>
      </c>
      <c r="W19" s="27">
        <f>W8*2</f>
        <v>2</v>
      </c>
    </row>
    <row r="20" spans="1:23" x14ac:dyDescent="0.15">
      <c r="A20" s="73" t="s">
        <v>126</v>
      </c>
      <c r="B20" s="73"/>
      <c r="C20" s="73"/>
      <c r="D20" s="73"/>
      <c r="E20" s="73"/>
      <c r="G20" s="73" t="s">
        <v>130</v>
      </c>
      <c r="H20" s="73"/>
      <c r="I20" s="73"/>
      <c r="J20" s="73"/>
      <c r="K20" s="73"/>
      <c r="M20" s="69" t="s">
        <v>126</v>
      </c>
      <c r="N20" s="69"/>
      <c r="O20" s="69"/>
      <c r="P20" s="69"/>
      <c r="Q20" s="69"/>
      <c r="S20" s="69" t="s">
        <v>153</v>
      </c>
      <c r="T20" s="69"/>
      <c r="U20" s="69"/>
      <c r="V20" s="69"/>
      <c r="W20" s="69"/>
    </row>
    <row r="21" spans="1:23" x14ac:dyDescent="0.15">
      <c r="A21" s="37"/>
      <c r="B21" s="37"/>
      <c r="C21" s="37"/>
      <c r="D21" s="37"/>
      <c r="E21" s="37"/>
    </row>
    <row r="22" spans="1:23" ht="13.5" customHeight="1" x14ac:dyDescent="0.15">
      <c r="A22" s="70" t="s">
        <v>49</v>
      </c>
      <c r="B22" s="70" t="s">
        <v>128</v>
      </c>
      <c r="C22" s="70"/>
      <c r="D22" s="70"/>
      <c r="E22" s="70"/>
      <c r="G22" s="46" t="s">
        <v>49</v>
      </c>
      <c r="H22" s="61" t="s">
        <v>131</v>
      </c>
      <c r="I22" s="62"/>
      <c r="J22" s="62"/>
      <c r="K22" s="63"/>
      <c r="M22" s="46" t="s">
        <v>49</v>
      </c>
      <c r="N22" s="46" t="s">
        <v>154</v>
      </c>
      <c r="O22" s="46"/>
      <c r="P22" s="46"/>
      <c r="Q22" s="46"/>
      <c r="S22" s="46" t="s">
        <v>49</v>
      </c>
      <c r="T22" s="46" t="s">
        <v>151</v>
      </c>
      <c r="U22" s="46"/>
      <c r="V22" s="46"/>
      <c r="W22" s="46"/>
    </row>
    <row r="23" spans="1:23" x14ac:dyDescent="0.15">
      <c r="A23" s="70"/>
      <c r="B23" s="70"/>
      <c r="C23" s="70"/>
      <c r="D23" s="70"/>
      <c r="E23" s="70"/>
      <c r="G23" s="46"/>
      <c r="H23" s="64"/>
      <c r="I23" s="65"/>
      <c r="J23" s="65"/>
      <c r="K23" s="66"/>
      <c r="M23" s="46"/>
      <c r="N23" s="46"/>
      <c r="O23" s="46"/>
      <c r="P23" s="46"/>
      <c r="Q23" s="46"/>
      <c r="S23" s="46"/>
      <c r="T23" s="46"/>
      <c r="U23" s="46"/>
      <c r="V23" s="46"/>
      <c r="W23" s="46"/>
    </row>
    <row r="24" spans="1:23" x14ac:dyDescent="0.15">
      <c r="A24" s="33" t="s">
        <v>52</v>
      </c>
      <c r="B24" s="71">
        <v>210</v>
      </c>
      <c r="C24" s="71"/>
      <c r="D24" s="33" t="s">
        <v>53</v>
      </c>
      <c r="E24" s="34">
        <v>1</v>
      </c>
      <c r="G24" s="20" t="s">
        <v>52</v>
      </c>
      <c r="H24" s="45">
        <v>213</v>
      </c>
      <c r="I24" s="45"/>
      <c r="J24" s="20" t="s">
        <v>53</v>
      </c>
      <c r="K24" s="19">
        <v>7</v>
      </c>
      <c r="M24" s="27" t="s">
        <v>52</v>
      </c>
      <c r="N24" s="45">
        <v>210</v>
      </c>
      <c r="O24" s="45"/>
      <c r="P24" s="27" t="s">
        <v>53</v>
      </c>
      <c r="Q24" s="26">
        <v>1</v>
      </c>
      <c r="S24" s="27" t="s">
        <v>52</v>
      </c>
      <c r="T24" s="45">
        <v>213</v>
      </c>
      <c r="U24" s="45"/>
      <c r="V24" s="27" t="s">
        <v>53</v>
      </c>
      <c r="W24" s="26">
        <v>1</v>
      </c>
    </row>
    <row r="25" spans="1:23" x14ac:dyDescent="0.15">
      <c r="A25" s="33" t="s">
        <v>55</v>
      </c>
      <c r="B25" s="70" t="s">
        <v>3</v>
      </c>
      <c r="C25" s="70"/>
      <c r="D25" s="33" t="s">
        <v>4</v>
      </c>
      <c r="E25" s="33" t="s">
        <v>56</v>
      </c>
      <c r="G25" s="20" t="s">
        <v>55</v>
      </c>
      <c r="H25" s="46" t="s">
        <v>3</v>
      </c>
      <c r="I25" s="46"/>
      <c r="J25" s="20" t="s">
        <v>4</v>
      </c>
      <c r="K25" s="20" t="s">
        <v>56</v>
      </c>
      <c r="M25" s="27" t="s">
        <v>55</v>
      </c>
      <c r="N25" s="46" t="s">
        <v>3</v>
      </c>
      <c r="O25" s="46"/>
      <c r="P25" s="27" t="s">
        <v>4</v>
      </c>
      <c r="Q25" s="27" t="s">
        <v>56</v>
      </c>
      <c r="S25" s="27" t="s">
        <v>55</v>
      </c>
      <c r="T25" s="46" t="s">
        <v>3</v>
      </c>
      <c r="U25" s="46"/>
      <c r="V25" s="27" t="s">
        <v>4</v>
      </c>
      <c r="W25" s="27" t="s">
        <v>56</v>
      </c>
    </row>
    <row r="26" spans="1:23" x14ac:dyDescent="0.15">
      <c r="A26" s="35"/>
      <c r="B26" s="33">
        <v>3</v>
      </c>
      <c r="C26" s="33">
        <v>5</v>
      </c>
      <c r="D26" s="33">
        <f>B24/2-0.6-1.8</f>
        <v>102.60000000000001</v>
      </c>
      <c r="E26" s="33">
        <f>E24*5</f>
        <v>5</v>
      </c>
      <c r="G26" s="59"/>
      <c r="H26" s="20">
        <v>2</v>
      </c>
      <c r="I26" s="20">
        <v>4</v>
      </c>
      <c r="J26" s="20">
        <f>H24/2-1.3-0.4</f>
        <v>104.8</v>
      </c>
      <c r="K26" s="20">
        <f>K24*7</f>
        <v>49</v>
      </c>
      <c r="M26" s="23"/>
      <c r="N26" s="27">
        <v>3</v>
      </c>
      <c r="O26" s="27">
        <v>5</v>
      </c>
      <c r="P26" s="27">
        <f>N24/2-0.6-1.8</f>
        <v>102.60000000000001</v>
      </c>
      <c r="Q26" s="27">
        <f>Q24*5</f>
        <v>5</v>
      </c>
      <c r="S26" s="23"/>
      <c r="T26" s="27">
        <v>3</v>
      </c>
      <c r="U26" s="27">
        <v>5</v>
      </c>
      <c r="V26" s="27">
        <f>T24/2-0.6-1.8</f>
        <v>104.10000000000001</v>
      </c>
      <c r="W26" s="27">
        <f>W24*5</f>
        <v>5</v>
      </c>
    </row>
    <row r="27" spans="1:23" x14ac:dyDescent="0.15">
      <c r="A27" s="33" t="s">
        <v>52</v>
      </c>
      <c r="B27" s="71">
        <v>210</v>
      </c>
      <c r="C27" s="71"/>
      <c r="D27" s="33" t="s">
        <v>53</v>
      </c>
      <c r="E27" s="34">
        <v>1</v>
      </c>
      <c r="G27" s="72"/>
      <c r="H27" s="20">
        <v>2</v>
      </c>
      <c r="I27" s="20">
        <v>7</v>
      </c>
      <c r="J27" s="20">
        <f>H24/2-1.7</f>
        <v>104.8</v>
      </c>
      <c r="K27" s="20">
        <f>K24*1</f>
        <v>7</v>
      </c>
      <c r="M27" s="27" t="s">
        <v>52</v>
      </c>
      <c r="N27" s="45">
        <v>210</v>
      </c>
      <c r="O27" s="45"/>
      <c r="P27" s="27" t="s">
        <v>53</v>
      </c>
      <c r="Q27" s="26">
        <v>1</v>
      </c>
      <c r="S27" s="27" t="s">
        <v>52</v>
      </c>
      <c r="T27" s="45">
        <v>213</v>
      </c>
      <c r="U27" s="45"/>
      <c r="V27" s="27" t="s">
        <v>53</v>
      </c>
      <c r="W27" s="26">
        <v>1</v>
      </c>
    </row>
    <row r="28" spans="1:23" x14ac:dyDescent="0.15">
      <c r="A28" s="33" t="s">
        <v>55</v>
      </c>
      <c r="B28" s="70" t="s">
        <v>3</v>
      </c>
      <c r="C28" s="70"/>
      <c r="D28" s="33" t="s">
        <v>4</v>
      </c>
      <c r="E28" s="33" t="s">
        <v>56</v>
      </c>
      <c r="G28" s="60"/>
      <c r="H28" s="20">
        <v>3</v>
      </c>
      <c r="I28" s="20">
        <v>5</v>
      </c>
      <c r="J28" s="20">
        <f>H24/2-0.4-1.3</f>
        <v>104.8</v>
      </c>
      <c r="K28" s="20">
        <f>K24*6</f>
        <v>42</v>
      </c>
      <c r="M28" s="27" t="s">
        <v>55</v>
      </c>
      <c r="N28" s="46" t="s">
        <v>3</v>
      </c>
      <c r="O28" s="46"/>
      <c r="P28" s="27" t="s">
        <v>4</v>
      </c>
      <c r="Q28" s="27" t="s">
        <v>56</v>
      </c>
      <c r="S28" s="27" t="s">
        <v>55</v>
      </c>
      <c r="T28" s="46" t="s">
        <v>3</v>
      </c>
      <c r="U28" s="46"/>
      <c r="V28" s="27" t="s">
        <v>4</v>
      </c>
      <c r="W28" s="27" t="s">
        <v>56</v>
      </c>
    </row>
    <row r="29" spans="1:23" x14ac:dyDescent="0.15">
      <c r="A29" s="33"/>
      <c r="B29" s="33">
        <v>3</v>
      </c>
      <c r="C29" s="33">
        <v>5</v>
      </c>
      <c r="D29" s="33">
        <f>B27/2-0.6-1.3</f>
        <v>103.10000000000001</v>
      </c>
      <c r="E29" s="33">
        <f>E27*3</f>
        <v>3</v>
      </c>
      <c r="G29" s="14" t="s">
        <v>52</v>
      </c>
      <c r="H29" s="45">
        <v>213</v>
      </c>
      <c r="I29" s="45"/>
      <c r="J29" s="14" t="s">
        <v>53</v>
      </c>
      <c r="K29" s="15">
        <v>7</v>
      </c>
      <c r="M29" s="27"/>
      <c r="N29" s="27">
        <v>3</v>
      </c>
      <c r="O29" s="27">
        <v>5</v>
      </c>
      <c r="P29" s="27">
        <f>N27/2-0.6-1.3</f>
        <v>103.10000000000001</v>
      </c>
      <c r="Q29" s="27">
        <f>Q27*3</f>
        <v>3</v>
      </c>
      <c r="S29" s="27"/>
      <c r="T29" s="27">
        <v>3</v>
      </c>
      <c r="U29" s="27">
        <v>5</v>
      </c>
      <c r="V29" s="27">
        <f>T27/2-0.6-1.3</f>
        <v>104.60000000000001</v>
      </c>
      <c r="W29" s="27">
        <f>W27*3</f>
        <v>3</v>
      </c>
    </row>
    <row r="30" spans="1:23" x14ac:dyDescent="0.15">
      <c r="A30" s="33"/>
      <c r="B30" s="33">
        <v>3</v>
      </c>
      <c r="C30" s="33">
        <v>5</v>
      </c>
      <c r="D30" s="33">
        <f>B27/2-0.6-5.2</f>
        <v>99.2</v>
      </c>
      <c r="E30" s="33">
        <f>E27*2</f>
        <v>2</v>
      </c>
      <c r="G30" s="14" t="s">
        <v>55</v>
      </c>
      <c r="H30" s="46" t="s">
        <v>3</v>
      </c>
      <c r="I30" s="46"/>
      <c r="J30" s="14" t="s">
        <v>4</v>
      </c>
      <c r="K30" s="14" t="s">
        <v>56</v>
      </c>
      <c r="M30" s="27"/>
      <c r="N30" s="27">
        <v>3</v>
      </c>
      <c r="O30" s="27">
        <v>5</v>
      </c>
      <c r="P30" s="27">
        <f>N27/2-0.6-5.2</f>
        <v>99.2</v>
      </c>
      <c r="Q30" s="27">
        <f>Q27*2</f>
        <v>2</v>
      </c>
      <c r="S30" s="27"/>
      <c r="T30" s="27">
        <v>3</v>
      </c>
      <c r="U30" s="27">
        <v>5</v>
      </c>
      <c r="V30" s="27">
        <f>T27/2-0.6-5.2</f>
        <v>100.7</v>
      </c>
      <c r="W30" s="27">
        <f>W27*2</f>
        <v>2</v>
      </c>
    </row>
    <row r="31" spans="1:23" x14ac:dyDescent="0.15">
      <c r="A31" s="33" t="s">
        <v>119</v>
      </c>
      <c r="B31" s="36">
        <v>3</v>
      </c>
      <c r="C31" s="36">
        <v>5</v>
      </c>
      <c r="D31" s="33">
        <v>54</v>
      </c>
      <c r="E31" s="33">
        <f>E27*2</f>
        <v>2</v>
      </c>
      <c r="G31" s="59" t="s">
        <v>117</v>
      </c>
      <c r="H31" s="14">
        <v>2</v>
      </c>
      <c r="I31" s="14">
        <v>4</v>
      </c>
      <c r="J31" s="14">
        <f>H29/2-1.3-0.4</f>
        <v>104.8</v>
      </c>
      <c r="K31" s="14">
        <f>K29*6</f>
        <v>42</v>
      </c>
      <c r="M31" s="27" t="s">
        <v>94</v>
      </c>
      <c r="N31" s="28">
        <v>3</v>
      </c>
      <c r="O31" s="28">
        <v>5</v>
      </c>
      <c r="P31" s="27">
        <v>44</v>
      </c>
      <c r="Q31" s="27">
        <f>Q27*2</f>
        <v>2</v>
      </c>
      <c r="S31" s="27" t="s">
        <v>94</v>
      </c>
      <c r="T31" s="28">
        <v>3</v>
      </c>
      <c r="U31" s="28">
        <v>5</v>
      </c>
      <c r="V31" s="27">
        <v>45</v>
      </c>
      <c r="W31" s="27">
        <f>W27*2</f>
        <v>2</v>
      </c>
    </row>
    <row r="32" spans="1:23" x14ac:dyDescent="0.15">
      <c r="A32" s="36" t="s">
        <v>120</v>
      </c>
      <c r="B32" s="36">
        <v>3</v>
      </c>
      <c r="C32" s="36">
        <v>5</v>
      </c>
      <c r="D32" s="33">
        <v>50.7</v>
      </c>
      <c r="E32" s="33">
        <f>E27*4</f>
        <v>4</v>
      </c>
      <c r="G32" s="60"/>
      <c r="H32" s="14">
        <v>2</v>
      </c>
      <c r="I32" s="14">
        <v>7</v>
      </c>
      <c r="J32" s="14">
        <f>H29/2-1.7</f>
        <v>104.8</v>
      </c>
      <c r="K32" s="14">
        <f>K29*1</f>
        <v>7</v>
      </c>
      <c r="M32" s="28" t="s">
        <v>120</v>
      </c>
      <c r="N32" s="28">
        <v>3</v>
      </c>
      <c r="O32" s="28">
        <v>5</v>
      </c>
      <c r="P32" s="27">
        <v>50.7</v>
      </c>
      <c r="Q32" s="27">
        <f>Q27*4</f>
        <v>4</v>
      </c>
      <c r="S32" s="28" t="s">
        <v>120</v>
      </c>
      <c r="T32" s="28">
        <v>3</v>
      </c>
      <c r="U32" s="28">
        <v>5</v>
      </c>
      <c r="V32" s="27">
        <v>50.7</v>
      </c>
      <c r="W32" s="27">
        <f>W27*4</f>
        <v>4</v>
      </c>
    </row>
    <row r="33" spans="1:23" x14ac:dyDescent="0.15">
      <c r="A33" s="36" t="s">
        <v>121</v>
      </c>
      <c r="B33" s="36">
        <v>2</v>
      </c>
      <c r="C33" s="36">
        <v>4</v>
      </c>
      <c r="D33" s="33">
        <v>48.6</v>
      </c>
      <c r="E33" s="33">
        <f>E27*4</f>
        <v>4</v>
      </c>
      <c r="G33" s="59" t="s">
        <v>118</v>
      </c>
      <c r="H33" s="14">
        <v>2</v>
      </c>
      <c r="I33" s="14">
        <v>4</v>
      </c>
      <c r="J33" s="14">
        <f>H29/2-4.8-0.4</f>
        <v>101.3</v>
      </c>
      <c r="K33" s="14">
        <f>K29</f>
        <v>7</v>
      </c>
      <c r="M33" s="28" t="s">
        <v>88</v>
      </c>
      <c r="N33" s="28">
        <v>2</v>
      </c>
      <c r="O33" s="28">
        <v>4</v>
      </c>
      <c r="P33" s="27">
        <v>38.6</v>
      </c>
      <c r="Q33" s="27">
        <f>Q27*4</f>
        <v>4</v>
      </c>
      <c r="S33" s="28" t="s">
        <v>88</v>
      </c>
      <c r="T33" s="28">
        <v>2</v>
      </c>
      <c r="U33" s="28">
        <v>4</v>
      </c>
      <c r="V33" s="27">
        <v>39.6</v>
      </c>
      <c r="W33" s="27">
        <f>W27*4</f>
        <v>4</v>
      </c>
    </row>
    <row r="34" spans="1:23" x14ac:dyDescent="0.15">
      <c r="A34" s="36" t="s">
        <v>122</v>
      </c>
      <c r="B34" s="36">
        <v>2</v>
      </c>
      <c r="C34" s="36">
        <v>4</v>
      </c>
      <c r="D34" s="33">
        <v>44.6</v>
      </c>
      <c r="E34" s="33">
        <f>E27*3</f>
        <v>3</v>
      </c>
      <c r="G34" s="60"/>
      <c r="H34" s="14">
        <v>3</v>
      </c>
      <c r="I34" s="14">
        <v>5</v>
      </c>
      <c r="J34" s="14">
        <f>H29/2-0.4-4.8</f>
        <v>101.3</v>
      </c>
      <c r="K34" s="14">
        <f>K29*6</f>
        <v>42</v>
      </c>
      <c r="M34" s="28" t="s">
        <v>89</v>
      </c>
      <c r="N34" s="28">
        <v>2</v>
      </c>
      <c r="O34" s="28">
        <v>4</v>
      </c>
      <c r="P34" s="27">
        <v>36.299999999999997</v>
      </c>
      <c r="Q34" s="27">
        <f>Q27*3</f>
        <v>3</v>
      </c>
      <c r="S34" s="28" t="s">
        <v>89</v>
      </c>
      <c r="T34" s="28">
        <v>2</v>
      </c>
      <c r="U34" s="28">
        <v>4</v>
      </c>
      <c r="V34" s="27">
        <v>37.200000000000003</v>
      </c>
      <c r="W34" s="27">
        <f>W27*3</f>
        <v>3</v>
      </c>
    </row>
    <row r="35" spans="1:23" x14ac:dyDescent="0.15">
      <c r="A35" s="36" t="s">
        <v>123</v>
      </c>
      <c r="B35" s="36">
        <v>3</v>
      </c>
      <c r="C35" s="36">
        <v>5</v>
      </c>
      <c r="D35" s="33">
        <v>55.4</v>
      </c>
      <c r="E35" s="33">
        <f>E27*12</f>
        <v>12</v>
      </c>
      <c r="G35" s="14" t="s">
        <v>20</v>
      </c>
      <c r="H35" s="14">
        <v>2</v>
      </c>
      <c r="I35" s="14">
        <v>4</v>
      </c>
      <c r="J35" s="14">
        <f>H29-20*2</f>
        <v>173</v>
      </c>
      <c r="K35" s="14">
        <f>K29*1</f>
        <v>7</v>
      </c>
      <c r="M35" s="28" t="s">
        <v>96</v>
      </c>
      <c r="N35" s="28">
        <v>3</v>
      </c>
      <c r="O35" s="28">
        <v>5</v>
      </c>
      <c r="P35" s="27">
        <v>55.4</v>
      </c>
      <c r="Q35" s="27">
        <f>Q27*12</f>
        <v>12</v>
      </c>
      <c r="S35" s="28" t="s">
        <v>96</v>
      </c>
      <c r="T35" s="28">
        <v>3</v>
      </c>
      <c r="U35" s="28">
        <v>5</v>
      </c>
      <c r="V35" s="27">
        <v>55.4</v>
      </c>
      <c r="W35" s="27">
        <f>W27*12</f>
        <v>12</v>
      </c>
    </row>
    <row r="36" spans="1:23" x14ac:dyDescent="0.15">
      <c r="A36" s="36" t="s">
        <v>124</v>
      </c>
      <c r="B36" s="36">
        <v>3</v>
      </c>
      <c r="C36" s="36">
        <v>5</v>
      </c>
      <c r="D36" s="33">
        <v>54</v>
      </c>
      <c r="E36" s="33">
        <f>E27*2</f>
        <v>2</v>
      </c>
      <c r="G36" s="46" t="s">
        <v>61</v>
      </c>
      <c r="H36" s="46"/>
      <c r="I36" s="46"/>
      <c r="J36" s="46"/>
      <c r="K36" s="46"/>
      <c r="M36" s="28" t="s">
        <v>124</v>
      </c>
      <c r="N36" s="28">
        <v>3</v>
      </c>
      <c r="O36" s="28">
        <v>5</v>
      </c>
      <c r="P36" s="27">
        <v>44</v>
      </c>
      <c r="Q36" s="27">
        <f>Q27*2</f>
        <v>2</v>
      </c>
      <c r="S36" s="28" t="s">
        <v>124</v>
      </c>
      <c r="T36" s="28">
        <v>3</v>
      </c>
      <c r="U36" s="28">
        <v>5</v>
      </c>
      <c r="V36" s="27">
        <v>45</v>
      </c>
      <c r="W36" s="27">
        <f>W27*2</f>
        <v>2</v>
      </c>
    </row>
    <row r="37" spans="1:23" x14ac:dyDescent="0.15">
      <c r="A37" s="36"/>
      <c r="B37" s="36">
        <v>3</v>
      </c>
      <c r="C37" s="36">
        <v>5</v>
      </c>
      <c r="D37" s="33">
        <v>44.5</v>
      </c>
      <c r="E37" s="33">
        <f>E27*3</f>
        <v>3</v>
      </c>
      <c r="G37" s="14" t="s">
        <v>63</v>
      </c>
      <c r="H37" s="16">
        <v>2</v>
      </c>
      <c r="I37" s="16">
        <v>4</v>
      </c>
      <c r="J37" s="11">
        <v>52.3</v>
      </c>
      <c r="K37" s="16">
        <f>K29*2</f>
        <v>14</v>
      </c>
      <c r="M37" s="28"/>
      <c r="N37" s="28">
        <v>3</v>
      </c>
      <c r="O37" s="28">
        <v>5</v>
      </c>
      <c r="P37" s="27">
        <v>44.5</v>
      </c>
      <c r="Q37" s="27">
        <f>Q27*3</f>
        <v>3</v>
      </c>
      <c r="S37" s="28"/>
      <c r="T37" s="28">
        <v>3</v>
      </c>
      <c r="U37" s="28">
        <v>5</v>
      </c>
      <c r="V37" s="27">
        <v>44.5</v>
      </c>
      <c r="W37" s="27">
        <f>W27*3</f>
        <v>3</v>
      </c>
    </row>
    <row r="38" spans="1:23" x14ac:dyDescent="0.15">
      <c r="A38" s="36" t="s">
        <v>125</v>
      </c>
      <c r="B38" s="36">
        <v>2</v>
      </c>
      <c r="C38" s="36">
        <v>4</v>
      </c>
      <c r="D38" s="33">
        <v>73.5</v>
      </c>
      <c r="E38" s="33">
        <f>E27*2</f>
        <v>2</v>
      </c>
      <c r="G38" s="16" t="s">
        <v>64</v>
      </c>
      <c r="H38" s="16">
        <v>2</v>
      </c>
      <c r="I38" s="16">
        <v>7</v>
      </c>
      <c r="J38" s="11">
        <v>53.8</v>
      </c>
      <c r="K38" s="16">
        <f>K37</f>
        <v>14</v>
      </c>
      <c r="M38" s="28" t="s">
        <v>125</v>
      </c>
      <c r="N38" s="28">
        <v>2</v>
      </c>
      <c r="O38" s="28">
        <v>4</v>
      </c>
      <c r="P38" s="27">
        <v>67.2</v>
      </c>
      <c r="Q38" s="27">
        <f>Q27*2</f>
        <v>2</v>
      </c>
      <c r="S38" s="28" t="s">
        <v>125</v>
      </c>
      <c r="T38" s="28">
        <v>2</v>
      </c>
      <c r="U38" s="28">
        <v>4</v>
      </c>
      <c r="V38" s="27">
        <v>67.8</v>
      </c>
      <c r="W38" s="27">
        <f>W27*2</f>
        <v>2</v>
      </c>
    </row>
    <row r="39" spans="1:23" x14ac:dyDescent="0.15">
      <c r="A39" s="73" t="s">
        <v>129</v>
      </c>
      <c r="B39" s="73"/>
      <c r="C39" s="73"/>
      <c r="D39" s="73"/>
      <c r="E39" s="73"/>
      <c r="G39" s="16" t="s">
        <v>65</v>
      </c>
      <c r="H39" s="16">
        <v>2</v>
      </c>
      <c r="I39" s="16">
        <v>4</v>
      </c>
      <c r="J39" s="11">
        <v>53.4</v>
      </c>
      <c r="K39" s="16">
        <f>K37</f>
        <v>14</v>
      </c>
      <c r="M39" s="69" t="s">
        <v>129</v>
      </c>
      <c r="N39" s="69"/>
      <c r="O39" s="69"/>
      <c r="P39" s="69"/>
      <c r="Q39" s="69"/>
      <c r="S39" s="69" t="s">
        <v>152</v>
      </c>
      <c r="T39" s="69"/>
      <c r="U39" s="69"/>
      <c r="V39" s="69"/>
      <c r="W39" s="69"/>
    </row>
    <row r="40" spans="1:23" x14ac:dyDescent="0.15">
      <c r="G40" s="16" t="s">
        <v>66</v>
      </c>
      <c r="H40" s="16">
        <v>2</v>
      </c>
      <c r="I40" s="16">
        <v>4</v>
      </c>
      <c r="J40" s="11">
        <v>52.8</v>
      </c>
      <c r="K40" s="16">
        <f>K37</f>
        <v>14</v>
      </c>
    </row>
    <row r="41" spans="1:23" x14ac:dyDescent="0.15">
      <c r="G41" s="16" t="s">
        <v>67</v>
      </c>
      <c r="H41" s="16">
        <v>2</v>
      </c>
      <c r="I41" s="16">
        <v>4</v>
      </c>
      <c r="J41" s="11">
        <v>52.3</v>
      </c>
      <c r="K41" s="16">
        <f>K37</f>
        <v>14</v>
      </c>
    </row>
    <row r="42" spans="1:23" x14ac:dyDescent="0.15">
      <c r="G42" s="16" t="s">
        <v>68</v>
      </c>
      <c r="H42" s="16">
        <v>2</v>
      </c>
      <c r="I42" s="16">
        <v>4</v>
      </c>
      <c r="J42" s="11">
        <v>47.5</v>
      </c>
      <c r="K42" s="16">
        <f>K37</f>
        <v>14</v>
      </c>
    </row>
    <row r="43" spans="1:23" x14ac:dyDescent="0.15">
      <c r="G43" s="16" t="s">
        <v>69</v>
      </c>
      <c r="H43" s="16">
        <v>2</v>
      </c>
      <c r="I43" s="16">
        <v>4</v>
      </c>
      <c r="J43" s="11">
        <v>48.2</v>
      </c>
      <c r="K43" s="16">
        <f>K37</f>
        <v>14</v>
      </c>
    </row>
    <row r="55" spans="1:11" x14ac:dyDescent="0.15">
      <c r="A55" s="46" t="s">
        <v>49</v>
      </c>
      <c r="B55" s="61" t="s">
        <v>116</v>
      </c>
      <c r="C55" s="62"/>
      <c r="D55" s="62"/>
      <c r="E55" s="63"/>
      <c r="G55" s="46" t="s">
        <v>49</v>
      </c>
      <c r="H55" s="61" t="s">
        <v>132</v>
      </c>
      <c r="I55" s="62"/>
      <c r="J55" s="62"/>
      <c r="K55" s="63"/>
    </row>
    <row r="56" spans="1:11" x14ac:dyDescent="0.15">
      <c r="A56" s="46"/>
      <c r="B56" s="64"/>
      <c r="C56" s="65"/>
      <c r="D56" s="65"/>
      <c r="E56" s="66"/>
      <c r="G56" s="46"/>
      <c r="H56" s="64"/>
      <c r="I56" s="65"/>
      <c r="J56" s="65"/>
      <c r="K56" s="66"/>
    </row>
    <row r="57" spans="1:11" x14ac:dyDescent="0.15">
      <c r="A57" s="20" t="s">
        <v>52</v>
      </c>
      <c r="B57" s="45">
        <v>213</v>
      </c>
      <c r="C57" s="45"/>
      <c r="D57" s="20" t="s">
        <v>53</v>
      </c>
      <c r="E57" s="19">
        <v>1</v>
      </c>
      <c r="G57" s="20" t="s">
        <v>52</v>
      </c>
      <c r="H57" s="45">
        <v>210</v>
      </c>
      <c r="I57" s="45"/>
      <c r="J57" s="20" t="s">
        <v>53</v>
      </c>
      <c r="K57" s="19">
        <v>1</v>
      </c>
    </row>
    <row r="58" spans="1:11" x14ac:dyDescent="0.15">
      <c r="A58" s="20" t="s">
        <v>55</v>
      </c>
      <c r="B58" s="46" t="s">
        <v>3</v>
      </c>
      <c r="C58" s="46"/>
      <c r="D58" s="20" t="s">
        <v>4</v>
      </c>
      <c r="E58" s="20" t="s">
        <v>56</v>
      </c>
      <c r="G58" s="20" t="s">
        <v>55</v>
      </c>
      <c r="H58" s="46" t="s">
        <v>3</v>
      </c>
      <c r="I58" s="46"/>
      <c r="J58" s="20" t="s">
        <v>4</v>
      </c>
      <c r="K58" s="20" t="s">
        <v>56</v>
      </c>
    </row>
    <row r="59" spans="1:11" x14ac:dyDescent="0.15">
      <c r="A59" s="59"/>
      <c r="B59" s="20">
        <v>2</v>
      </c>
      <c r="C59" s="20">
        <v>4</v>
      </c>
      <c r="D59" s="20">
        <f>B57/2-1.3-0.4</f>
        <v>104.8</v>
      </c>
      <c r="E59" s="20">
        <f>E57*7</f>
        <v>7</v>
      </c>
      <c r="G59" s="59"/>
      <c r="H59" s="20">
        <v>2</v>
      </c>
      <c r="I59" s="20">
        <v>4</v>
      </c>
      <c r="J59" s="20">
        <f>H57/2-1.3-0.4</f>
        <v>103.3</v>
      </c>
      <c r="K59" s="20">
        <f>K57*7</f>
        <v>7</v>
      </c>
    </row>
    <row r="60" spans="1:11" x14ac:dyDescent="0.15">
      <c r="A60" s="72"/>
      <c r="B60" s="20">
        <v>2</v>
      </c>
      <c r="C60" s="20">
        <v>7</v>
      </c>
      <c r="D60" s="20">
        <f>B57/2-1.7</f>
        <v>104.8</v>
      </c>
      <c r="E60" s="20">
        <f>E57*1</f>
        <v>1</v>
      </c>
      <c r="G60" s="72"/>
      <c r="H60" s="20">
        <v>2</v>
      </c>
      <c r="I60" s="20">
        <v>7</v>
      </c>
      <c r="J60" s="20">
        <f>H57/2-1.7</f>
        <v>103.3</v>
      </c>
      <c r="K60" s="20">
        <f>K57*1</f>
        <v>1</v>
      </c>
    </row>
    <row r="61" spans="1:11" x14ac:dyDescent="0.15">
      <c r="A61" s="60"/>
      <c r="B61" s="20">
        <v>3</v>
      </c>
      <c r="C61" s="20">
        <v>5</v>
      </c>
      <c r="D61" s="20">
        <f>B57/2-0.4-1.3</f>
        <v>104.8</v>
      </c>
      <c r="E61" s="20">
        <f>E57*6</f>
        <v>6</v>
      </c>
      <c r="G61" s="60"/>
      <c r="H61" s="20">
        <v>3</v>
      </c>
      <c r="I61" s="20">
        <v>5</v>
      </c>
      <c r="J61" s="20">
        <f>H57/2-0.4-1.3</f>
        <v>103.3</v>
      </c>
      <c r="K61" s="20">
        <f>K57*6</f>
        <v>6</v>
      </c>
    </row>
    <row r="62" spans="1:11" x14ac:dyDescent="0.15">
      <c r="A62" s="20" t="s">
        <v>52</v>
      </c>
      <c r="B62" s="45">
        <v>213</v>
      </c>
      <c r="C62" s="45"/>
      <c r="D62" s="20" t="s">
        <v>53</v>
      </c>
      <c r="E62" s="19">
        <v>1</v>
      </c>
      <c r="G62" s="20" t="s">
        <v>52</v>
      </c>
      <c r="H62" s="45">
        <v>210</v>
      </c>
      <c r="I62" s="45"/>
      <c r="J62" s="20" t="s">
        <v>53</v>
      </c>
      <c r="K62" s="19">
        <v>1</v>
      </c>
    </row>
    <row r="63" spans="1:11" x14ac:dyDescent="0.15">
      <c r="A63" s="20" t="s">
        <v>55</v>
      </c>
      <c r="B63" s="46" t="s">
        <v>3</v>
      </c>
      <c r="C63" s="46"/>
      <c r="D63" s="20" t="s">
        <v>4</v>
      </c>
      <c r="E63" s="20" t="s">
        <v>56</v>
      </c>
      <c r="G63" s="20" t="s">
        <v>55</v>
      </c>
      <c r="H63" s="46" t="s">
        <v>3</v>
      </c>
      <c r="I63" s="46"/>
      <c r="J63" s="20" t="s">
        <v>4</v>
      </c>
      <c r="K63" s="20" t="s">
        <v>56</v>
      </c>
    </row>
    <row r="64" spans="1:11" x14ac:dyDescent="0.15">
      <c r="A64" s="23"/>
      <c r="B64" s="20">
        <v>2</v>
      </c>
      <c r="C64" s="20">
        <v>4</v>
      </c>
      <c r="D64" s="20">
        <f>B62/2-1.3-0.4</f>
        <v>104.8</v>
      </c>
      <c r="E64" s="20">
        <f>E62*7</f>
        <v>7</v>
      </c>
      <c r="G64" s="23"/>
      <c r="H64" s="20">
        <v>2</v>
      </c>
      <c r="I64" s="20">
        <v>4</v>
      </c>
      <c r="J64" s="20">
        <f>H62/2-1.3-0.4</f>
        <v>103.3</v>
      </c>
      <c r="K64" s="20">
        <f>K62*7</f>
        <v>7</v>
      </c>
    </row>
    <row r="65" spans="1:11" x14ac:dyDescent="0.15">
      <c r="A65" s="24"/>
      <c r="B65" s="20">
        <v>2</v>
      </c>
      <c r="C65" s="20">
        <v>7</v>
      </c>
      <c r="D65" s="20">
        <f>B62/2-1.7</f>
        <v>104.8</v>
      </c>
      <c r="E65" s="20">
        <f>E62*1</f>
        <v>1</v>
      </c>
      <c r="G65" s="24"/>
      <c r="H65" s="20">
        <v>2</v>
      </c>
      <c r="I65" s="20">
        <v>7</v>
      </c>
      <c r="J65" s="20">
        <f>H62/2-1.7</f>
        <v>103.3</v>
      </c>
      <c r="K65" s="20">
        <f>K62*1</f>
        <v>1</v>
      </c>
    </row>
    <row r="66" spans="1:11" x14ac:dyDescent="0.15">
      <c r="A66" s="24"/>
      <c r="B66" s="20">
        <v>3</v>
      </c>
      <c r="C66" s="20">
        <v>5</v>
      </c>
      <c r="D66" s="20">
        <f>B62/2-0.4-1.3</f>
        <v>104.8</v>
      </c>
      <c r="E66" s="20">
        <f>E62*6</f>
        <v>6</v>
      </c>
      <c r="G66" s="24"/>
      <c r="H66" s="20">
        <v>3</v>
      </c>
      <c r="I66" s="20">
        <v>5</v>
      </c>
      <c r="J66" s="20">
        <f>H62/2-0.4-1.3</f>
        <v>103.3</v>
      </c>
      <c r="K66" s="20">
        <f>K62*6</f>
        <v>6</v>
      </c>
    </row>
    <row r="67" spans="1:11" x14ac:dyDescent="0.15">
      <c r="A67" s="20" t="s">
        <v>20</v>
      </c>
      <c r="B67" s="20">
        <v>2</v>
      </c>
      <c r="C67" s="20">
        <v>4</v>
      </c>
      <c r="D67" s="20">
        <f>B62-20*2</f>
        <v>173</v>
      </c>
      <c r="E67" s="20">
        <f>E62*1</f>
        <v>1</v>
      </c>
      <c r="G67" s="20" t="s">
        <v>20</v>
      </c>
      <c r="H67" s="20">
        <v>2</v>
      </c>
      <c r="I67" s="20">
        <v>4</v>
      </c>
      <c r="J67" s="20">
        <f>H62-20*2</f>
        <v>170</v>
      </c>
      <c r="K67" s="20">
        <f>K62*1</f>
        <v>1</v>
      </c>
    </row>
    <row r="68" spans="1:11" x14ac:dyDescent="0.15">
      <c r="A68" s="46" t="s">
        <v>61</v>
      </c>
      <c r="B68" s="46"/>
      <c r="C68" s="46"/>
      <c r="D68" s="46"/>
      <c r="E68" s="46"/>
      <c r="G68" s="46" t="s">
        <v>61</v>
      </c>
      <c r="H68" s="46"/>
      <c r="I68" s="46"/>
      <c r="J68" s="46"/>
      <c r="K68" s="46"/>
    </row>
    <row r="69" spans="1:11" x14ac:dyDescent="0.15">
      <c r="A69" s="20" t="s">
        <v>63</v>
      </c>
      <c r="B69" s="16">
        <v>2</v>
      </c>
      <c r="C69" s="16">
        <v>4</v>
      </c>
      <c r="D69" s="11">
        <v>52.3</v>
      </c>
      <c r="E69" s="16">
        <f>E62*2</f>
        <v>2</v>
      </c>
      <c r="G69" s="20" t="s">
        <v>63</v>
      </c>
      <c r="H69" s="16">
        <v>2</v>
      </c>
      <c r="I69" s="16">
        <v>4</v>
      </c>
      <c r="J69" s="11">
        <v>52.3</v>
      </c>
      <c r="K69" s="16">
        <f>K62*2</f>
        <v>2</v>
      </c>
    </row>
    <row r="70" spans="1:11" x14ac:dyDescent="0.15">
      <c r="A70" s="16" t="s">
        <v>64</v>
      </c>
      <c r="B70" s="16">
        <v>2</v>
      </c>
      <c r="C70" s="16">
        <v>7</v>
      </c>
      <c r="D70" s="11">
        <v>53.8</v>
      </c>
      <c r="E70" s="16">
        <f>E69</f>
        <v>2</v>
      </c>
      <c r="G70" s="16" t="s">
        <v>64</v>
      </c>
      <c r="H70" s="16">
        <v>2</v>
      </c>
      <c r="I70" s="16">
        <v>7</v>
      </c>
      <c r="J70" s="11">
        <v>53.8</v>
      </c>
      <c r="K70" s="16">
        <f>K69</f>
        <v>2</v>
      </c>
    </row>
    <row r="71" spans="1:11" x14ac:dyDescent="0.15">
      <c r="A71" s="16" t="s">
        <v>65</v>
      </c>
      <c r="B71" s="16">
        <v>2</v>
      </c>
      <c r="C71" s="16">
        <v>4</v>
      </c>
      <c r="D71" s="11">
        <v>53.4</v>
      </c>
      <c r="E71" s="16">
        <f>E69</f>
        <v>2</v>
      </c>
      <c r="G71" s="16" t="s">
        <v>65</v>
      </c>
      <c r="H71" s="16">
        <v>2</v>
      </c>
      <c r="I71" s="16">
        <v>4</v>
      </c>
      <c r="J71" s="11">
        <v>53.4</v>
      </c>
      <c r="K71" s="16">
        <f>K69</f>
        <v>2</v>
      </c>
    </row>
    <row r="72" spans="1:11" x14ac:dyDescent="0.15">
      <c r="A72" s="16" t="s">
        <v>66</v>
      </c>
      <c r="B72" s="16">
        <v>2</v>
      </c>
      <c r="C72" s="16">
        <v>4</v>
      </c>
      <c r="D72" s="11">
        <v>52.8</v>
      </c>
      <c r="E72" s="16">
        <f>E69</f>
        <v>2</v>
      </c>
      <c r="G72" s="16" t="s">
        <v>66</v>
      </c>
      <c r="H72" s="16">
        <v>2</v>
      </c>
      <c r="I72" s="16">
        <v>4</v>
      </c>
      <c r="J72" s="11">
        <v>52.8</v>
      </c>
      <c r="K72" s="16">
        <f>K69</f>
        <v>2</v>
      </c>
    </row>
    <row r="73" spans="1:11" x14ac:dyDescent="0.15">
      <c r="A73" s="16" t="s">
        <v>67</v>
      </c>
      <c r="B73" s="16">
        <v>2</v>
      </c>
      <c r="C73" s="16">
        <v>4</v>
      </c>
      <c r="D73" s="11">
        <v>52.3</v>
      </c>
      <c r="E73" s="16">
        <f>E69</f>
        <v>2</v>
      </c>
      <c r="G73" s="16" t="s">
        <v>67</v>
      </c>
      <c r="H73" s="16">
        <v>2</v>
      </c>
      <c r="I73" s="16">
        <v>4</v>
      </c>
      <c r="J73" s="11">
        <v>52.3</v>
      </c>
      <c r="K73" s="16">
        <f>K69</f>
        <v>2</v>
      </c>
    </row>
    <row r="74" spans="1:11" x14ac:dyDescent="0.15">
      <c r="A74" s="16" t="s">
        <v>68</v>
      </c>
      <c r="B74" s="16">
        <v>2</v>
      </c>
      <c r="C74" s="16">
        <v>4</v>
      </c>
      <c r="D74" s="11">
        <v>47.5</v>
      </c>
      <c r="E74" s="16">
        <f>E69</f>
        <v>2</v>
      </c>
      <c r="G74" s="16" t="s">
        <v>68</v>
      </c>
      <c r="H74" s="16">
        <v>2</v>
      </c>
      <c r="I74" s="16">
        <v>4</v>
      </c>
      <c r="J74" s="11">
        <v>47.5</v>
      </c>
      <c r="K74" s="16">
        <f>K69</f>
        <v>2</v>
      </c>
    </row>
    <row r="75" spans="1:11" x14ac:dyDescent="0.15">
      <c r="A75" s="16" t="s">
        <v>69</v>
      </c>
      <c r="B75" s="16">
        <v>2</v>
      </c>
      <c r="C75" s="16">
        <v>4</v>
      </c>
      <c r="D75" s="11">
        <v>48.2</v>
      </c>
      <c r="E75" s="16">
        <f>E69</f>
        <v>2</v>
      </c>
      <c r="G75" s="16" t="s">
        <v>69</v>
      </c>
      <c r="H75" s="16">
        <v>2</v>
      </c>
      <c r="I75" s="16">
        <v>4</v>
      </c>
      <c r="J75" s="11">
        <v>48.2</v>
      </c>
      <c r="K75" s="16">
        <f>K69</f>
        <v>2</v>
      </c>
    </row>
    <row r="77" spans="1:11" x14ac:dyDescent="0.15">
      <c r="A77" s="46" t="s">
        <v>49</v>
      </c>
      <c r="B77" s="61" t="s">
        <v>133</v>
      </c>
      <c r="C77" s="62"/>
      <c r="D77" s="62"/>
      <c r="E77" s="63"/>
      <c r="G77" s="46" t="s">
        <v>49</v>
      </c>
      <c r="H77" s="61" t="s">
        <v>134</v>
      </c>
      <c r="I77" s="62"/>
      <c r="J77" s="62"/>
      <c r="K77" s="63"/>
    </row>
    <row r="78" spans="1:11" x14ac:dyDescent="0.15">
      <c r="A78" s="46"/>
      <c r="B78" s="64"/>
      <c r="C78" s="65"/>
      <c r="D78" s="65"/>
      <c r="E78" s="66"/>
      <c r="G78" s="46"/>
      <c r="H78" s="64"/>
      <c r="I78" s="65"/>
      <c r="J78" s="65"/>
      <c r="K78" s="66"/>
    </row>
    <row r="79" spans="1:11" x14ac:dyDescent="0.15">
      <c r="A79" s="20" t="s">
        <v>52</v>
      </c>
      <c r="B79" s="45">
        <v>218</v>
      </c>
      <c r="C79" s="45"/>
      <c r="D79" s="20" t="s">
        <v>53</v>
      </c>
      <c r="E79" s="19">
        <v>4</v>
      </c>
      <c r="G79" s="20" t="s">
        <v>52</v>
      </c>
      <c r="H79" s="45">
        <v>210</v>
      </c>
      <c r="I79" s="45"/>
      <c r="J79" s="20" t="s">
        <v>53</v>
      </c>
      <c r="K79" s="19">
        <v>3</v>
      </c>
    </row>
    <row r="80" spans="1:11" x14ac:dyDescent="0.15">
      <c r="A80" s="20" t="s">
        <v>55</v>
      </c>
      <c r="B80" s="46" t="s">
        <v>3</v>
      </c>
      <c r="C80" s="46"/>
      <c r="D80" s="20" t="s">
        <v>4</v>
      </c>
      <c r="E80" s="20" t="s">
        <v>56</v>
      </c>
      <c r="G80" s="20" t="s">
        <v>55</v>
      </c>
      <c r="H80" s="46" t="s">
        <v>3</v>
      </c>
      <c r="I80" s="46"/>
      <c r="J80" s="20" t="s">
        <v>4</v>
      </c>
      <c r="K80" s="20" t="s">
        <v>56</v>
      </c>
    </row>
    <row r="81" spans="1:11" x14ac:dyDescent="0.15">
      <c r="A81" s="59"/>
      <c r="B81" s="20">
        <v>2</v>
      </c>
      <c r="C81" s="20">
        <v>4</v>
      </c>
      <c r="D81" s="20">
        <f>B79/2-1.3-0.4</f>
        <v>107.3</v>
      </c>
      <c r="E81" s="20">
        <f>E79*7</f>
        <v>28</v>
      </c>
      <c r="G81" s="59"/>
      <c r="H81" s="20">
        <v>2</v>
      </c>
      <c r="I81" s="20">
        <v>4</v>
      </c>
      <c r="J81" s="20">
        <f>H79/2-1.3-0.4</f>
        <v>103.3</v>
      </c>
      <c r="K81" s="20">
        <f>K79*7</f>
        <v>21</v>
      </c>
    </row>
    <row r="82" spans="1:11" x14ac:dyDescent="0.15">
      <c r="A82" s="72"/>
      <c r="B82" s="20">
        <v>2</v>
      </c>
      <c r="C82" s="20">
        <v>7</v>
      </c>
      <c r="D82" s="20">
        <f>B79/2-1.7</f>
        <v>107.3</v>
      </c>
      <c r="E82" s="20">
        <f>E79*1</f>
        <v>4</v>
      </c>
      <c r="G82" s="72"/>
      <c r="H82" s="20">
        <v>2</v>
      </c>
      <c r="I82" s="20">
        <v>7</v>
      </c>
      <c r="J82" s="20">
        <f>H79/2-1.7</f>
        <v>103.3</v>
      </c>
      <c r="K82" s="20">
        <f>K79*1</f>
        <v>3</v>
      </c>
    </row>
    <row r="83" spans="1:11" x14ac:dyDescent="0.15">
      <c r="A83" s="60"/>
      <c r="B83" s="20">
        <v>3</v>
      </c>
      <c r="C83" s="20">
        <v>5</v>
      </c>
      <c r="D83" s="20">
        <f>B79/2-0.4-1.3</f>
        <v>107.3</v>
      </c>
      <c r="E83" s="20">
        <f>E79*6</f>
        <v>24</v>
      </c>
      <c r="G83" s="60"/>
      <c r="H83" s="20">
        <v>3</v>
      </c>
      <c r="I83" s="20">
        <v>5</v>
      </c>
      <c r="J83" s="20">
        <f>H79/2-0.4-1.3</f>
        <v>103.3</v>
      </c>
      <c r="K83" s="20">
        <f>K79*6+1</f>
        <v>19</v>
      </c>
    </row>
    <row r="84" spans="1:11" x14ac:dyDescent="0.15">
      <c r="A84" s="20" t="s">
        <v>52</v>
      </c>
      <c r="B84" s="45">
        <v>218</v>
      </c>
      <c r="C84" s="45"/>
      <c r="D84" s="20" t="s">
        <v>53</v>
      </c>
      <c r="E84" s="19">
        <v>4</v>
      </c>
      <c r="G84" s="20" t="s">
        <v>52</v>
      </c>
      <c r="H84" s="45">
        <v>210</v>
      </c>
      <c r="I84" s="45"/>
      <c r="J84" s="20" t="s">
        <v>53</v>
      </c>
      <c r="K84" s="19">
        <v>3</v>
      </c>
    </row>
    <row r="85" spans="1:11" x14ac:dyDescent="0.15">
      <c r="A85" s="20" t="s">
        <v>55</v>
      </c>
      <c r="B85" s="46" t="s">
        <v>3</v>
      </c>
      <c r="C85" s="46"/>
      <c r="D85" s="20" t="s">
        <v>4</v>
      </c>
      <c r="E85" s="20" t="s">
        <v>56</v>
      </c>
      <c r="G85" s="20" t="s">
        <v>55</v>
      </c>
      <c r="H85" s="46" t="s">
        <v>3</v>
      </c>
      <c r="I85" s="46"/>
      <c r="J85" s="20" t="s">
        <v>4</v>
      </c>
      <c r="K85" s="20" t="s">
        <v>56</v>
      </c>
    </row>
    <row r="86" spans="1:11" x14ac:dyDescent="0.15">
      <c r="A86" s="59" t="s">
        <v>70</v>
      </c>
      <c r="B86" s="20">
        <v>2</v>
      </c>
      <c r="C86" s="20">
        <v>4</v>
      </c>
      <c r="D86" s="20">
        <f>B84/2-1.3-0.4</f>
        <v>107.3</v>
      </c>
      <c r="E86" s="20">
        <f>E84*6</f>
        <v>24</v>
      </c>
      <c r="G86" s="59" t="s">
        <v>70</v>
      </c>
      <c r="H86" s="20">
        <v>2</v>
      </c>
      <c r="I86" s="20">
        <v>4</v>
      </c>
      <c r="J86" s="20">
        <f>H84/2-1.3-0.4</f>
        <v>103.3</v>
      </c>
      <c r="K86" s="20">
        <f>K84*6</f>
        <v>18</v>
      </c>
    </row>
    <row r="87" spans="1:11" x14ac:dyDescent="0.15">
      <c r="A87" s="60"/>
      <c r="B87" s="20">
        <v>2</v>
      </c>
      <c r="C87" s="20">
        <v>7</v>
      </c>
      <c r="D87" s="20">
        <f>B84/2-1.7</f>
        <v>107.3</v>
      </c>
      <c r="E87" s="20">
        <f>E84*1</f>
        <v>4</v>
      </c>
      <c r="G87" s="60"/>
      <c r="H87" s="20">
        <v>2</v>
      </c>
      <c r="I87" s="20">
        <v>7</v>
      </c>
      <c r="J87" s="20">
        <f>H84/2-1.7</f>
        <v>103.3</v>
      </c>
      <c r="K87" s="20">
        <f>K84*1</f>
        <v>3</v>
      </c>
    </row>
    <row r="88" spans="1:11" x14ac:dyDescent="0.15">
      <c r="A88" s="59" t="s">
        <v>79</v>
      </c>
      <c r="B88" s="20">
        <v>2</v>
      </c>
      <c r="C88" s="20">
        <v>4</v>
      </c>
      <c r="D88" s="20">
        <f>B84/2-4.8-0.4</f>
        <v>103.8</v>
      </c>
      <c r="E88" s="20">
        <f>E84</f>
        <v>4</v>
      </c>
      <c r="G88" s="59" t="s">
        <v>79</v>
      </c>
      <c r="H88" s="20">
        <v>2</v>
      </c>
      <c r="I88" s="20">
        <v>4</v>
      </c>
      <c r="J88" s="20">
        <f>H84/2-4.8-0.4</f>
        <v>99.8</v>
      </c>
      <c r="K88" s="20">
        <f>K84</f>
        <v>3</v>
      </c>
    </row>
    <row r="89" spans="1:11" x14ac:dyDescent="0.15">
      <c r="A89" s="60"/>
      <c r="B89" s="20">
        <v>3</v>
      </c>
      <c r="C89" s="20">
        <v>5</v>
      </c>
      <c r="D89" s="20">
        <f>B84/2-0.4-4.8</f>
        <v>103.8</v>
      </c>
      <c r="E89" s="20">
        <f>E84*6</f>
        <v>24</v>
      </c>
      <c r="G89" s="60"/>
      <c r="H89" s="20">
        <v>3</v>
      </c>
      <c r="I89" s="20">
        <v>5</v>
      </c>
      <c r="J89" s="20">
        <f>H84/2-0.4-4.8</f>
        <v>99.8</v>
      </c>
      <c r="K89" s="20">
        <f>K84*6+1</f>
        <v>19</v>
      </c>
    </row>
    <row r="90" spans="1:11" x14ac:dyDescent="0.15">
      <c r="A90" s="20" t="s">
        <v>20</v>
      </c>
      <c r="B90" s="20">
        <v>2</v>
      </c>
      <c r="C90" s="20">
        <v>4</v>
      </c>
      <c r="D90" s="20">
        <f>B84-20*2</f>
        <v>178</v>
      </c>
      <c r="E90" s="20">
        <f>E84*1</f>
        <v>4</v>
      </c>
      <c r="G90" s="20" t="s">
        <v>20</v>
      </c>
      <c r="H90" s="20">
        <v>2</v>
      </c>
      <c r="I90" s="20">
        <v>4</v>
      </c>
      <c r="J90" s="20">
        <f>H84-20*2</f>
        <v>170</v>
      </c>
      <c r="K90" s="20">
        <f>K84*1</f>
        <v>3</v>
      </c>
    </row>
    <row r="91" spans="1:11" x14ac:dyDescent="0.15">
      <c r="A91" s="46" t="s">
        <v>61</v>
      </c>
      <c r="B91" s="46"/>
      <c r="C91" s="46"/>
      <c r="D91" s="46"/>
      <c r="E91" s="46"/>
      <c r="G91" s="46" t="s">
        <v>61</v>
      </c>
      <c r="H91" s="46"/>
      <c r="I91" s="46"/>
      <c r="J91" s="46"/>
      <c r="K91" s="46"/>
    </row>
    <row r="92" spans="1:11" x14ac:dyDescent="0.15">
      <c r="A92" s="20" t="s">
        <v>63</v>
      </c>
      <c r="B92" s="16">
        <v>2</v>
      </c>
      <c r="C92" s="16">
        <v>4</v>
      </c>
      <c r="D92" s="11">
        <v>52.3</v>
      </c>
      <c r="E92" s="16">
        <f>E84*2</f>
        <v>8</v>
      </c>
      <c r="G92" s="20" t="s">
        <v>63</v>
      </c>
      <c r="H92" s="16">
        <v>2</v>
      </c>
      <c r="I92" s="16">
        <v>4</v>
      </c>
      <c r="J92" s="11">
        <v>52.3</v>
      </c>
      <c r="K92" s="16">
        <f>K84*2</f>
        <v>6</v>
      </c>
    </row>
    <row r="93" spans="1:11" x14ac:dyDescent="0.15">
      <c r="A93" s="16" t="s">
        <v>64</v>
      </c>
      <c r="B93" s="16">
        <v>2</v>
      </c>
      <c r="C93" s="16">
        <v>7</v>
      </c>
      <c r="D93" s="11">
        <v>53.8</v>
      </c>
      <c r="E93" s="16">
        <f>E92</f>
        <v>8</v>
      </c>
      <c r="G93" s="16" t="s">
        <v>64</v>
      </c>
      <c r="H93" s="16">
        <v>2</v>
      </c>
      <c r="I93" s="16">
        <v>7</v>
      </c>
      <c r="J93" s="11">
        <v>53.8</v>
      </c>
      <c r="K93" s="16">
        <f>K92</f>
        <v>6</v>
      </c>
    </row>
    <row r="94" spans="1:11" x14ac:dyDescent="0.15">
      <c r="A94" s="16" t="s">
        <v>65</v>
      </c>
      <c r="B94" s="16">
        <v>2</v>
      </c>
      <c r="C94" s="16">
        <v>4</v>
      </c>
      <c r="D94" s="11">
        <v>53.4</v>
      </c>
      <c r="E94" s="16">
        <f>E92</f>
        <v>8</v>
      </c>
      <c r="G94" s="16" t="s">
        <v>65</v>
      </c>
      <c r="H94" s="16">
        <v>2</v>
      </c>
      <c r="I94" s="16">
        <v>4</v>
      </c>
      <c r="J94" s="11">
        <v>53.4</v>
      </c>
      <c r="K94" s="16">
        <f>K92</f>
        <v>6</v>
      </c>
    </row>
    <row r="95" spans="1:11" x14ac:dyDescent="0.15">
      <c r="A95" s="16" t="s">
        <v>66</v>
      </c>
      <c r="B95" s="16">
        <v>2</v>
      </c>
      <c r="C95" s="16">
        <v>4</v>
      </c>
      <c r="D95" s="11">
        <v>52.8</v>
      </c>
      <c r="E95" s="16">
        <f>E92</f>
        <v>8</v>
      </c>
      <c r="G95" s="16" t="s">
        <v>66</v>
      </c>
      <c r="H95" s="16">
        <v>2</v>
      </c>
      <c r="I95" s="16">
        <v>4</v>
      </c>
      <c r="J95" s="11">
        <v>52.8</v>
      </c>
      <c r="K95" s="16">
        <f>K92</f>
        <v>6</v>
      </c>
    </row>
    <row r="96" spans="1:11" x14ac:dyDescent="0.15">
      <c r="A96" s="16" t="s">
        <v>67</v>
      </c>
      <c r="B96" s="16">
        <v>2</v>
      </c>
      <c r="C96" s="16">
        <v>4</v>
      </c>
      <c r="D96" s="11">
        <v>52.3</v>
      </c>
      <c r="E96" s="16">
        <f>E92</f>
        <v>8</v>
      </c>
      <c r="G96" s="16" t="s">
        <v>67</v>
      </c>
      <c r="H96" s="16">
        <v>2</v>
      </c>
      <c r="I96" s="16">
        <v>4</v>
      </c>
      <c r="J96" s="11">
        <v>52.3</v>
      </c>
      <c r="K96" s="16">
        <f>K92</f>
        <v>6</v>
      </c>
    </row>
    <row r="97" spans="1:11" x14ac:dyDescent="0.15">
      <c r="A97" s="16" t="s">
        <v>68</v>
      </c>
      <c r="B97" s="16">
        <v>2</v>
      </c>
      <c r="C97" s="16">
        <v>4</v>
      </c>
      <c r="D97" s="11">
        <v>47.5</v>
      </c>
      <c r="E97" s="16">
        <f>E92</f>
        <v>8</v>
      </c>
      <c r="G97" s="16" t="s">
        <v>68</v>
      </c>
      <c r="H97" s="16">
        <v>2</v>
      </c>
      <c r="I97" s="16">
        <v>4</v>
      </c>
      <c r="J97" s="11">
        <v>47.5</v>
      </c>
      <c r="K97" s="16">
        <f>K92</f>
        <v>6</v>
      </c>
    </row>
    <row r="98" spans="1:11" x14ac:dyDescent="0.15">
      <c r="A98" s="16" t="s">
        <v>69</v>
      </c>
      <c r="B98" s="16">
        <v>2</v>
      </c>
      <c r="C98" s="16">
        <v>4</v>
      </c>
      <c r="D98" s="11">
        <v>48.2</v>
      </c>
      <c r="E98" s="16">
        <f>E92</f>
        <v>8</v>
      </c>
      <c r="G98" s="16" t="s">
        <v>69</v>
      </c>
      <c r="H98" s="16">
        <v>2</v>
      </c>
      <c r="I98" s="16">
        <v>4</v>
      </c>
      <c r="J98" s="11">
        <v>48.2</v>
      </c>
      <c r="K98" s="16">
        <f>K92</f>
        <v>6</v>
      </c>
    </row>
    <row r="109" spans="1:11" x14ac:dyDescent="0.15">
      <c r="A109" s="46" t="s">
        <v>49</v>
      </c>
      <c r="B109" s="46" t="s">
        <v>135</v>
      </c>
      <c r="C109" s="46"/>
      <c r="D109" s="46"/>
      <c r="E109" s="46"/>
      <c r="G109" s="46" t="s">
        <v>49</v>
      </c>
      <c r="H109" s="46" t="s">
        <v>136</v>
      </c>
      <c r="I109" s="46"/>
      <c r="J109" s="46"/>
      <c r="K109" s="46"/>
    </row>
    <row r="110" spans="1:11" x14ac:dyDescent="0.15">
      <c r="A110" s="46"/>
      <c r="B110" s="46"/>
      <c r="C110" s="46"/>
      <c r="D110" s="46"/>
      <c r="E110" s="46"/>
      <c r="G110" s="46"/>
      <c r="H110" s="46"/>
      <c r="I110" s="46"/>
      <c r="J110" s="46"/>
      <c r="K110" s="46"/>
    </row>
    <row r="111" spans="1:11" x14ac:dyDescent="0.15">
      <c r="A111" s="20" t="s">
        <v>52</v>
      </c>
      <c r="B111" s="45">
        <v>201.6</v>
      </c>
      <c r="C111" s="45"/>
      <c r="D111" s="20" t="s">
        <v>53</v>
      </c>
      <c r="E111" s="19">
        <v>1</v>
      </c>
      <c r="G111" s="20" t="s">
        <v>52</v>
      </c>
      <c r="H111" s="45">
        <v>187.9</v>
      </c>
      <c r="I111" s="45"/>
      <c r="J111" s="20" t="s">
        <v>53</v>
      </c>
      <c r="K111" s="19">
        <v>4</v>
      </c>
    </row>
    <row r="112" spans="1:11" x14ac:dyDescent="0.15">
      <c r="A112" s="20" t="s">
        <v>55</v>
      </c>
      <c r="B112" s="46" t="s">
        <v>3</v>
      </c>
      <c r="C112" s="46"/>
      <c r="D112" s="20" t="s">
        <v>4</v>
      </c>
      <c r="E112" s="20" t="s">
        <v>56</v>
      </c>
      <c r="G112" s="20" t="s">
        <v>55</v>
      </c>
      <c r="H112" s="46" t="s">
        <v>3</v>
      </c>
      <c r="I112" s="46"/>
      <c r="J112" s="20" t="s">
        <v>4</v>
      </c>
      <c r="K112" s="20" t="s">
        <v>56</v>
      </c>
    </row>
    <row r="113" spans="1:11" x14ac:dyDescent="0.15">
      <c r="A113" s="20"/>
      <c r="B113" s="20">
        <v>2</v>
      </c>
      <c r="C113" s="20">
        <v>4</v>
      </c>
      <c r="D113" s="20">
        <f>B111-2.6</f>
        <v>199</v>
      </c>
      <c r="E113" s="20">
        <f>E111*7</f>
        <v>7</v>
      </c>
      <c r="G113" s="20"/>
      <c r="H113" s="20">
        <v>2</v>
      </c>
      <c r="I113" s="20">
        <v>4</v>
      </c>
      <c r="J113" s="20">
        <f>H111-2.6</f>
        <v>185.3</v>
      </c>
      <c r="K113" s="20">
        <f>K111*7</f>
        <v>28</v>
      </c>
    </row>
    <row r="114" spans="1:11" x14ac:dyDescent="0.15">
      <c r="A114" s="20"/>
      <c r="B114" s="20">
        <v>2</v>
      </c>
      <c r="C114" s="20">
        <v>7</v>
      </c>
      <c r="D114" s="20">
        <f>B111-2.6</f>
        <v>199</v>
      </c>
      <c r="E114" s="20">
        <f>E111*1</f>
        <v>1</v>
      </c>
      <c r="G114" s="20"/>
      <c r="H114" s="20">
        <v>2</v>
      </c>
      <c r="I114" s="20">
        <v>7</v>
      </c>
      <c r="J114" s="20">
        <f>H111-2.6</f>
        <v>185.3</v>
      </c>
      <c r="K114" s="20">
        <f>K111*1</f>
        <v>4</v>
      </c>
    </row>
    <row r="115" spans="1:11" x14ac:dyDescent="0.15">
      <c r="A115" s="20"/>
      <c r="B115" s="20">
        <v>3</v>
      </c>
      <c r="C115" s="20">
        <v>5</v>
      </c>
      <c r="D115" s="20">
        <f>B111-2.6</f>
        <v>199</v>
      </c>
      <c r="E115" s="20">
        <f>E111*6</f>
        <v>6</v>
      </c>
      <c r="G115" s="20"/>
      <c r="H115" s="20">
        <v>3</v>
      </c>
      <c r="I115" s="20">
        <v>5</v>
      </c>
      <c r="J115" s="20">
        <f>H111-2.6</f>
        <v>185.3</v>
      </c>
      <c r="K115" s="20">
        <f>K111*6</f>
        <v>24</v>
      </c>
    </row>
    <row r="116" spans="1:11" x14ac:dyDescent="0.15">
      <c r="A116" s="20" t="s">
        <v>20</v>
      </c>
      <c r="B116" s="20">
        <v>2</v>
      </c>
      <c r="C116" s="20">
        <v>4</v>
      </c>
      <c r="D116" s="20">
        <f>B111-20.5</f>
        <v>181.1</v>
      </c>
      <c r="E116" s="20">
        <f>E111*1</f>
        <v>1</v>
      </c>
      <c r="G116" s="20" t="s">
        <v>20</v>
      </c>
      <c r="H116" s="20">
        <v>2</v>
      </c>
      <c r="I116" s="20">
        <v>4</v>
      </c>
      <c r="J116" s="20">
        <f>H111-1</f>
        <v>186.9</v>
      </c>
      <c r="K116" s="20">
        <f>K111*1</f>
        <v>4</v>
      </c>
    </row>
    <row r="117" spans="1:11" x14ac:dyDescent="0.15">
      <c r="A117" s="46" t="s">
        <v>61</v>
      </c>
      <c r="B117" s="46"/>
      <c r="C117" s="46"/>
      <c r="D117" s="46"/>
      <c r="E117" s="46"/>
    </row>
    <row r="118" spans="1:11" x14ac:dyDescent="0.15">
      <c r="A118" s="20" t="s">
        <v>63</v>
      </c>
      <c r="B118" s="16">
        <v>2</v>
      </c>
      <c r="C118" s="16">
        <v>4</v>
      </c>
      <c r="D118" s="11">
        <v>52.3</v>
      </c>
      <c r="E118" s="16">
        <v>1</v>
      </c>
      <c r="G118" s="68" t="s">
        <v>145</v>
      </c>
      <c r="H118" s="68"/>
      <c r="I118" s="68"/>
      <c r="J118" s="68"/>
      <c r="K118" s="68"/>
    </row>
    <row r="119" spans="1:11" x14ac:dyDescent="0.15">
      <c r="A119" s="16" t="s">
        <v>64</v>
      </c>
      <c r="B119" s="16">
        <v>2</v>
      </c>
      <c r="C119" s="16">
        <v>7</v>
      </c>
      <c r="D119" s="11">
        <v>53.8</v>
      </c>
      <c r="E119" s="16">
        <v>1</v>
      </c>
      <c r="G119" s="44" t="s">
        <v>2</v>
      </c>
      <c r="H119" s="44"/>
      <c r="I119" s="44"/>
      <c r="J119" s="2">
        <v>45</v>
      </c>
      <c r="K119" s="3">
        <f>1/COS((90-J119)*PI()/180)</f>
        <v>1.4142135623730949</v>
      </c>
    </row>
    <row r="120" spans="1:11" x14ac:dyDescent="0.15">
      <c r="A120" s="16" t="s">
        <v>65</v>
      </c>
      <c r="B120" s="16">
        <v>2</v>
      </c>
      <c r="C120" s="16">
        <v>4</v>
      </c>
      <c r="D120" s="11">
        <v>53.4</v>
      </c>
      <c r="E120" s="16">
        <v>1</v>
      </c>
      <c r="G120" s="2">
        <v>107</v>
      </c>
      <c r="H120" s="44" t="s">
        <v>3</v>
      </c>
      <c r="I120" s="44"/>
      <c r="J120" s="21" t="s">
        <v>4</v>
      </c>
      <c r="K120" s="21" t="s">
        <v>5</v>
      </c>
    </row>
    <row r="121" spans="1:11" x14ac:dyDescent="0.15">
      <c r="A121" s="16" t="s">
        <v>66</v>
      </c>
      <c r="B121" s="16">
        <v>2</v>
      </c>
      <c r="C121" s="16">
        <v>4</v>
      </c>
      <c r="D121" s="11">
        <v>52.8</v>
      </c>
      <c r="E121" s="16">
        <v>1</v>
      </c>
      <c r="G121" s="21" t="s">
        <v>6</v>
      </c>
      <c r="H121" s="21">
        <v>3</v>
      </c>
      <c r="I121" s="21">
        <v>5</v>
      </c>
      <c r="J121" s="5">
        <f>G120-(1*TAN((90-J119)*PI()/180))-1.3-0.4*K119</f>
        <v>104.13431457505077</v>
      </c>
      <c r="K121" s="21">
        <v>5</v>
      </c>
    </row>
    <row r="122" spans="1:11" x14ac:dyDescent="0.15">
      <c r="A122" s="16" t="s">
        <v>67</v>
      </c>
      <c r="B122" s="16">
        <v>2</v>
      </c>
      <c r="C122" s="16">
        <v>4</v>
      </c>
      <c r="D122" s="11">
        <v>52.3</v>
      </c>
      <c r="E122" s="16">
        <v>1</v>
      </c>
      <c r="G122" s="21" t="s">
        <v>7</v>
      </c>
      <c r="H122" s="21">
        <v>2</v>
      </c>
      <c r="I122" s="21">
        <v>4</v>
      </c>
      <c r="J122" s="5">
        <f>G120-(1*TAN((90-J119)*PI()/180))-1.3-0.4*K119</f>
        <v>104.13431457505077</v>
      </c>
      <c r="K122" s="21">
        <f>K121</f>
        <v>5</v>
      </c>
    </row>
    <row r="123" spans="1:11" x14ac:dyDescent="0.15">
      <c r="A123" s="16" t="s">
        <v>68</v>
      </c>
      <c r="B123" s="16">
        <v>2</v>
      </c>
      <c r="C123" s="16">
        <v>4</v>
      </c>
      <c r="D123" s="11">
        <v>47.5</v>
      </c>
      <c r="E123" s="16">
        <v>1</v>
      </c>
      <c r="G123" s="21" t="s">
        <v>8</v>
      </c>
      <c r="H123" s="21">
        <v>2</v>
      </c>
      <c r="I123" s="21">
        <v>7</v>
      </c>
      <c r="J123" s="5">
        <f>G120-(1*TAN((90-J119)*PI()/180))-1.3-0.4*K119</f>
        <v>104.13431457505077</v>
      </c>
      <c r="K123" s="21">
        <f>K121*1</f>
        <v>5</v>
      </c>
    </row>
    <row r="124" spans="1:11" x14ac:dyDescent="0.15">
      <c r="A124" s="16" t="s">
        <v>69</v>
      </c>
      <c r="B124" s="16">
        <v>2</v>
      </c>
      <c r="C124" s="16">
        <v>4</v>
      </c>
      <c r="D124" s="11">
        <v>48.2</v>
      </c>
      <c r="E124" s="16">
        <v>1</v>
      </c>
      <c r="G124" s="21" t="s">
        <v>9</v>
      </c>
      <c r="H124" s="21">
        <v>2</v>
      </c>
      <c r="I124" s="21">
        <v>4</v>
      </c>
      <c r="J124" s="5">
        <f>G120-(10.1*TAN((90-J119)*PI()/180))-1.3-0.4*K119</f>
        <v>95.034314575050772</v>
      </c>
      <c r="K124" s="21">
        <f>K121</f>
        <v>5</v>
      </c>
    </row>
    <row r="125" spans="1:11" x14ac:dyDescent="0.15">
      <c r="G125" s="21" t="s">
        <v>10</v>
      </c>
      <c r="H125" s="21">
        <v>2</v>
      </c>
      <c r="I125" s="21">
        <v>4</v>
      </c>
      <c r="J125" s="5">
        <f>G120-(11.1*TAN((90-J119)*PI()/180))-1.3-0.4*K119</f>
        <v>94.034314575050772</v>
      </c>
      <c r="K125" s="21">
        <f>K121</f>
        <v>5</v>
      </c>
    </row>
    <row r="126" spans="1:11" ht="14.25" customHeight="1" x14ac:dyDescent="0.15">
      <c r="A126" s="49" t="s">
        <v>137</v>
      </c>
      <c r="B126" s="50"/>
      <c r="C126" s="50"/>
      <c r="D126" s="50"/>
      <c r="E126" s="51"/>
      <c r="G126" s="21" t="s">
        <v>11</v>
      </c>
      <c r="H126" s="21">
        <v>2</v>
      </c>
      <c r="I126" s="21">
        <v>4</v>
      </c>
      <c r="J126" s="5">
        <f>G120-(13*TAN((90-J119)*PI()/180))-1.3-0.4*K119</f>
        <v>92.134314575050766</v>
      </c>
      <c r="K126" s="21">
        <f>K121</f>
        <v>5</v>
      </c>
    </row>
    <row r="127" spans="1:11" x14ac:dyDescent="0.15">
      <c r="A127" s="52"/>
      <c r="B127" s="53"/>
      <c r="C127" s="53"/>
      <c r="D127" s="53"/>
      <c r="E127" s="54"/>
      <c r="G127" s="21" t="s">
        <v>12</v>
      </c>
      <c r="H127" s="21">
        <v>2</v>
      </c>
      <c r="I127" s="21">
        <v>4</v>
      </c>
      <c r="J127" s="5">
        <f>G120-(16.4*TAN((90-J119)*PI()/180))-1.3-0.4*K119</f>
        <v>88.734314575050774</v>
      </c>
      <c r="K127" s="21">
        <f>K121</f>
        <v>5</v>
      </c>
    </row>
    <row r="128" spans="1:11" x14ac:dyDescent="0.15">
      <c r="A128" s="44" t="s">
        <v>2</v>
      </c>
      <c r="B128" s="44"/>
      <c r="C128" s="44"/>
      <c r="D128" s="8">
        <v>45</v>
      </c>
      <c r="E128" s="9">
        <f>1/COS((90-D128)*PI()/180)</f>
        <v>1.4142135623730949</v>
      </c>
      <c r="G128" s="21" t="s">
        <v>13</v>
      </c>
      <c r="H128" s="21">
        <v>2</v>
      </c>
      <c r="I128" s="21">
        <v>4</v>
      </c>
      <c r="J128" s="5">
        <f>G120-(15.7*TAN((90-J119)*PI()/180))-1.3-0.4*K119</f>
        <v>89.434314575050763</v>
      </c>
      <c r="K128" s="21">
        <f>K121</f>
        <v>5</v>
      </c>
    </row>
    <row r="129" spans="1:11" x14ac:dyDescent="0.15">
      <c r="A129" s="8">
        <v>175</v>
      </c>
      <c r="B129" s="44" t="s">
        <v>3</v>
      </c>
      <c r="C129" s="44"/>
      <c r="D129" s="21" t="s">
        <v>4</v>
      </c>
      <c r="E129" s="21" t="s">
        <v>5</v>
      </c>
      <c r="G129" s="21" t="s">
        <v>14</v>
      </c>
      <c r="H129" s="21">
        <v>3</v>
      </c>
      <c r="I129" s="21">
        <v>5</v>
      </c>
      <c r="J129" s="5">
        <f>G120-(20*TAN((90-J119)*PI()/180))-1.3-0.4*K119</f>
        <v>85.134314575050766</v>
      </c>
      <c r="K129" s="21">
        <f>K121*1</f>
        <v>5</v>
      </c>
    </row>
    <row r="130" spans="1:11" x14ac:dyDescent="0.15">
      <c r="A130" s="21" t="s">
        <v>6</v>
      </c>
      <c r="B130" s="21">
        <v>3</v>
      </c>
      <c r="C130" s="21">
        <v>5</v>
      </c>
      <c r="D130" s="5">
        <f>A129-(1*TAN((90-D128)*PI()/180))-4.8-0.4*E128</f>
        <v>168.63431457505075</v>
      </c>
      <c r="E130" s="21">
        <v>1</v>
      </c>
      <c r="G130" s="21" t="s">
        <v>15</v>
      </c>
      <c r="H130" s="21">
        <v>3</v>
      </c>
      <c r="I130" s="21">
        <v>5</v>
      </c>
      <c r="J130" s="5">
        <f>G120-(41.4*TAN((90-J119)*PI()/180))-1.3-0.4*K119</f>
        <v>63.734314575050774</v>
      </c>
      <c r="K130" s="21">
        <f>K121*1</f>
        <v>5</v>
      </c>
    </row>
    <row r="131" spans="1:11" x14ac:dyDescent="0.15">
      <c r="A131" s="21" t="s">
        <v>7</v>
      </c>
      <c r="B131" s="21">
        <v>2</v>
      </c>
      <c r="C131" s="21">
        <v>4</v>
      </c>
      <c r="D131" s="5">
        <f>A129-(1*TAN((90-D128)*PI()/180))-22.3-0.4*E128</f>
        <v>151.13431457505075</v>
      </c>
      <c r="E131" s="21">
        <f>E130</f>
        <v>1</v>
      </c>
      <c r="G131" s="21" t="s">
        <v>16</v>
      </c>
      <c r="H131" s="21">
        <v>3</v>
      </c>
      <c r="I131" s="21">
        <v>5</v>
      </c>
      <c r="J131" s="5">
        <f>G120-(61*TAN((90-J119)*PI()/180))-1.3-0.4*K119</f>
        <v>44.134314575050773</v>
      </c>
      <c r="K131" s="21">
        <f>K121</f>
        <v>5</v>
      </c>
    </row>
    <row r="132" spans="1:11" x14ac:dyDescent="0.15">
      <c r="A132" s="21" t="s">
        <v>8</v>
      </c>
      <c r="B132" s="21">
        <v>2</v>
      </c>
      <c r="C132" s="21">
        <v>7</v>
      </c>
      <c r="D132" s="5">
        <f>A129-(1*TAN((90-D128)*PI()/180))-22.3-0.4*E128</f>
        <v>151.13431457505075</v>
      </c>
      <c r="E132" s="21">
        <f>E130*1</f>
        <v>1</v>
      </c>
      <c r="G132" s="21" t="s">
        <v>17</v>
      </c>
      <c r="H132" s="21">
        <v>2</v>
      </c>
      <c r="I132" s="21">
        <v>4</v>
      </c>
      <c r="J132" s="5">
        <f>G120-(63.9*TAN((90-J119)*PI()/180))-1.3-0.4*K119</f>
        <v>41.234314575050774</v>
      </c>
      <c r="K132" s="21">
        <f>K123</f>
        <v>5</v>
      </c>
    </row>
    <row r="133" spans="1:11" x14ac:dyDescent="0.15">
      <c r="A133" s="21" t="s">
        <v>9</v>
      </c>
      <c r="B133" s="21">
        <v>2</v>
      </c>
      <c r="C133" s="21">
        <v>4</v>
      </c>
      <c r="D133" s="5">
        <f>A129-(10.1*TAN((90-D128)*PI()/180))-22.3-0.4*E128</f>
        <v>142.03431457505076</v>
      </c>
      <c r="E133" s="21">
        <f>E130</f>
        <v>1</v>
      </c>
      <c r="G133" s="21" t="s">
        <v>18</v>
      </c>
      <c r="H133" s="21">
        <v>3</v>
      </c>
      <c r="I133" s="21">
        <v>5</v>
      </c>
      <c r="J133" s="5">
        <f>G120-(61*TAN((90-J119)*PI()/180))-1.3-0.4*K119</f>
        <v>44.134314575050773</v>
      </c>
      <c r="K133" s="21">
        <f>K121</f>
        <v>5</v>
      </c>
    </row>
    <row r="134" spans="1:11" x14ac:dyDescent="0.15">
      <c r="A134" s="21" t="s">
        <v>10</v>
      </c>
      <c r="B134" s="21">
        <v>2</v>
      </c>
      <c r="C134" s="21">
        <v>4</v>
      </c>
      <c r="D134" s="5">
        <f>A129-(11.1*TAN((90-D128)*PI()/180))-22.3-0.4*E128</f>
        <v>141.03431457505076</v>
      </c>
      <c r="E134" s="21">
        <f>E130</f>
        <v>1</v>
      </c>
      <c r="G134" s="21" t="s">
        <v>19</v>
      </c>
      <c r="H134" s="21">
        <v>3</v>
      </c>
      <c r="I134" s="21">
        <v>5</v>
      </c>
      <c r="J134" s="5">
        <f>G120-(59.8*TAN((90-J119)*PI()/180))-1.3-0.4*K119</f>
        <v>45.334314575050776</v>
      </c>
      <c r="K134" s="21">
        <f>K121</f>
        <v>5</v>
      </c>
    </row>
    <row r="135" spans="1:11" x14ac:dyDescent="0.15">
      <c r="A135" s="21" t="s">
        <v>11</v>
      </c>
      <c r="B135" s="21">
        <v>2</v>
      </c>
      <c r="C135" s="21">
        <v>4</v>
      </c>
      <c r="D135" s="5">
        <f>A129-(13*TAN((90-D128)*PI()/180))-22.3-0.4*E128</f>
        <v>139.13431457505075</v>
      </c>
      <c r="E135" s="21">
        <f>E130</f>
        <v>1</v>
      </c>
      <c r="G135" s="21" t="s">
        <v>20</v>
      </c>
      <c r="H135" s="21">
        <v>2</v>
      </c>
      <c r="I135" s="21">
        <v>4</v>
      </c>
      <c r="J135" s="5">
        <f>G120-(66.2*TAN((90-J119)*PI()/180))-0.5-0.4*K119</f>
        <v>39.734314575050774</v>
      </c>
      <c r="K135" s="21">
        <f>K124</f>
        <v>5</v>
      </c>
    </row>
    <row r="136" spans="1:11" x14ac:dyDescent="0.15">
      <c r="A136" s="21" t="s">
        <v>12</v>
      </c>
      <c r="B136" s="21">
        <v>2</v>
      </c>
      <c r="C136" s="21">
        <v>4</v>
      </c>
      <c r="D136" s="5">
        <f>A129-(16.4*TAN((90-D128)*PI()/180))-22.3-0.4*E128</f>
        <v>135.73431457505075</v>
      </c>
      <c r="E136" s="21">
        <f>E130</f>
        <v>1</v>
      </c>
    </row>
    <row r="137" spans="1:11" x14ac:dyDescent="0.15">
      <c r="A137" s="21" t="s">
        <v>13</v>
      </c>
      <c r="B137" s="21">
        <v>2</v>
      </c>
      <c r="C137" s="21">
        <v>4</v>
      </c>
      <c r="D137" s="5">
        <f>A129-(15.7*TAN((90-D128)*PI()/180))-22.3-0.4*E128</f>
        <v>136.43431457505076</v>
      </c>
      <c r="E137" s="21">
        <f>E130</f>
        <v>1</v>
      </c>
      <c r="G137" s="46" t="s">
        <v>49</v>
      </c>
      <c r="H137" s="46" t="s">
        <v>138</v>
      </c>
      <c r="I137" s="46"/>
      <c r="J137" s="46"/>
      <c r="K137" s="46"/>
    </row>
    <row r="138" spans="1:11" x14ac:dyDescent="0.15">
      <c r="A138" s="21" t="s">
        <v>14</v>
      </c>
      <c r="B138" s="21">
        <v>3</v>
      </c>
      <c r="C138" s="21">
        <v>5</v>
      </c>
      <c r="D138" s="5">
        <f>A129-(20*TAN((90-D128)*PI()/180))-4.8-0.4*E128</f>
        <v>149.63431457505075</v>
      </c>
      <c r="E138" s="21">
        <f>E130*1</f>
        <v>1</v>
      </c>
      <c r="G138" s="46"/>
      <c r="H138" s="46"/>
      <c r="I138" s="46"/>
      <c r="J138" s="46"/>
      <c r="K138" s="46"/>
    </row>
    <row r="139" spans="1:11" x14ac:dyDescent="0.15">
      <c r="A139" s="21" t="s">
        <v>15</v>
      </c>
      <c r="B139" s="21">
        <v>3</v>
      </c>
      <c r="C139" s="21">
        <v>5</v>
      </c>
      <c r="D139" s="5">
        <f>A129-(41.4*TAN((90-D128)*PI()/180))-4.8-0.4*E128</f>
        <v>128.23431457505077</v>
      </c>
      <c r="E139" s="21">
        <f>E130*1</f>
        <v>1</v>
      </c>
      <c r="G139" s="20" t="s">
        <v>52</v>
      </c>
      <c r="H139" s="45">
        <v>200.8</v>
      </c>
      <c r="I139" s="45"/>
      <c r="J139" s="20" t="s">
        <v>53</v>
      </c>
      <c r="K139" s="19">
        <v>2</v>
      </c>
    </row>
    <row r="140" spans="1:11" x14ac:dyDescent="0.15">
      <c r="A140" s="21" t="s">
        <v>16</v>
      </c>
      <c r="B140" s="21">
        <v>3</v>
      </c>
      <c r="C140" s="21">
        <v>5</v>
      </c>
      <c r="D140" s="5">
        <f>A129-(61*TAN((90-D128)*PI()/180))-4.8-0.4*E128</f>
        <v>108.63431457505077</v>
      </c>
      <c r="E140" s="21">
        <f>E130</f>
        <v>1</v>
      </c>
      <c r="G140" s="20" t="s">
        <v>55</v>
      </c>
      <c r="H140" s="46" t="s">
        <v>3</v>
      </c>
      <c r="I140" s="46"/>
      <c r="J140" s="20" t="s">
        <v>4</v>
      </c>
      <c r="K140" s="20" t="s">
        <v>56</v>
      </c>
    </row>
    <row r="141" spans="1:11" x14ac:dyDescent="0.15">
      <c r="A141" s="21" t="s">
        <v>17</v>
      </c>
      <c r="B141" s="21">
        <v>2</v>
      </c>
      <c r="C141" s="21">
        <v>4</v>
      </c>
      <c r="D141" s="5">
        <f>A129-(63.9*TAN((90-D128)*PI()/180))-4.8-0.4*E128</f>
        <v>105.73431457505077</v>
      </c>
      <c r="E141" s="21">
        <f>E132</f>
        <v>1</v>
      </c>
      <c r="G141" s="20"/>
      <c r="H141" s="20">
        <v>2</v>
      </c>
      <c r="I141" s="20">
        <v>4</v>
      </c>
      <c r="J141" s="20">
        <f>H139-2.6</f>
        <v>198.20000000000002</v>
      </c>
      <c r="K141" s="20">
        <f>K139*7</f>
        <v>14</v>
      </c>
    </row>
    <row r="142" spans="1:11" x14ac:dyDescent="0.15">
      <c r="A142" s="21" t="s">
        <v>18</v>
      </c>
      <c r="B142" s="21">
        <v>3</v>
      </c>
      <c r="C142" s="21">
        <v>5</v>
      </c>
      <c r="D142" s="5">
        <f>A129-(61*TAN((90-D128)*PI()/180))-4.8-0.4*E128</f>
        <v>108.63431457505077</v>
      </c>
      <c r="E142" s="21">
        <f>E130</f>
        <v>1</v>
      </c>
      <c r="G142" s="20"/>
      <c r="H142" s="20">
        <v>2</v>
      </c>
      <c r="I142" s="20">
        <v>7</v>
      </c>
      <c r="J142" s="20">
        <f>H139-2.6</f>
        <v>198.20000000000002</v>
      </c>
      <c r="K142" s="20">
        <f>K139*1</f>
        <v>2</v>
      </c>
    </row>
    <row r="143" spans="1:11" x14ac:dyDescent="0.15">
      <c r="A143" s="21" t="s">
        <v>19</v>
      </c>
      <c r="B143" s="21">
        <v>3</v>
      </c>
      <c r="C143" s="21">
        <v>5</v>
      </c>
      <c r="D143" s="5">
        <f>A129-(59.8*TAN((90-D128)*PI()/180))-4.8-0.4*E128</f>
        <v>109.83431457505078</v>
      </c>
      <c r="E143" s="21">
        <f>E130</f>
        <v>1</v>
      </c>
      <c r="G143" s="20"/>
      <c r="H143" s="20">
        <v>3</v>
      </c>
      <c r="I143" s="20">
        <v>5</v>
      </c>
      <c r="J143" s="20">
        <f>H139-2.6</f>
        <v>198.20000000000002</v>
      </c>
      <c r="K143" s="20">
        <f>K139*6</f>
        <v>12</v>
      </c>
    </row>
    <row r="144" spans="1:11" x14ac:dyDescent="0.15">
      <c r="A144" s="21" t="s">
        <v>20</v>
      </c>
      <c r="B144" s="21">
        <v>2</v>
      </c>
      <c r="C144" s="21">
        <v>4</v>
      </c>
      <c r="D144" s="5">
        <f>A129-(66.2*TAN((90-D128)*PI()/180))-0.5-0.4*E128</f>
        <v>107.73431457505077</v>
      </c>
      <c r="E144" s="21">
        <f>E133</f>
        <v>1</v>
      </c>
      <c r="G144" s="20" t="s">
        <v>20</v>
      </c>
      <c r="H144" s="20">
        <v>2</v>
      </c>
      <c r="I144" s="20">
        <v>4</v>
      </c>
      <c r="J144" s="20">
        <f>H139-20.5</f>
        <v>180.3</v>
      </c>
      <c r="K144" s="20">
        <f>K139*1</f>
        <v>2</v>
      </c>
    </row>
    <row r="145" spans="1:11" x14ac:dyDescent="0.15">
      <c r="A145" s="21" t="s">
        <v>75</v>
      </c>
      <c r="B145" s="21">
        <v>3</v>
      </c>
      <c r="C145" s="21">
        <v>5</v>
      </c>
      <c r="D145" s="20">
        <v>16.7</v>
      </c>
      <c r="E145" s="20">
        <f>E130</f>
        <v>1</v>
      </c>
      <c r="G145" s="46" t="s">
        <v>61</v>
      </c>
      <c r="H145" s="46"/>
      <c r="I145" s="46"/>
      <c r="J145" s="46"/>
      <c r="K145" s="46"/>
    </row>
    <row r="146" spans="1:11" x14ac:dyDescent="0.15">
      <c r="G146" s="20" t="s">
        <v>63</v>
      </c>
      <c r="H146" s="16">
        <v>2</v>
      </c>
      <c r="I146" s="16">
        <v>4</v>
      </c>
      <c r="J146" s="11">
        <v>52.3</v>
      </c>
      <c r="K146" s="16">
        <v>2</v>
      </c>
    </row>
    <row r="147" spans="1:11" x14ac:dyDescent="0.15">
      <c r="A147" s="46" t="s">
        <v>49</v>
      </c>
      <c r="B147" s="61" t="s">
        <v>139</v>
      </c>
      <c r="C147" s="62"/>
      <c r="D147" s="62"/>
      <c r="E147" s="63"/>
      <c r="G147" s="16" t="s">
        <v>64</v>
      </c>
      <c r="H147" s="16">
        <v>2</v>
      </c>
      <c r="I147" s="16">
        <v>7</v>
      </c>
      <c r="J147" s="11">
        <v>53.8</v>
      </c>
      <c r="K147" s="16">
        <v>2</v>
      </c>
    </row>
    <row r="148" spans="1:11" x14ac:dyDescent="0.15">
      <c r="A148" s="46"/>
      <c r="B148" s="64"/>
      <c r="C148" s="65"/>
      <c r="D148" s="65"/>
      <c r="E148" s="66"/>
      <c r="G148" s="16" t="s">
        <v>65</v>
      </c>
      <c r="H148" s="16">
        <v>2</v>
      </c>
      <c r="I148" s="16">
        <v>4</v>
      </c>
      <c r="J148" s="11">
        <v>53.4</v>
      </c>
      <c r="K148" s="16">
        <v>2</v>
      </c>
    </row>
    <row r="149" spans="1:11" x14ac:dyDescent="0.15">
      <c r="A149" s="20" t="s">
        <v>52</v>
      </c>
      <c r="B149" s="45">
        <v>186.9</v>
      </c>
      <c r="C149" s="45"/>
      <c r="D149" s="20" t="s">
        <v>53</v>
      </c>
      <c r="E149" s="19">
        <v>5</v>
      </c>
      <c r="G149" s="16" t="s">
        <v>66</v>
      </c>
      <c r="H149" s="16">
        <v>2</v>
      </c>
      <c r="I149" s="16">
        <v>4</v>
      </c>
      <c r="J149" s="11">
        <v>52.8</v>
      </c>
      <c r="K149" s="16">
        <v>2</v>
      </c>
    </row>
    <row r="150" spans="1:11" x14ac:dyDescent="0.15">
      <c r="A150" s="20" t="s">
        <v>55</v>
      </c>
      <c r="B150" s="46" t="s">
        <v>3</v>
      </c>
      <c r="C150" s="46"/>
      <c r="D150" s="20" t="s">
        <v>4</v>
      </c>
      <c r="E150" s="20" t="s">
        <v>56</v>
      </c>
      <c r="G150" s="16" t="s">
        <v>67</v>
      </c>
      <c r="H150" s="16">
        <v>2</v>
      </c>
      <c r="I150" s="16">
        <v>4</v>
      </c>
      <c r="J150" s="11">
        <v>52.3</v>
      </c>
      <c r="K150" s="16">
        <v>2</v>
      </c>
    </row>
    <row r="151" spans="1:11" x14ac:dyDescent="0.15">
      <c r="A151" s="20"/>
      <c r="B151" s="20">
        <v>2</v>
      </c>
      <c r="C151" s="20">
        <v>4</v>
      </c>
      <c r="D151" s="20">
        <f>B149-2.6</f>
        <v>184.3</v>
      </c>
      <c r="E151" s="20">
        <f>E149*7</f>
        <v>35</v>
      </c>
      <c r="G151" s="16" t="s">
        <v>68</v>
      </c>
      <c r="H151" s="16">
        <v>2</v>
      </c>
      <c r="I151" s="16">
        <v>4</v>
      </c>
      <c r="J151" s="11">
        <v>47.5</v>
      </c>
      <c r="K151" s="16">
        <v>2</v>
      </c>
    </row>
    <row r="152" spans="1:11" x14ac:dyDescent="0.15">
      <c r="A152" s="20"/>
      <c r="B152" s="20">
        <v>2</v>
      </c>
      <c r="C152" s="20">
        <v>7</v>
      </c>
      <c r="D152" s="20">
        <f>B149-2.6</f>
        <v>184.3</v>
      </c>
      <c r="E152" s="20">
        <f>E149*1</f>
        <v>5</v>
      </c>
      <c r="G152" s="16" t="s">
        <v>69</v>
      </c>
      <c r="H152" s="16">
        <v>2</v>
      </c>
      <c r="I152" s="16">
        <v>4</v>
      </c>
      <c r="J152" s="11">
        <v>48.2</v>
      </c>
      <c r="K152" s="16">
        <v>2</v>
      </c>
    </row>
    <row r="153" spans="1:11" x14ac:dyDescent="0.15">
      <c r="A153" s="20"/>
      <c r="B153" s="20">
        <v>3</v>
      </c>
      <c r="C153" s="20">
        <v>5</v>
      </c>
      <c r="D153" s="20">
        <f>B149-2.6</f>
        <v>184.3</v>
      </c>
      <c r="E153" s="20">
        <f>E149*6</f>
        <v>30</v>
      </c>
    </row>
    <row r="154" spans="1:11" x14ac:dyDescent="0.15">
      <c r="A154" s="20" t="s">
        <v>20</v>
      </c>
      <c r="B154" s="20">
        <v>2</v>
      </c>
      <c r="C154" s="20">
        <v>4</v>
      </c>
      <c r="D154" s="20">
        <f>B149-1</f>
        <v>185.9</v>
      </c>
      <c r="E154" s="20">
        <f>E149*1</f>
        <v>5</v>
      </c>
    </row>
    <row r="163" spans="1:11" x14ac:dyDescent="0.15">
      <c r="A163" s="46" t="s">
        <v>49</v>
      </c>
      <c r="B163" s="46" t="s">
        <v>141</v>
      </c>
      <c r="C163" s="46"/>
      <c r="D163" s="46"/>
      <c r="E163" s="46"/>
      <c r="G163" s="46" t="s">
        <v>49</v>
      </c>
      <c r="H163" s="46" t="s">
        <v>140</v>
      </c>
      <c r="I163" s="46"/>
      <c r="J163" s="46"/>
      <c r="K163" s="46"/>
    </row>
    <row r="164" spans="1:11" x14ac:dyDescent="0.15">
      <c r="A164" s="46"/>
      <c r="B164" s="46"/>
      <c r="C164" s="46"/>
      <c r="D164" s="46"/>
      <c r="E164" s="46"/>
      <c r="G164" s="46"/>
      <c r="H164" s="46"/>
      <c r="I164" s="46"/>
      <c r="J164" s="46"/>
      <c r="K164" s="46"/>
    </row>
    <row r="165" spans="1:11" x14ac:dyDescent="0.15">
      <c r="A165" s="20" t="s">
        <v>52</v>
      </c>
      <c r="B165" s="45">
        <v>156.30000000000001</v>
      </c>
      <c r="C165" s="45"/>
      <c r="D165" s="20" t="s">
        <v>53</v>
      </c>
      <c r="E165" s="19">
        <v>2</v>
      </c>
      <c r="G165" s="20" t="s">
        <v>52</v>
      </c>
      <c r="H165" s="58">
        <v>156.30000000000001</v>
      </c>
      <c r="I165" s="58"/>
      <c r="J165" s="20" t="s">
        <v>53</v>
      </c>
      <c r="K165" s="22">
        <v>2</v>
      </c>
    </row>
    <row r="166" spans="1:11" x14ac:dyDescent="0.15">
      <c r="A166" s="20" t="s">
        <v>55</v>
      </c>
      <c r="B166" s="46" t="s">
        <v>3</v>
      </c>
      <c r="C166" s="46"/>
      <c r="D166" s="20" t="s">
        <v>4</v>
      </c>
      <c r="E166" s="20" t="s">
        <v>56</v>
      </c>
      <c r="G166" s="20" t="s">
        <v>55</v>
      </c>
      <c r="H166" s="46" t="s">
        <v>3</v>
      </c>
      <c r="I166" s="46"/>
      <c r="J166" s="20" t="s">
        <v>4</v>
      </c>
      <c r="K166" s="20" t="s">
        <v>56</v>
      </c>
    </row>
    <row r="167" spans="1:11" x14ac:dyDescent="0.15">
      <c r="A167" s="20"/>
      <c r="B167" s="20">
        <v>2</v>
      </c>
      <c r="C167" s="20">
        <v>4</v>
      </c>
      <c r="D167" s="20">
        <f>B165-2.6</f>
        <v>153.70000000000002</v>
      </c>
      <c r="E167" s="20">
        <f>E165*7</f>
        <v>14</v>
      </c>
      <c r="G167" s="59" t="s">
        <v>70</v>
      </c>
      <c r="H167" s="20">
        <v>2</v>
      </c>
      <c r="I167" s="20">
        <v>4</v>
      </c>
      <c r="J167" s="20">
        <f>H165-2.6</f>
        <v>153.70000000000002</v>
      </c>
      <c r="K167" s="20">
        <f>K165*6</f>
        <v>12</v>
      </c>
    </row>
    <row r="168" spans="1:11" x14ac:dyDescent="0.15">
      <c r="A168" s="20"/>
      <c r="B168" s="20">
        <v>2</v>
      </c>
      <c r="C168" s="20">
        <v>7</v>
      </c>
      <c r="D168" s="20">
        <f>B165-2.6</f>
        <v>153.70000000000002</v>
      </c>
      <c r="E168" s="20">
        <f>E165*1</f>
        <v>2</v>
      </c>
      <c r="G168" s="60"/>
      <c r="H168" s="20">
        <v>2</v>
      </c>
      <c r="I168" s="20">
        <v>7</v>
      </c>
      <c r="J168" s="20">
        <f>H165-2.6</f>
        <v>153.70000000000002</v>
      </c>
      <c r="K168" s="20">
        <f>K165*1</f>
        <v>2</v>
      </c>
    </row>
    <row r="169" spans="1:11" x14ac:dyDescent="0.15">
      <c r="A169" s="20"/>
      <c r="B169" s="20">
        <v>3</v>
      </c>
      <c r="C169" s="20">
        <v>5</v>
      </c>
      <c r="D169" s="20">
        <f>B165-2.6</f>
        <v>153.70000000000002</v>
      </c>
      <c r="E169" s="20">
        <f>E165*6</f>
        <v>12</v>
      </c>
      <c r="G169" s="59" t="s">
        <v>79</v>
      </c>
      <c r="H169" s="20">
        <v>2</v>
      </c>
      <c r="I169" s="20">
        <v>4</v>
      </c>
      <c r="J169" s="20">
        <f>H165-1.3-4.8</f>
        <v>150.19999999999999</v>
      </c>
      <c r="K169" s="20">
        <f>K165</f>
        <v>2</v>
      </c>
    </row>
    <row r="170" spans="1:11" x14ac:dyDescent="0.15">
      <c r="A170" s="20" t="s">
        <v>20</v>
      </c>
      <c r="B170" s="20">
        <v>2</v>
      </c>
      <c r="C170" s="20">
        <v>4</v>
      </c>
      <c r="D170" s="20">
        <f>B165-20.5</f>
        <v>135.80000000000001</v>
      </c>
      <c r="E170" s="20">
        <f>E165*1</f>
        <v>2</v>
      </c>
      <c r="G170" s="60"/>
      <c r="H170" s="20">
        <v>3</v>
      </c>
      <c r="I170" s="20">
        <v>5</v>
      </c>
      <c r="J170" s="20">
        <f>H165-4.8-1.3</f>
        <v>150.19999999999999</v>
      </c>
      <c r="K170" s="20">
        <f>K165*6</f>
        <v>12</v>
      </c>
    </row>
    <row r="171" spans="1:11" x14ac:dyDescent="0.15">
      <c r="A171" s="46" t="s">
        <v>61</v>
      </c>
      <c r="B171" s="46"/>
      <c r="C171" s="46"/>
      <c r="D171" s="46"/>
      <c r="E171" s="46"/>
      <c r="G171" s="20" t="s">
        <v>20</v>
      </c>
      <c r="H171" s="20">
        <v>2</v>
      </c>
      <c r="I171" s="20">
        <v>4</v>
      </c>
      <c r="J171" s="20">
        <f>H165-20.5</f>
        <v>135.80000000000001</v>
      </c>
      <c r="K171" s="20">
        <f>K165*1</f>
        <v>2</v>
      </c>
    </row>
    <row r="172" spans="1:11" x14ac:dyDescent="0.15">
      <c r="A172" s="20" t="s">
        <v>63</v>
      </c>
      <c r="B172" s="16">
        <v>2</v>
      </c>
      <c r="C172" s="16">
        <v>4</v>
      </c>
      <c r="D172" s="11">
        <v>52.3</v>
      </c>
      <c r="E172" s="16">
        <v>1</v>
      </c>
      <c r="G172" s="46" t="s">
        <v>61</v>
      </c>
      <c r="H172" s="46"/>
      <c r="I172" s="46"/>
      <c r="J172" s="46"/>
      <c r="K172" s="46"/>
    </row>
    <row r="173" spans="1:11" x14ac:dyDescent="0.15">
      <c r="A173" s="16" t="s">
        <v>64</v>
      </c>
      <c r="B173" s="16">
        <v>2</v>
      </c>
      <c r="C173" s="16">
        <v>7</v>
      </c>
      <c r="D173" s="11">
        <v>53.8</v>
      </c>
      <c r="E173" s="16">
        <v>1</v>
      </c>
      <c r="G173" s="20" t="s">
        <v>63</v>
      </c>
      <c r="H173" s="16">
        <v>2</v>
      </c>
      <c r="I173" s="16">
        <v>4</v>
      </c>
      <c r="J173" s="11">
        <v>52.3</v>
      </c>
      <c r="K173" s="16">
        <v>1</v>
      </c>
    </row>
    <row r="174" spans="1:11" x14ac:dyDescent="0.15">
      <c r="A174" s="16" t="s">
        <v>65</v>
      </c>
      <c r="B174" s="16">
        <v>2</v>
      </c>
      <c r="C174" s="16">
        <v>4</v>
      </c>
      <c r="D174" s="11">
        <v>53.4</v>
      </c>
      <c r="E174" s="16">
        <v>1</v>
      </c>
      <c r="G174" s="16" t="s">
        <v>64</v>
      </c>
      <c r="H174" s="16">
        <v>2</v>
      </c>
      <c r="I174" s="16">
        <v>7</v>
      </c>
      <c r="J174" s="11">
        <v>53.8</v>
      </c>
      <c r="K174" s="16">
        <v>1</v>
      </c>
    </row>
    <row r="175" spans="1:11" x14ac:dyDescent="0.15">
      <c r="A175" s="16" t="s">
        <v>66</v>
      </c>
      <c r="B175" s="16">
        <v>2</v>
      </c>
      <c r="C175" s="16">
        <v>4</v>
      </c>
      <c r="D175" s="11">
        <v>52.8</v>
      </c>
      <c r="E175" s="16">
        <v>1</v>
      </c>
      <c r="G175" s="16" t="s">
        <v>65</v>
      </c>
      <c r="H175" s="16">
        <v>2</v>
      </c>
      <c r="I175" s="16">
        <v>4</v>
      </c>
      <c r="J175" s="11">
        <v>53.4</v>
      </c>
      <c r="K175" s="16">
        <v>1</v>
      </c>
    </row>
    <row r="176" spans="1:11" x14ac:dyDescent="0.15">
      <c r="A176" s="16" t="s">
        <v>67</v>
      </c>
      <c r="B176" s="16">
        <v>2</v>
      </c>
      <c r="C176" s="16">
        <v>4</v>
      </c>
      <c r="D176" s="11">
        <v>52.3</v>
      </c>
      <c r="E176" s="16">
        <v>1</v>
      </c>
      <c r="G176" s="16" t="s">
        <v>66</v>
      </c>
      <c r="H176" s="16">
        <v>2</v>
      </c>
      <c r="I176" s="16">
        <v>4</v>
      </c>
      <c r="J176" s="11">
        <v>52.8</v>
      </c>
      <c r="K176" s="16">
        <v>1</v>
      </c>
    </row>
    <row r="177" spans="1:11" x14ac:dyDescent="0.15">
      <c r="A177" s="16" t="s">
        <v>68</v>
      </c>
      <c r="B177" s="16">
        <v>2</v>
      </c>
      <c r="C177" s="16">
        <v>4</v>
      </c>
      <c r="D177" s="11">
        <v>47.5</v>
      </c>
      <c r="E177" s="16">
        <v>1</v>
      </c>
      <c r="G177" s="16" t="s">
        <v>67</v>
      </c>
      <c r="H177" s="16">
        <v>2</v>
      </c>
      <c r="I177" s="16">
        <v>4</v>
      </c>
      <c r="J177" s="11">
        <v>52.3</v>
      </c>
      <c r="K177" s="16">
        <v>1</v>
      </c>
    </row>
    <row r="178" spans="1:11" x14ac:dyDescent="0.15">
      <c r="A178" s="16" t="s">
        <v>69</v>
      </c>
      <c r="B178" s="16">
        <v>2</v>
      </c>
      <c r="C178" s="16">
        <v>4</v>
      </c>
      <c r="D178" s="11">
        <v>48.2</v>
      </c>
      <c r="E178" s="16">
        <v>1</v>
      </c>
      <c r="G178" s="16" t="s">
        <v>68</v>
      </c>
      <c r="H178" s="16">
        <v>2</v>
      </c>
      <c r="I178" s="16">
        <v>4</v>
      </c>
      <c r="J178" s="11">
        <v>47.5</v>
      </c>
      <c r="K178" s="16">
        <v>1</v>
      </c>
    </row>
    <row r="179" spans="1:11" x14ac:dyDescent="0.15">
      <c r="G179" s="16" t="s">
        <v>69</v>
      </c>
      <c r="H179" s="16">
        <v>2</v>
      </c>
      <c r="I179" s="16">
        <v>4</v>
      </c>
      <c r="J179" s="11">
        <v>48.2</v>
      </c>
      <c r="K179" s="16">
        <v>1</v>
      </c>
    </row>
    <row r="180" spans="1:11" x14ac:dyDescent="0.15">
      <c r="A180" s="46" t="s">
        <v>49</v>
      </c>
      <c r="B180" s="46" t="s">
        <v>143</v>
      </c>
      <c r="C180" s="46"/>
      <c r="D180" s="46"/>
      <c r="E180" s="46"/>
    </row>
    <row r="181" spans="1:11" x14ac:dyDescent="0.15">
      <c r="A181" s="46"/>
      <c r="B181" s="46"/>
      <c r="C181" s="46"/>
      <c r="D181" s="46"/>
      <c r="E181" s="46"/>
      <c r="G181" s="46" t="s">
        <v>49</v>
      </c>
      <c r="H181" s="46" t="s">
        <v>142</v>
      </c>
      <c r="I181" s="46"/>
      <c r="J181" s="46"/>
      <c r="K181" s="46"/>
    </row>
    <row r="182" spans="1:11" x14ac:dyDescent="0.15">
      <c r="A182" s="20" t="s">
        <v>52</v>
      </c>
      <c r="B182" s="45">
        <v>166.9</v>
      </c>
      <c r="C182" s="45"/>
      <c r="D182" s="20" t="s">
        <v>53</v>
      </c>
      <c r="E182" s="19">
        <v>2</v>
      </c>
      <c r="G182" s="46"/>
      <c r="H182" s="46"/>
      <c r="I182" s="46"/>
      <c r="J182" s="46"/>
      <c r="K182" s="46"/>
    </row>
    <row r="183" spans="1:11" x14ac:dyDescent="0.15">
      <c r="A183" s="20" t="s">
        <v>55</v>
      </c>
      <c r="B183" s="46" t="s">
        <v>3</v>
      </c>
      <c r="C183" s="46"/>
      <c r="D183" s="20" t="s">
        <v>4</v>
      </c>
      <c r="E183" s="20" t="s">
        <v>56</v>
      </c>
      <c r="G183" s="20" t="s">
        <v>52</v>
      </c>
      <c r="H183" s="45">
        <v>167.1</v>
      </c>
      <c r="I183" s="45"/>
      <c r="J183" s="20" t="s">
        <v>53</v>
      </c>
      <c r="K183" s="19">
        <v>1</v>
      </c>
    </row>
    <row r="184" spans="1:11" x14ac:dyDescent="0.15">
      <c r="A184" s="20"/>
      <c r="B184" s="20">
        <v>2</v>
      </c>
      <c r="C184" s="20">
        <v>4</v>
      </c>
      <c r="D184" s="20">
        <f>B182-2.6</f>
        <v>164.3</v>
      </c>
      <c r="E184" s="20">
        <f>E182*7</f>
        <v>14</v>
      </c>
      <c r="G184" s="20" t="s">
        <v>55</v>
      </c>
      <c r="H184" s="46" t="s">
        <v>3</v>
      </c>
      <c r="I184" s="46"/>
      <c r="J184" s="20" t="s">
        <v>4</v>
      </c>
      <c r="K184" s="20" t="s">
        <v>56</v>
      </c>
    </row>
    <row r="185" spans="1:11" x14ac:dyDescent="0.15">
      <c r="A185" s="20"/>
      <c r="B185" s="20">
        <v>2</v>
      </c>
      <c r="C185" s="20">
        <v>7</v>
      </c>
      <c r="D185" s="20">
        <f>B182-2.6</f>
        <v>164.3</v>
      </c>
      <c r="E185" s="20">
        <f>E182*1</f>
        <v>2</v>
      </c>
      <c r="G185" s="20"/>
      <c r="H185" s="20">
        <v>2</v>
      </c>
      <c r="I185" s="20">
        <v>4</v>
      </c>
      <c r="J185" s="20">
        <f>H183-2.6</f>
        <v>164.5</v>
      </c>
      <c r="K185" s="20">
        <f>K183*7</f>
        <v>7</v>
      </c>
    </row>
    <row r="186" spans="1:11" x14ac:dyDescent="0.15">
      <c r="A186" s="20"/>
      <c r="B186" s="20">
        <v>3</v>
      </c>
      <c r="C186" s="20">
        <v>5</v>
      </c>
      <c r="D186" s="20">
        <f>B182-2.6</f>
        <v>164.3</v>
      </c>
      <c r="E186" s="20">
        <f>E182*6</f>
        <v>12</v>
      </c>
      <c r="G186" s="20"/>
      <c r="H186" s="20">
        <v>2</v>
      </c>
      <c r="I186" s="20">
        <v>7</v>
      </c>
      <c r="J186" s="20">
        <f>H183-2.6</f>
        <v>164.5</v>
      </c>
      <c r="K186" s="20">
        <f>K183*1</f>
        <v>1</v>
      </c>
    </row>
    <row r="187" spans="1:11" x14ac:dyDescent="0.15">
      <c r="A187" s="20" t="s">
        <v>20</v>
      </c>
      <c r="B187" s="20">
        <v>2</v>
      </c>
      <c r="C187" s="20">
        <v>4</v>
      </c>
      <c r="D187" s="20">
        <f>B182-1</f>
        <v>165.9</v>
      </c>
      <c r="E187" s="20">
        <f>E182*1</f>
        <v>2</v>
      </c>
      <c r="G187" s="20"/>
      <c r="H187" s="20">
        <v>3</v>
      </c>
      <c r="I187" s="20">
        <v>5</v>
      </c>
      <c r="J187" s="20">
        <f>H183-2.6</f>
        <v>164.5</v>
      </c>
      <c r="K187" s="20">
        <f>K183*6</f>
        <v>6</v>
      </c>
    </row>
    <row r="188" spans="1:11" x14ac:dyDescent="0.15">
      <c r="G188" s="20" t="s">
        <v>20</v>
      </c>
      <c r="H188" s="20">
        <v>2</v>
      </c>
      <c r="I188" s="20">
        <v>4</v>
      </c>
      <c r="J188" s="20">
        <f>H183-1</f>
        <v>166.1</v>
      </c>
      <c r="K188" s="20">
        <f>K183*1</f>
        <v>1</v>
      </c>
    </row>
    <row r="189" spans="1:11" x14ac:dyDescent="0.15">
      <c r="A189" s="46" t="s">
        <v>49</v>
      </c>
      <c r="B189" s="46" t="s">
        <v>144</v>
      </c>
      <c r="C189" s="46"/>
      <c r="D189" s="46"/>
      <c r="E189" s="46"/>
    </row>
    <row r="190" spans="1:11" x14ac:dyDescent="0.15">
      <c r="A190" s="46"/>
      <c r="B190" s="46"/>
      <c r="C190" s="46"/>
      <c r="D190" s="46"/>
      <c r="E190" s="46"/>
      <c r="G190" s="46" t="s">
        <v>49</v>
      </c>
      <c r="H190" s="46" t="s">
        <v>146</v>
      </c>
      <c r="I190" s="46"/>
      <c r="J190" s="46"/>
      <c r="K190" s="46"/>
    </row>
    <row r="191" spans="1:11" x14ac:dyDescent="0.15">
      <c r="A191" s="20" t="s">
        <v>52</v>
      </c>
      <c r="B191" s="58">
        <v>113</v>
      </c>
      <c r="C191" s="58"/>
      <c r="D191" s="20" t="s">
        <v>53</v>
      </c>
      <c r="E191" s="22">
        <v>2</v>
      </c>
      <c r="G191" s="46"/>
      <c r="H191" s="46"/>
      <c r="I191" s="46"/>
      <c r="J191" s="46"/>
      <c r="K191" s="46"/>
    </row>
    <row r="192" spans="1:11" x14ac:dyDescent="0.15">
      <c r="A192" s="20" t="s">
        <v>55</v>
      </c>
      <c r="B192" s="46" t="s">
        <v>3</v>
      </c>
      <c r="C192" s="46"/>
      <c r="D192" s="20" t="s">
        <v>4</v>
      </c>
      <c r="E192" s="20" t="s">
        <v>56</v>
      </c>
      <c r="G192" s="20" t="s">
        <v>52</v>
      </c>
      <c r="H192" s="45">
        <v>197.8</v>
      </c>
      <c r="I192" s="45"/>
      <c r="J192" s="20" t="s">
        <v>53</v>
      </c>
      <c r="K192" s="19">
        <v>1</v>
      </c>
    </row>
    <row r="193" spans="1:11" x14ac:dyDescent="0.15">
      <c r="A193" s="59" t="s">
        <v>70</v>
      </c>
      <c r="B193" s="20">
        <v>2</v>
      </c>
      <c r="C193" s="20">
        <v>4</v>
      </c>
      <c r="D193" s="20">
        <f>B191-2.6</f>
        <v>110.4</v>
      </c>
      <c r="E193" s="20">
        <f>E191*6</f>
        <v>12</v>
      </c>
      <c r="G193" s="20" t="s">
        <v>55</v>
      </c>
      <c r="H193" s="46" t="s">
        <v>3</v>
      </c>
      <c r="I193" s="46"/>
      <c r="J193" s="20" t="s">
        <v>4</v>
      </c>
      <c r="K193" s="20" t="s">
        <v>56</v>
      </c>
    </row>
    <row r="194" spans="1:11" x14ac:dyDescent="0.15">
      <c r="A194" s="60"/>
      <c r="B194" s="20">
        <v>2</v>
      </c>
      <c r="C194" s="20">
        <v>7</v>
      </c>
      <c r="D194" s="20">
        <f>B191-2.6</f>
        <v>110.4</v>
      </c>
      <c r="E194" s="20">
        <f>E191*1</f>
        <v>2</v>
      </c>
      <c r="G194" s="20"/>
      <c r="H194" s="20">
        <v>2</v>
      </c>
      <c r="I194" s="20">
        <v>4</v>
      </c>
      <c r="J194" s="20">
        <f>H192-2.6</f>
        <v>195.20000000000002</v>
      </c>
      <c r="K194" s="20">
        <f>K192*7</f>
        <v>7</v>
      </c>
    </row>
    <row r="195" spans="1:11" x14ac:dyDescent="0.15">
      <c r="A195" s="59" t="s">
        <v>79</v>
      </c>
      <c r="B195" s="20">
        <v>2</v>
      </c>
      <c r="C195" s="20">
        <v>4</v>
      </c>
      <c r="D195" s="20">
        <f>B191-1.3-4.8</f>
        <v>106.9</v>
      </c>
      <c r="E195" s="20">
        <f>E191</f>
        <v>2</v>
      </c>
      <c r="G195" s="20"/>
      <c r="H195" s="20">
        <v>2</v>
      </c>
      <c r="I195" s="20">
        <v>7</v>
      </c>
      <c r="J195" s="20">
        <f>H192-2.6</f>
        <v>195.20000000000002</v>
      </c>
      <c r="K195" s="20">
        <f>K192*1</f>
        <v>1</v>
      </c>
    </row>
    <row r="196" spans="1:11" x14ac:dyDescent="0.15">
      <c r="A196" s="60"/>
      <c r="B196" s="20">
        <v>3</v>
      </c>
      <c r="C196" s="20">
        <v>5</v>
      </c>
      <c r="D196" s="20">
        <f>B191-4.8-1.3</f>
        <v>106.9</v>
      </c>
      <c r="E196" s="20">
        <f>E191*6</f>
        <v>12</v>
      </c>
      <c r="G196" s="20"/>
      <c r="H196" s="20">
        <v>3</v>
      </c>
      <c r="I196" s="20">
        <v>5</v>
      </c>
      <c r="J196" s="20">
        <f>H192-2.6</f>
        <v>195.20000000000002</v>
      </c>
      <c r="K196" s="20">
        <f>K192*6</f>
        <v>6</v>
      </c>
    </row>
    <row r="197" spans="1:11" x14ac:dyDescent="0.15">
      <c r="A197" s="20" t="s">
        <v>20</v>
      </c>
      <c r="B197" s="20">
        <v>2</v>
      </c>
      <c r="C197" s="20">
        <v>4</v>
      </c>
      <c r="D197" s="20">
        <f>B191-1</f>
        <v>112</v>
      </c>
      <c r="E197" s="20">
        <f>E191*1</f>
        <v>2</v>
      </c>
      <c r="G197" s="20" t="s">
        <v>20</v>
      </c>
      <c r="H197" s="20">
        <v>2</v>
      </c>
      <c r="I197" s="20">
        <v>4</v>
      </c>
      <c r="J197" s="20">
        <f>H192-1</f>
        <v>196.8</v>
      </c>
      <c r="K197" s="20">
        <f>K192*1</f>
        <v>1</v>
      </c>
    </row>
    <row r="199" spans="1:11" x14ac:dyDescent="0.15">
      <c r="A199" s="46" t="s">
        <v>49</v>
      </c>
      <c r="B199" s="46" t="s">
        <v>147</v>
      </c>
      <c r="C199" s="46"/>
      <c r="D199" s="46"/>
      <c r="E199" s="46"/>
      <c r="G199" s="46" t="s">
        <v>49</v>
      </c>
      <c r="H199" s="46" t="s">
        <v>148</v>
      </c>
      <c r="I199" s="46"/>
      <c r="J199" s="46"/>
      <c r="K199" s="46"/>
    </row>
    <row r="200" spans="1:11" x14ac:dyDescent="0.15">
      <c r="A200" s="46"/>
      <c r="B200" s="46"/>
      <c r="C200" s="46"/>
      <c r="D200" s="46"/>
      <c r="E200" s="46"/>
      <c r="G200" s="46"/>
      <c r="H200" s="46"/>
      <c r="I200" s="46"/>
      <c r="J200" s="46"/>
      <c r="K200" s="46"/>
    </row>
    <row r="201" spans="1:11" x14ac:dyDescent="0.15">
      <c r="A201" s="20" t="s">
        <v>52</v>
      </c>
      <c r="B201" s="45">
        <v>199.5</v>
      </c>
      <c r="C201" s="45"/>
      <c r="D201" s="20" t="s">
        <v>53</v>
      </c>
      <c r="E201" s="19">
        <v>1</v>
      </c>
      <c r="G201" s="20" t="s">
        <v>52</v>
      </c>
      <c r="H201" s="45">
        <v>186.3</v>
      </c>
      <c r="I201" s="45"/>
      <c r="J201" s="20" t="s">
        <v>53</v>
      </c>
      <c r="K201" s="19">
        <v>1</v>
      </c>
    </row>
    <row r="202" spans="1:11" x14ac:dyDescent="0.15">
      <c r="A202" s="20" t="s">
        <v>55</v>
      </c>
      <c r="B202" s="46" t="s">
        <v>3</v>
      </c>
      <c r="C202" s="46"/>
      <c r="D202" s="20" t="s">
        <v>4</v>
      </c>
      <c r="E202" s="20" t="s">
        <v>56</v>
      </c>
      <c r="G202" s="20" t="s">
        <v>55</v>
      </c>
      <c r="H202" s="46" t="s">
        <v>3</v>
      </c>
      <c r="I202" s="46"/>
      <c r="J202" s="20" t="s">
        <v>4</v>
      </c>
      <c r="K202" s="20" t="s">
        <v>56</v>
      </c>
    </row>
    <row r="203" spans="1:11" x14ac:dyDescent="0.15">
      <c r="A203" s="20"/>
      <c r="B203" s="20">
        <v>2</v>
      </c>
      <c r="C203" s="20">
        <v>4</v>
      </c>
      <c r="D203" s="20">
        <f>B201-2.6</f>
        <v>196.9</v>
      </c>
      <c r="E203" s="20">
        <f>E201*7</f>
        <v>7</v>
      </c>
      <c r="G203" s="20"/>
      <c r="H203" s="20">
        <v>2</v>
      </c>
      <c r="I203" s="20">
        <v>4</v>
      </c>
      <c r="J203" s="20">
        <f>H201-2.6</f>
        <v>183.70000000000002</v>
      </c>
      <c r="K203" s="20">
        <f>K201*7</f>
        <v>7</v>
      </c>
    </row>
    <row r="204" spans="1:11" x14ac:dyDescent="0.15">
      <c r="A204" s="20"/>
      <c r="B204" s="20">
        <v>2</v>
      </c>
      <c r="C204" s="20">
        <v>7</v>
      </c>
      <c r="D204" s="20">
        <f>B201-2.6</f>
        <v>196.9</v>
      </c>
      <c r="E204" s="20">
        <f>E201*1</f>
        <v>1</v>
      </c>
      <c r="G204" s="20"/>
      <c r="H204" s="20">
        <v>2</v>
      </c>
      <c r="I204" s="20">
        <v>7</v>
      </c>
      <c r="J204" s="20">
        <f>H201-2.6</f>
        <v>183.70000000000002</v>
      </c>
      <c r="K204" s="20">
        <f>K201*1</f>
        <v>1</v>
      </c>
    </row>
    <row r="205" spans="1:11" x14ac:dyDescent="0.15">
      <c r="A205" s="20"/>
      <c r="B205" s="20">
        <v>3</v>
      </c>
      <c r="C205" s="20">
        <v>5</v>
      </c>
      <c r="D205" s="20">
        <f>B201-2.6</f>
        <v>196.9</v>
      </c>
      <c r="E205" s="20">
        <f>E201*6</f>
        <v>6</v>
      </c>
      <c r="G205" s="20"/>
      <c r="H205" s="20">
        <v>3</v>
      </c>
      <c r="I205" s="20">
        <v>5</v>
      </c>
      <c r="J205" s="20">
        <f>H201-2.6</f>
        <v>183.70000000000002</v>
      </c>
      <c r="K205" s="20">
        <f>K201*6</f>
        <v>6</v>
      </c>
    </row>
    <row r="206" spans="1:11" x14ac:dyDescent="0.15">
      <c r="A206" s="20" t="s">
        <v>20</v>
      </c>
      <c r="B206" s="20">
        <v>2</v>
      </c>
      <c r="C206" s="20">
        <v>4</v>
      </c>
      <c r="D206" s="20">
        <f>B201-1</f>
        <v>198.5</v>
      </c>
      <c r="E206" s="20">
        <f>E201*1</f>
        <v>1</v>
      </c>
      <c r="G206" s="20" t="s">
        <v>20</v>
      </c>
      <c r="H206" s="20">
        <v>2</v>
      </c>
      <c r="I206" s="20">
        <v>4</v>
      </c>
      <c r="J206" s="20">
        <f>H201-20.5</f>
        <v>165.8</v>
      </c>
      <c r="K206" s="20">
        <f>K201*1</f>
        <v>1</v>
      </c>
    </row>
    <row r="207" spans="1:11" x14ac:dyDescent="0.15">
      <c r="G207" s="46" t="s">
        <v>61</v>
      </c>
      <c r="H207" s="46"/>
      <c r="I207" s="46"/>
      <c r="J207" s="46"/>
      <c r="K207" s="46"/>
    </row>
    <row r="208" spans="1:11" x14ac:dyDescent="0.15">
      <c r="G208" s="20" t="s">
        <v>63</v>
      </c>
      <c r="H208" s="16">
        <v>2</v>
      </c>
      <c r="I208" s="16">
        <v>4</v>
      </c>
      <c r="J208" s="11">
        <v>52.3</v>
      </c>
      <c r="K208" s="16">
        <v>1</v>
      </c>
    </row>
    <row r="209" spans="1:11" x14ac:dyDescent="0.15">
      <c r="G209" s="16" t="s">
        <v>64</v>
      </c>
      <c r="H209" s="16">
        <v>2</v>
      </c>
      <c r="I209" s="16">
        <v>7</v>
      </c>
      <c r="J209" s="11">
        <v>53.8</v>
      </c>
      <c r="K209" s="16">
        <v>1</v>
      </c>
    </row>
    <row r="210" spans="1:11" x14ac:dyDescent="0.15">
      <c r="G210" s="16" t="s">
        <v>65</v>
      </c>
      <c r="H210" s="16">
        <v>2</v>
      </c>
      <c r="I210" s="16">
        <v>4</v>
      </c>
      <c r="J210" s="11">
        <v>53.4</v>
      </c>
      <c r="K210" s="16">
        <v>1</v>
      </c>
    </row>
    <row r="211" spans="1:11" x14ac:dyDescent="0.15">
      <c r="G211" s="16" t="s">
        <v>66</v>
      </c>
      <c r="H211" s="16">
        <v>2</v>
      </c>
      <c r="I211" s="16">
        <v>4</v>
      </c>
      <c r="J211" s="11">
        <v>52.8</v>
      </c>
      <c r="K211" s="16">
        <v>1</v>
      </c>
    </row>
    <row r="212" spans="1:11" x14ac:dyDescent="0.15">
      <c r="G212" s="16" t="s">
        <v>67</v>
      </c>
      <c r="H212" s="16">
        <v>2</v>
      </c>
      <c r="I212" s="16">
        <v>4</v>
      </c>
      <c r="J212" s="11">
        <v>52.3</v>
      </c>
      <c r="K212" s="16">
        <v>1</v>
      </c>
    </row>
    <row r="213" spans="1:11" x14ac:dyDescent="0.15">
      <c r="G213" s="16" t="s">
        <v>68</v>
      </c>
      <c r="H213" s="16">
        <v>2</v>
      </c>
      <c r="I213" s="16">
        <v>4</v>
      </c>
      <c r="J213" s="11">
        <v>47.5</v>
      </c>
      <c r="K213" s="16">
        <v>1</v>
      </c>
    </row>
    <row r="214" spans="1:11" x14ac:dyDescent="0.15">
      <c r="G214" s="16" t="s">
        <v>69</v>
      </c>
      <c r="H214" s="16">
        <v>2</v>
      </c>
      <c r="I214" s="16">
        <v>4</v>
      </c>
      <c r="J214" s="11">
        <v>48.2</v>
      </c>
      <c r="K214" s="16">
        <v>1</v>
      </c>
    </row>
    <row r="217" spans="1:11" x14ac:dyDescent="0.15">
      <c r="A217" s="46" t="s">
        <v>49</v>
      </c>
      <c r="B217" s="46" t="s">
        <v>149</v>
      </c>
      <c r="C217" s="46"/>
      <c r="D217" s="46"/>
      <c r="E217" s="46"/>
    </row>
    <row r="218" spans="1:11" x14ac:dyDescent="0.15">
      <c r="A218" s="46"/>
      <c r="B218" s="46"/>
      <c r="C218" s="46"/>
      <c r="D218" s="46"/>
      <c r="E218" s="46"/>
    </row>
    <row r="219" spans="1:11" x14ac:dyDescent="0.15">
      <c r="A219" s="20" t="s">
        <v>52</v>
      </c>
      <c r="B219" s="45">
        <v>187.5</v>
      </c>
      <c r="C219" s="45"/>
      <c r="D219" s="20" t="s">
        <v>53</v>
      </c>
      <c r="E219" s="19">
        <v>1</v>
      </c>
    </row>
    <row r="220" spans="1:11" x14ac:dyDescent="0.15">
      <c r="A220" s="20" t="s">
        <v>55</v>
      </c>
      <c r="B220" s="46" t="s">
        <v>3</v>
      </c>
      <c r="C220" s="46"/>
      <c r="D220" s="20" t="s">
        <v>4</v>
      </c>
      <c r="E220" s="20" t="s">
        <v>56</v>
      </c>
    </row>
    <row r="221" spans="1:11" x14ac:dyDescent="0.15">
      <c r="A221" s="20"/>
      <c r="B221" s="20">
        <v>2</v>
      </c>
      <c r="C221" s="20">
        <v>4</v>
      </c>
      <c r="D221" s="20">
        <f>B219-2.6</f>
        <v>184.9</v>
      </c>
      <c r="E221" s="20">
        <f>E219*7</f>
        <v>7</v>
      </c>
    </row>
    <row r="222" spans="1:11" x14ac:dyDescent="0.15">
      <c r="A222" s="20"/>
      <c r="B222" s="20">
        <v>2</v>
      </c>
      <c r="C222" s="20">
        <v>7</v>
      </c>
      <c r="D222" s="20">
        <f>B219-2.6</f>
        <v>184.9</v>
      </c>
      <c r="E222" s="20">
        <f>E219*1</f>
        <v>1</v>
      </c>
    </row>
    <row r="223" spans="1:11" x14ac:dyDescent="0.15">
      <c r="A223" s="20"/>
      <c r="B223" s="20">
        <v>3</v>
      </c>
      <c r="C223" s="20">
        <v>5</v>
      </c>
      <c r="D223" s="20">
        <f>B219-2.6</f>
        <v>184.9</v>
      </c>
      <c r="E223" s="20">
        <f>E219*6</f>
        <v>6</v>
      </c>
    </row>
    <row r="224" spans="1:11" x14ac:dyDescent="0.15">
      <c r="A224" s="20" t="s">
        <v>20</v>
      </c>
      <c r="B224" s="20">
        <v>2</v>
      </c>
      <c r="C224" s="20">
        <v>4</v>
      </c>
      <c r="D224" s="20">
        <f>B219-20.5</f>
        <v>167</v>
      </c>
      <c r="E224" s="20">
        <f>E219*1</f>
        <v>1</v>
      </c>
    </row>
    <row r="225" spans="1:5" x14ac:dyDescent="0.15">
      <c r="A225" s="46" t="s">
        <v>61</v>
      </c>
      <c r="B225" s="46"/>
      <c r="C225" s="46"/>
      <c r="D225" s="46"/>
      <c r="E225" s="46"/>
    </row>
    <row r="226" spans="1:5" x14ac:dyDescent="0.15">
      <c r="A226" s="20" t="s">
        <v>63</v>
      </c>
      <c r="B226" s="16">
        <v>2</v>
      </c>
      <c r="C226" s="16">
        <v>4</v>
      </c>
      <c r="D226" s="11">
        <v>52.3</v>
      </c>
      <c r="E226" s="16">
        <v>1</v>
      </c>
    </row>
    <row r="227" spans="1:5" x14ac:dyDescent="0.15">
      <c r="A227" s="16" t="s">
        <v>64</v>
      </c>
      <c r="B227" s="16">
        <v>2</v>
      </c>
      <c r="C227" s="16">
        <v>7</v>
      </c>
      <c r="D227" s="11">
        <v>53.8</v>
      </c>
      <c r="E227" s="16">
        <v>1</v>
      </c>
    </row>
    <row r="228" spans="1:5" x14ac:dyDescent="0.15">
      <c r="A228" s="16" t="s">
        <v>65</v>
      </c>
      <c r="B228" s="16">
        <v>2</v>
      </c>
      <c r="C228" s="16">
        <v>4</v>
      </c>
      <c r="D228" s="11">
        <v>53.4</v>
      </c>
      <c r="E228" s="16">
        <v>1</v>
      </c>
    </row>
    <row r="229" spans="1:5" x14ac:dyDescent="0.15">
      <c r="A229" s="16" t="s">
        <v>66</v>
      </c>
      <c r="B229" s="16">
        <v>2</v>
      </c>
      <c r="C229" s="16">
        <v>4</v>
      </c>
      <c r="D229" s="11">
        <v>52.8</v>
      </c>
      <c r="E229" s="16">
        <v>1</v>
      </c>
    </row>
    <row r="230" spans="1:5" x14ac:dyDescent="0.15">
      <c r="A230" s="16" t="s">
        <v>67</v>
      </c>
      <c r="B230" s="16">
        <v>2</v>
      </c>
      <c r="C230" s="16">
        <v>4</v>
      </c>
      <c r="D230" s="11">
        <v>52.3</v>
      </c>
      <c r="E230" s="16">
        <v>1</v>
      </c>
    </row>
    <row r="231" spans="1:5" x14ac:dyDescent="0.15">
      <c r="A231" s="16" t="s">
        <v>68</v>
      </c>
      <c r="B231" s="16">
        <v>2</v>
      </c>
      <c r="C231" s="16">
        <v>4</v>
      </c>
      <c r="D231" s="11">
        <v>47.5</v>
      </c>
      <c r="E231" s="16">
        <v>1</v>
      </c>
    </row>
    <row r="232" spans="1:5" x14ac:dyDescent="0.15">
      <c r="A232" s="16" t="s">
        <v>69</v>
      </c>
      <c r="B232" s="16">
        <v>2</v>
      </c>
      <c r="C232" s="16">
        <v>4</v>
      </c>
      <c r="D232" s="11">
        <v>48.2</v>
      </c>
      <c r="E232" s="16">
        <v>1</v>
      </c>
    </row>
  </sheetData>
  <mergeCells count="165">
    <mergeCell ref="B219:C219"/>
    <mergeCell ref="B220:C220"/>
    <mergeCell ref="A225:E225"/>
    <mergeCell ref="H199:K200"/>
    <mergeCell ref="H201:I201"/>
    <mergeCell ref="H202:I202"/>
    <mergeCell ref="G207:K207"/>
    <mergeCell ref="A217:A218"/>
    <mergeCell ref="B217:E218"/>
    <mergeCell ref="A199:A200"/>
    <mergeCell ref="B199:E200"/>
    <mergeCell ref="B201:C201"/>
    <mergeCell ref="B202:C202"/>
    <mergeCell ref="G199:G200"/>
    <mergeCell ref="A193:A194"/>
    <mergeCell ref="A195:A196"/>
    <mergeCell ref="G190:G191"/>
    <mergeCell ref="H190:K191"/>
    <mergeCell ref="H192:I192"/>
    <mergeCell ref="H193:I193"/>
    <mergeCell ref="H184:I184"/>
    <mergeCell ref="A189:A190"/>
    <mergeCell ref="B189:E190"/>
    <mergeCell ref="B191:C191"/>
    <mergeCell ref="B192:C192"/>
    <mergeCell ref="G172:K172"/>
    <mergeCell ref="A180:A181"/>
    <mergeCell ref="B180:E181"/>
    <mergeCell ref="B182:C182"/>
    <mergeCell ref="B183:C183"/>
    <mergeCell ref="G181:G182"/>
    <mergeCell ref="H181:K182"/>
    <mergeCell ref="H183:I183"/>
    <mergeCell ref="B165:C165"/>
    <mergeCell ref="B166:C166"/>
    <mergeCell ref="A171:E171"/>
    <mergeCell ref="G163:G164"/>
    <mergeCell ref="H163:K164"/>
    <mergeCell ref="H165:I165"/>
    <mergeCell ref="H166:I166"/>
    <mergeCell ref="G167:G168"/>
    <mergeCell ref="G169:G170"/>
    <mergeCell ref="A147:A148"/>
    <mergeCell ref="B147:E148"/>
    <mergeCell ref="B149:C149"/>
    <mergeCell ref="B150:C150"/>
    <mergeCell ref="A163:A164"/>
    <mergeCell ref="B163:E164"/>
    <mergeCell ref="G137:G138"/>
    <mergeCell ref="H137:K138"/>
    <mergeCell ref="H139:I139"/>
    <mergeCell ref="H140:I140"/>
    <mergeCell ref="G145:K145"/>
    <mergeCell ref="G119:I119"/>
    <mergeCell ref="H120:I120"/>
    <mergeCell ref="A126:E127"/>
    <mergeCell ref="A128:C128"/>
    <mergeCell ref="B129:C129"/>
    <mergeCell ref="G109:G110"/>
    <mergeCell ref="H109:K110"/>
    <mergeCell ref="H111:I111"/>
    <mergeCell ref="H112:I112"/>
    <mergeCell ref="G118:K118"/>
    <mergeCell ref="A109:A110"/>
    <mergeCell ref="B109:E110"/>
    <mergeCell ref="B111:C111"/>
    <mergeCell ref="B112:C112"/>
    <mergeCell ref="A117:E117"/>
    <mergeCell ref="H84:I84"/>
    <mergeCell ref="H85:I85"/>
    <mergeCell ref="G86:G87"/>
    <mergeCell ref="G88:G89"/>
    <mergeCell ref="G91:K91"/>
    <mergeCell ref="G77:G78"/>
    <mergeCell ref="H77:K78"/>
    <mergeCell ref="H79:I79"/>
    <mergeCell ref="H80:I80"/>
    <mergeCell ref="G81:G83"/>
    <mergeCell ref="B84:C84"/>
    <mergeCell ref="B85:C85"/>
    <mergeCell ref="A86:A87"/>
    <mergeCell ref="A88:A89"/>
    <mergeCell ref="A91:E91"/>
    <mergeCell ref="A77:A78"/>
    <mergeCell ref="B77:E78"/>
    <mergeCell ref="B79:C79"/>
    <mergeCell ref="B80:C80"/>
    <mergeCell ref="A81:A83"/>
    <mergeCell ref="A68:E68"/>
    <mergeCell ref="G55:G56"/>
    <mergeCell ref="H55:K56"/>
    <mergeCell ref="H57:I57"/>
    <mergeCell ref="H58:I58"/>
    <mergeCell ref="G59:G61"/>
    <mergeCell ref="H62:I62"/>
    <mergeCell ref="H63:I63"/>
    <mergeCell ref="G68:K68"/>
    <mergeCell ref="A59:A61"/>
    <mergeCell ref="B62:C62"/>
    <mergeCell ref="B63:C63"/>
    <mergeCell ref="A39:E39"/>
    <mergeCell ref="A55:A56"/>
    <mergeCell ref="B55:E56"/>
    <mergeCell ref="B57:C57"/>
    <mergeCell ref="B58:C58"/>
    <mergeCell ref="H8:I8"/>
    <mergeCell ref="H9:I9"/>
    <mergeCell ref="G20:K20"/>
    <mergeCell ref="A20:E20"/>
    <mergeCell ref="G36:K36"/>
    <mergeCell ref="G31:G32"/>
    <mergeCell ref="G33:G34"/>
    <mergeCell ref="A1:K2"/>
    <mergeCell ref="G22:G23"/>
    <mergeCell ref="H22:K23"/>
    <mergeCell ref="H29:I29"/>
    <mergeCell ref="H30:I30"/>
    <mergeCell ref="A3:A4"/>
    <mergeCell ref="B3:E4"/>
    <mergeCell ref="B8:C8"/>
    <mergeCell ref="B9:C9"/>
    <mergeCell ref="G3:G4"/>
    <mergeCell ref="H3:K4"/>
    <mergeCell ref="H5:I5"/>
    <mergeCell ref="H6:I6"/>
    <mergeCell ref="B24:C24"/>
    <mergeCell ref="H24:I24"/>
    <mergeCell ref="H25:I25"/>
    <mergeCell ref="G26:G28"/>
    <mergeCell ref="A22:A23"/>
    <mergeCell ref="B22:E23"/>
    <mergeCell ref="B25:C25"/>
    <mergeCell ref="B27:C27"/>
    <mergeCell ref="B28:C28"/>
    <mergeCell ref="B5:C5"/>
    <mergeCell ref="B6:C6"/>
    <mergeCell ref="M1:W2"/>
    <mergeCell ref="M3:M4"/>
    <mergeCell ref="N3:Q4"/>
    <mergeCell ref="S3:S4"/>
    <mergeCell ref="T3:W4"/>
    <mergeCell ref="N5:O5"/>
    <mergeCell ref="T5:U5"/>
    <mergeCell ref="N6:O6"/>
    <mergeCell ref="T6:U6"/>
    <mergeCell ref="N8:O8"/>
    <mergeCell ref="T8:U8"/>
    <mergeCell ref="N9:O9"/>
    <mergeCell ref="T9:U9"/>
    <mergeCell ref="M20:Q20"/>
    <mergeCell ref="S20:W20"/>
    <mergeCell ref="M22:M23"/>
    <mergeCell ref="N22:Q23"/>
    <mergeCell ref="S22:S23"/>
    <mergeCell ref="T22:W23"/>
    <mergeCell ref="M39:Q39"/>
    <mergeCell ref="T24:U24"/>
    <mergeCell ref="T25:U25"/>
    <mergeCell ref="T27:U27"/>
    <mergeCell ref="T28:U28"/>
    <mergeCell ref="S39:W39"/>
    <mergeCell ref="N24:O24"/>
    <mergeCell ref="N25:O25"/>
    <mergeCell ref="N27:O27"/>
    <mergeCell ref="N28:O28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Normal="100" workbookViewId="0">
      <selection activeCell="G29" sqref="G29"/>
    </sheetView>
  </sheetViews>
  <sheetFormatPr defaultRowHeight="13.5" x14ac:dyDescent="0.15"/>
  <cols>
    <col min="1" max="1" width="12.5" customWidth="1"/>
    <col min="2" max="3" width="4.875" customWidth="1"/>
    <col min="4" max="5" width="9.875" customWidth="1"/>
    <col min="6" max="6" width="3.125" customWidth="1"/>
    <col min="7" max="7" width="9.875" customWidth="1"/>
    <col min="8" max="9" width="4.875" customWidth="1"/>
    <col min="10" max="11" width="9.875" customWidth="1"/>
  </cols>
  <sheetData>
    <row r="1" spans="1:11" x14ac:dyDescent="0.15">
      <c r="A1" s="47" t="s">
        <v>155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x14ac:dyDescent="0.15">
      <c r="A3" s="46" t="s">
        <v>49</v>
      </c>
      <c r="B3" s="46" t="s">
        <v>156</v>
      </c>
      <c r="C3" s="46"/>
      <c r="D3" s="46"/>
      <c r="E3" s="46"/>
      <c r="G3" s="74" t="s">
        <v>164</v>
      </c>
      <c r="H3" s="68"/>
      <c r="I3" s="68"/>
      <c r="J3" s="68"/>
      <c r="K3" s="68"/>
    </row>
    <row r="4" spans="1:11" x14ac:dyDescent="0.15">
      <c r="A4" s="46"/>
      <c r="B4" s="46"/>
      <c r="C4" s="46"/>
      <c r="D4" s="46"/>
      <c r="E4" s="46"/>
      <c r="G4" s="44" t="s">
        <v>163</v>
      </c>
      <c r="H4" s="44"/>
      <c r="I4" s="44"/>
      <c r="J4" s="2">
        <v>59.65</v>
      </c>
      <c r="K4" s="3">
        <f>1/COS((90-J4)*PI()/180)</f>
        <v>1.1588090587244233</v>
      </c>
    </row>
    <row r="5" spans="1:11" x14ac:dyDescent="0.15">
      <c r="A5" s="30" t="s">
        <v>52</v>
      </c>
      <c r="B5" s="45">
        <v>127.4</v>
      </c>
      <c r="C5" s="45"/>
      <c r="D5" s="30" t="s">
        <v>53</v>
      </c>
      <c r="E5" s="29">
        <v>1</v>
      </c>
      <c r="G5" s="2">
        <v>75</v>
      </c>
      <c r="H5" s="44" t="s">
        <v>3</v>
      </c>
      <c r="I5" s="44"/>
      <c r="J5" s="31" t="s">
        <v>4</v>
      </c>
      <c r="K5" s="31" t="s">
        <v>5</v>
      </c>
    </row>
    <row r="6" spans="1:11" x14ac:dyDescent="0.15">
      <c r="A6" s="30" t="s">
        <v>55</v>
      </c>
      <c r="B6" s="46" t="s">
        <v>3</v>
      </c>
      <c r="C6" s="46"/>
      <c r="D6" s="30" t="s">
        <v>4</v>
      </c>
      <c r="E6" s="30" t="s">
        <v>56</v>
      </c>
      <c r="G6" s="31" t="s">
        <v>6</v>
      </c>
      <c r="H6" s="31">
        <v>3</v>
      </c>
      <c r="I6" s="31">
        <v>5</v>
      </c>
      <c r="J6" s="5">
        <f>G5-(0.5*TAN((90-J4)*PI()/180))-1.3-0.4*K4</f>
        <v>72.943714342350333</v>
      </c>
      <c r="K6" s="31">
        <v>2</v>
      </c>
    </row>
    <row r="7" spans="1:11" x14ac:dyDescent="0.15">
      <c r="A7" s="30"/>
      <c r="B7" s="30">
        <v>2</v>
      </c>
      <c r="C7" s="30">
        <v>4</v>
      </c>
      <c r="D7" s="30">
        <f>B5-2.6</f>
        <v>124.80000000000001</v>
      </c>
      <c r="E7" s="30">
        <f>E5*4</f>
        <v>4</v>
      </c>
      <c r="G7" s="31" t="s">
        <v>7</v>
      </c>
      <c r="H7" s="31">
        <v>2</v>
      </c>
      <c r="I7" s="31">
        <v>4</v>
      </c>
      <c r="J7" s="5">
        <f>G5-(0.5*TAN((90-J4)*PI()/180))-1.3-0.4*K4</f>
        <v>72.943714342350333</v>
      </c>
      <c r="K7" s="31">
        <f>K6</f>
        <v>2</v>
      </c>
    </row>
    <row r="8" spans="1:11" x14ac:dyDescent="0.15">
      <c r="A8" s="30"/>
      <c r="B8" s="30">
        <v>3</v>
      </c>
      <c r="C8" s="30">
        <v>5</v>
      </c>
      <c r="D8" s="30">
        <f>B5-2.6</f>
        <v>124.80000000000001</v>
      </c>
      <c r="E8" s="30">
        <f>E5*6</f>
        <v>6</v>
      </c>
      <c r="G8" s="31" t="s">
        <v>8</v>
      </c>
      <c r="H8" s="31">
        <v>3</v>
      </c>
      <c r="I8" s="31">
        <v>5</v>
      </c>
      <c r="J8" s="5">
        <f>G5-(0.5*TAN((90-J4)*PI()/180))-1.3-0.4*K4</f>
        <v>72.943714342350333</v>
      </c>
      <c r="K8" s="31">
        <f>K6*1</f>
        <v>2</v>
      </c>
    </row>
    <row r="9" spans="1:11" x14ac:dyDescent="0.15">
      <c r="A9" s="30" t="s">
        <v>20</v>
      </c>
      <c r="B9" s="30">
        <v>2</v>
      </c>
      <c r="C9" s="30">
        <v>4</v>
      </c>
      <c r="D9" s="30">
        <f>(B5-15.5-1.5)/2</f>
        <v>55.2</v>
      </c>
      <c r="E9" s="30">
        <f>E5*2</f>
        <v>2</v>
      </c>
      <c r="G9" s="31" t="s">
        <v>9</v>
      </c>
      <c r="H9" s="31">
        <v>3</v>
      </c>
      <c r="I9" s="31">
        <v>5</v>
      </c>
      <c r="J9" s="5">
        <f>G5-(4.4*TAN((90-J4)*PI()/180))-1.3-0.4*K4</f>
        <v>70.660170475903072</v>
      </c>
      <c r="K9" s="31">
        <f>K6</f>
        <v>2</v>
      </c>
    </row>
    <row r="10" spans="1:11" x14ac:dyDescent="0.15">
      <c r="A10" s="32" t="s">
        <v>157</v>
      </c>
      <c r="B10" s="11"/>
      <c r="C10" s="11"/>
      <c r="D10" s="11"/>
      <c r="E10" s="11"/>
      <c r="G10" s="31" t="s">
        <v>10</v>
      </c>
      <c r="H10" s="31">
        <v>2</v>
      </c>
      <c r="I10" s="31">
        <v>4</v>
      </c>
      <c r="J10" s="5">
        <f>G5-(9.4*TAN((90-J4)*PI()/180))-1.3-0.4*K4</f>
        <v>67.732550134304006</v>
      </c>
      <c r="K10" s="31">
        <f>K6</f>
        <v>2</v>
      </c>
    </row>
    <row r="11" spans="1:11" x14ac:dyDescent="0.15">
      <c r="A11" s="32" t="s">
        <v>158</v>
      </c>
      <c r="B11" s="32">
        <v>3</v>
      </c>
      <c r="C11" s="32">
        <v>5</v>
      </c>
      <c r="D11" s="11">
        <v>66.8</v>
      </c>
      <c r="E11" s="32">
        <f>E5*2</f>
        <v>2</v>
      </c>
      <c r="G11" s="31" t="s">
        <v>11</v>
      </c>
      <c r="H11" s="31">
        <v>2</v>
      </c>
      <c r="I11" s="31">
        <v>4</v>
      </c>
      <c r="J11" s="5">
        <f>G5-(11.3*TAN((90-J4)*PI()/180))-1.3-0.4*K4</f>
        <v>66.620054404496358</v>
      </c>
      <c r="K11" s="31">
        <f>K6</f>
        <v>2</v>
      </c>
    </row>
    <row r="12" spans="1:11" x14ac:dyDescent="0.15">
      <c r="A12" s="32" t="s">
        <v>159</v>
      </c>
      <c r="B12" s="32">
        <v>2</v>
      </c>
      <c r="C12" s="32">
        <v>4</v>
      </c>
      <c r="D12" s="11">
        <v>64.7</v>
      </c>
      <c r="E12" s="32">
        <f>E5*1</f>
        <v>1</v>
      </c>
      <c r="G12" s="31" t="s">
        <v>12</v>
      </c>
      <c r="H12" s="31">
        <v>2</v>
      </c>
      <c r="I12" s="31">
        <v>4</v>
      </c>
      <c r="J12" s="5">
        <f>G5-(11.9*TAN((90-J4)*PI()/180))-1.3-0.4*K4</f>
        <v>66.268739963504473</v>
      </c>
      <c r="K12" s="31">
        <f>K6</f>
        <v>2</v>
      </c>
    </row>
    <row r="13" spans="1:11" x14ac:dyDescent="0.15">
      <c r="A13" s="32" t="s">
        <v>160</v>
      </c>
      <c r="B13" s="32">
        <v>2</v>
      </c>
      <c r="C13" s="32">
        <v>4</v>
      </c>
      <c r="D13" s="11">
        <v>73.599999999999994</v>
      </c>
      <c r="E13" s="32">
        <f>E5*1</f>
        <v>1</v>
      </c>
      <c r="G13" s="31" t="s">
        <v>13</v>
      </c>
      <c r="H13" s="31">
        <v>3</v>
      </c>
      <c r="I13" s="31">
        <v>5</v>
      </c>
      <c r="J13" s="5">
        <f>G5-(15.2*TAN((90-J4)*PI()/180))-1.3-0.4*K4</f>
        <v>64.336510538049097</v>
      </c>
      <c r="K13" s="31">
        <f>K6</f>
        <v>2</v>
      </c>
    </row>
    <row r="14" spans="1:11" x14ac:dyDescent="0.15">
      <c r="A14" s="32" t="s">
        <v>161</v>
      </c>
      <c r="B14" s="32">
        <v>2</v>
      </c>
      <c r="C14" s="32">
        <v>4</v>
      </c>
      <c r="D14" s="11">
        <v>62.8</v>
      </c>
      <c r="E14" s="32">
        <f>E5*1</f>
        <v>1</v>
      </c>
      <c r="G14" s="31" t="s">
        <v>14</v>
      </c>
      <c r="H14" s="31">
        <v>3</v>
      </c>
      <c r="I14" s="31">
        <v>5</v>
      </c>
      <c r="J14" s="5">
        <f>G5-(71.2*TAN((90-J4)*PI()/180))-1.3-0.4*K4</f>
        <v>31.54716271213961</v>
      </c>
      <c r="K14" s="31">
        <f>K6*2</f>
        <v>4</v>
      </c>
    </row>
    <row r="15" spans="1:11" x14ac:dyDescent="0.15">
      <c r="A15" s="32" t="s">
        <v>162</v>
      </c>
      <c r="B15" s="32">
        <v>2</v>
      </c>
      <c r="C15" s="32">
        <v>4</v>
      </c>
      <c r="D15" s="11">
        <v>66.2</v>
      </c>
      <c r="E15" s="32">
        <f>E5*1</f>
        <v>1</v>
      </c>
      <c r="G15" s="31" t="s">
        <v>20</v>
      </c>
      <c r="H15" s="31">
        <v>2</v>
      </c>
      <c r="I15" s="31">
        <v>4</v>
      </c>
      <c r="J15" s="5">
        <f>G5-(76.7*TAN((90-J4)*PI()/180))-0.5-0.4*K4</f>
        <v>29.126780336380641</v>
      </c>
      <c r="K15" s="31">
        <f>K9</f>
        <v>2</v>
      </c>
    </row>
    <row r="17" spans="1:11" x14ac:dyDescent="0.15">
      <c r="A17" s="46" t="s">
        <v>49</v>
      </c>
      <c r="B17" s="46" t="s">
        <v>166</v>
      </c>
      <c r="C17" s="46"/>
      <c r="D17" s="46"/>
      <c r="E17" s="46"/>
      <c r="G17" s="46" t="s">
        <v>49</v>
      </c>
      <c r="H17" s="46" t="s">
        <v>165</v>
      </c>
      <c r="I17" s="46"/>
      <c r="J17" s="46"/>
      <c r="K17" s="46"/>
    </row>
    <row r="18" spans="1:11" x14ac:dyDescent="0.15">
      <c r="A18" s="46"/>
      <c r="B18" s="46"/>
      <c r="C18" s="46"/>
      <c r="D18" s="46"/>
      <c r="E18" s="46"/>
      <c r="G18" s="46"/>
      <c r="H18" s="46"/>
      <c r="I18" s="46"/>
      <c r="J18" s="46"/>
      <c r="K18" s="46"/>
    </row>
    <row r="19" spans="1:11" x14ac:dyDescent="0.15">
      <c r="A19" s="30" t="s">
        <v>52</v>
      </c>
      <c r="B19" s="45">
        <v>160</v>
      </c>
      <c r="C19" s="45"/>
      <c r="D19" s="30" t="s">
        <v>53</v>
      </c>
      <c r="E19" s="29">
        <v>2</v>
      </c>
      <c r="G19" s="30" t="s">
        <v>52</v>
      </c>
      <c r="H19" s="45">
        <v>175</v>
      </c>
      <c r="I19" s="45"/>
      <c r="J19" s="30" t="s">
        <v>53</v>
      </c>
      <c r="K19" s="29">
        <v>2</v>
      </c>
    </row>
    <row r="20" spans="1:11" x14ac:dyDescent="0.15">
      <c r="A20" s="30" t="s">
        <v>55</v>
      </c>
      <c r="B20" s="46" t="s">
        <v>3</v>
      </c>
      <c r="C20" s="46"/>
      <c r="D20" s="30" t="s">
        <v>4</v>
      </c>
      <c r="E20" s="30" t="s">
        <v>56</v>
      </c>
      <c r="G20" s="30" t="s">
        <v>55</v>
      </c>
      <c r="H20" s="46" t="s">
        <v>3</v>
      </c>
      <c r="I20" s="46"/>
      <c r="J20" s="30" t="s">
        <v>4</v>
      </c>
      <c r="K20" s="30" t="s">
        <v>56</v>
      </c>
    </row>
    <row r="21" spans="1:11" x14ac:dyDescent="0.15">
      <c r="A21" s="30"/>
      <c r="B21" s="30">
        <v>2</v>
      </c>
      <c r="C21" s="30">
        <v>4</v>
      </c>
      <c r="D21" s="30">
        <f>B19-2.6</f>
        <v>157.4</v>
      </c>
      <c r="E21" s="30">
        <f>E19*4</f>
        <v>8</v>
      </c>
      <c r="G21" s="30"/>
      <c r="H21" s="30">
        <v>2</v>
      </c>
      <c r="I21" s="30">
        <v>4</v>
      </c>
      <c r="J21" s="30">
        <f>H19-2.6</f>
        <v>172.4</v>
      </c>
      <c r="K21" s="30">
        <f>K19*4</f>
        <v>8</v>
      </c>
    </row>
    <row r="22" spans="1:11" x14ac:dyDescent="0.15">
      <c r="A22" s="30"/>
      <c r="B22" s="30">
        <v>3</v>
      </c>
      <c r="C22" s="30">
        <v>5</v>
      </c>
      <c r="D22" s="30">
        <f>B19-2.6</f>
        <v>157.4</v>
      </c>
      <c r="E22" s="30">
        <f>E19*6</f>
        <v>12</v>
      </c>
      <c r="G22" s="30"/>
      <c r="H22" s="30">
        <v>3</v>
      </c>
      <c r="I22" s="30">
        <v>5</v>
      </c>
      <c r="J22" s="30">
        <f>H19-2.6</f>
        <v>172.4</v>
      </c>
      <c r="K22" s="30">
        <f>K19*6</f>
        <v>12</v>
      </c>
    </row>
    <row r="23" spans="1:11" x14ac:dyDescent="0.15">
      <c r="A23" s="30" t="s">
        <v>20</v>
      </c>
      <c r="B23" s="30">
        <v>2</v>
      </c>
      <c r="C23" s="30">
        <v>4</v>
      </c>
      <c r="D23" s="30">
        <f>(B19-1-1.5)/2</f>
        <v>78.75</v>
      </c>
      <c r="E23" s="30">
        <f>E19*2</f>
        <v>4</v>
      </c>
      <c r="G23" s="30" t="s">
        <v>20</v>
      </c>
      <c r="H23" s="30">
        <v>2</v>
      </c>
      <c r="I23" s="30">
        <v>4</v>
      </c>
      <c r="J23" s="30">
        <f>(H19-15.5-1.5)/2</f>
        <v>79</v>
      </c>
      <c r="K23" s="30">
        <f>K19*2</f>
        <v>4</v>
      </c>
    </row>
    <row r="24" spans="1:11" x14ac:dyDescent="0.15">
      <c r="G24" s="32" t="s">
        <v>157</v>
      </c>
      <c r="H24" s="11"/>
      <c r="I24" s="11"/>
      <c r="J24" s="11"/>
      <c r="K24" s="11"/>
    </row>
    <row r="25" spans="1:11" x14ac:dyDescent="0.15">
      <c r="A25" s="68" t="s">
        <v>167</v>
      </c>
      <c r="B25" s="68"/>
      <c r="C25" s="68"/>
      <c r="D25" s="68"/>
      <c r="E25" s="68"/>
      <c r="G25" s="32" t="s">
        <v>158</v>
      </c>
      <c r="H25" s="32">
        <v>3</v>
      </c>
      <c r="I25" s="32">
        <v>5</v>
      </c>
      <c r="J25" s="11">
        <v>66.8</v>
      </c>
      <c r="K25" s="32">
        <f>K19*2</f>
        <v>4</v>
      </c>
    </row>
    <row r="26" spans="1:11" x14ac:dyDescent="0.15">
      <c r="A26" s="44" t="s">
        <v>168</v>
      </c>
      <c r="B26" s="44"/>
      <c r="C26" s="44"/>
      <c r="D26" s="2">
        <v>60.45</v>
      </c>
      <c r="E26" s="3">
        <f>1/COS((90-D26)*PI()/180)</f>
        <v>1.1495235333463323</v>
      </c>
      <c r="G26" s="32" t="s">
        <v>159</v>
      </c>
      <c r="H26" s="32">
        <v>2</v>
      </c>
      <c r="I26" s="32">
        <v>4</v>
      </c>
      <c r="J26" s="11">
        <v>64.7</v>
      </c>
      <c r="K26" s="32">
        <f>K19*1</f>
        <v>2</v>
      </c>
    </row>
    <row r="27" spans="1:11" x14ac:dyDescent="0.15">
      <c r="A27" s="2">
        <v>75</v>
      </c>
      <c r="B27" s="44" t="s">
        <v>3</v>
      </c>
      <c r="C27" s="44"/>
      <c r="D27" s="31" t="s">
        <v>4</v>
      </c>
      <c r="E27" s="31" t="s">
        <v>5</v>
      </c>
      <c r="G27" s="32" t="s">
        <v>160</v>
      </c>
      <c r="H27" s="32">
        <v>2</v>
      </c>
      <c r="I27" s="32">
        <v>4</v>
      </c>
      <c r="J27" s="11">
        <v>73.599999999999994</v>
      </c>
      <c r="K27" s="32">
        <f>K19*1</f>
        <v>2</v>
      </c>
    </row>
    <row r="28" spans="1:11" x14ac:dyDescent="0.15">
      <c r="A28" s="31" t="s">
        <v>6</v>
      </c>
      <c r="B28" s="31">
        <v>3</v>
      </c>
      <c r="C28" s="31">
        <v>5</v>
      </c>
      <c r="D28" s="5">
        <f>A27-(0.5*TAN((90-D26)*PI()/180))-1.3-0.4*E26</f>
        <v>72.956727911112708</v>
      </c>
      <c r="E28" s="31">
        <v>2</v>
      </c>
      <c r="G28" s="32" t="s">
        <v>161</v>
      </c>
      <c r="H28" s="32">
        <v>2</v>
      </c>
      <c r="I28" s="32">
        <v>4</v>
      </c>
      <c r="J28" s="11">
        <v>62.8</v>
      </c>
      <c r="K28" s="32">
        <f>K19*1</f>
        <v>2</v>
      </c>
    </row>
    <row r="29" spans="1:11" x14ac:dyDescent="0.15">
      <c r="A29" s="31" t="s">
        <v>7</v>
      </c>
      <c r="B29" s="31">
        <v>2</v>
      </c>
      <c r="C29" s="31">
        <v>4</v>
      </c>
      <c r="D29" s="5">
        <f>A27-(0.5*TAN((90-D26)*PI()/180))-1.3-0.4*E26</f>
        <v>72.956727911112708</v>
      </c>
      <c r="E29" s="31">
        <f>E28</f>
        <v>2</v>
      </c>
      <c r="G29" s="32" t="s">
        <v>162</v>
      </c>
      <c r="H29" s="32">
        <v>2</v>
      </c>
      <c r="I29" s="32">
        <v>4</v>
      </c>
      <c r="J29" s="11">
        <v>66.2</v>
      </c>
      <c r="K29" s="32">
        <f>K19*1</f>
        <v>2</v>
      </c>
    </row>
    <row r="30" spans="1:11" x14ac:dyDescent="0.15">
      <c r="A30" s="31" t="s">
        <v>8</v>
      </c>
      <c r="B30" s="31">
        <v>3</v>
      </c>
      <c r="C30" s="31">
        <v>5</v>
      </c>
      <c r="D30" s="5">
        <f>A27-(0.5*TAN((90-D26)*PI()/180))-1.3-0.4*E26</f>
        <v>72.956727911112708</v>
      </c>
      <c r="E30" s="31">
        <f>E28*1</f>
        <v>2</v>
      </c>
    </row>
    <row r="31" spans="1:11" x14ac:dyDescent="0.15">
      <c r="A31" s="31" t="s">
        <v>9</v>
      </c>
      <c r="B31" s="31">
        <v>3</v>
      </c>
      <c r="C31" s="31">
        <v>5</v>
      </c>
      <c r="D31" s="5">
        <f>A27-(4.4*TAN((90-D26)*PI()/180))-1.3-0.4*E26</f>
        <v>70.745719041832416</v>
      </c>
      <c r="E31" s="31">
        <f>E28</f>
        <v>2</v>
      </c>
      <c r="G31" s="46" t="s">
        <v>49</v>
      </c>
      <c r="H31" s="46" t="s">
        <v>169</v>
      </c>
      <c r="I31" s="46"/>
      <c r="J31" s="46"/>
      <c r="K31" s="46"/>
    </row>
    <row r="32" spans="1:11" x14ac:dyDescent="0.15">
      <c r="A32" s="31" t="s">
        <v>10</v>
      </c>
      <c r="B32" s="31">
        <v>2</v>
      </c>
      <c r="C32" s="31">
        <v>4</v>
      </c>
      <c r="D32" s="5">
        <f>A27-(9.4*TAN((90-D26)*PI()/180))-1.3-0.4*E26</f>
        <v>67.911092286344868</v>
      </c>
      <c r="E32" s="31">
        <f>E28</f>
        <v>2</v>
      </c>
      <c r="G32" s="46"/>
      <c r="H32" s="46"/>
      <c r="I32" s="46"/>
      <c r="J32" s="46"/>
      <c r="K32" s="46"/>
    </row>
    <row r="33" spans="1:11" x14ac:dyDescent="0.15">
      <c r="A33" s="31" t="s">
        <v>11</v>
      </c>
      <c r="B33" s="31">
        <v>2</v>
      </c>
      <c r="C33" s="31">
        <v>4</v>
      </c>
      <c r="D33" s="5">
        <f>A27-(11.3*TAN((90-D26)*PI()/180))-1.3-0.4*E26</f>
        <v>66.833934119259595</v>
      </c>
      <c r="E33" s="31">
        <f>E28</f>
        <v>2</v>
      </c>
      <c r="G33" s="30" t="s">
        <v>52</v>
      </c>
      <c r="H33" s="45">
        <v>124.8</v>
      </c>
      <c r="I33" s="45"/>
      <c r="J33" s="30" t="s">
        <v>53</v>
      </c>
      <c r="K33" s="29">
        <v>1</v>
      </c>
    </row>
    <row r="34" spans="1:11" x14ac:dyDescent="0.15">
      <c r="A34" s="31" t="s">
        <v>12</v>
      </c>
      <c r="B34" s="31">
        <v>2</v>
      </c>
      <c r="C34" s="31">
        <v>4</v>
      </c>
      <c r="D34" s="5">
        <f>A27-(11.9*TAN((90-D26)*PI()/180))-1.3-0.4*E26</f>
        <v>66.493778908601087</v>
      </c>
      <c r="E34" s="31">
        <f>E28</f>
        <v>2</v>
      </c>
      <c r="G34" s="30" t="s">
        <v>55</v>
      </c>
      <c r="H34" s="46" t="s">
        <v>3</v>
      </c>
      <c r="I34" s="46"/>
      <c r="J34" s="30" t="s">
        <v>4</v>
      </c>
      <c r="K34" s="30" t="s">
        <v>56</v>
      </c>
    </row>
    <row r="35" spans="1:11" x14ac:dyDescent="0.15">
      <c r="A35" s="31" t="s">
        <v>13</v>
      </c>
      <c r="B35" s="31">
        <v>3</v>
      </c>
      <c r="C35" s="31">
        <v>5</v>
      </c>
      <c r="D35" s="5">
        <f>A27-(15.2*TAN((90-D26)*PI()/180))-1.3-0.4*E26</f>
        <v>64.622925249979303</v>
      </c>
      <c r="E35" s="31">
        <f>E28</f>
        <v>2</v>
      </c>
      <c r="G35" s="30"/>
      <c r="H35" s="30">
        <v>2</v>
      </c>
      <c r="I35" s="30">
        <v>4</v>
      </c>
      <c r="J35" s="30">
        <f>H33-2.6</f>
        <v>122.2</v>
      </c>
      <c r="K35" s="30">
        <f>K33*4</f>
        <v>4</v>
      </c>
    </row>
    <row r="36" spans="1:11" x14ac:dyDescent="0.15">
      <c r="A36" s="31" t="s">
        <v>14</v>
      </c>
      <c r="B36" s="31">
        <v>3</v>
      </c>
      <c r="C36" s="31">
        <v>5</v>
      </c>
      <c r="D36" s="5">
        <f>A27-(71.2*TAN((90-D26)*PI()/180))-1.3-0.4*E26</f>
        <v>32.875105588518679</v>
      </c>
      <c r="E36" s="31">
        <f>E28*2</f>
        <v>4</v>
      </c>
      <c r="G36" s="30"/>
      <c r="H36" s="30">
        <v>3</v>
      </c>
      <c r="I36" s="30">
        <v>5</v>
      </c>
      <c r="J36" s="30">
        <f>H33-2.6</f>
        <v>122.2</v>
      </c>
      <c r="K36" s="30">
        <f>K33*6</f>
        <v>6</v>
      </c>
    </row>
    <row r="37" spans="1:11" x14ac:dyDescent="0.15">
      <c r="A37" s="31" t="s">
        <v>20</v>
      </c>
      <c r="B37" s="31">
        <v>2</v>
      </c>
      <c r="C37" s="31">
        <v>4</v>
      </c>
      <c r="D37" s="5">
        <f>A27-(76.7*TAN((90-D26)*PI()/180))-0.5-0.4*E26</f>
        <v>30.557016157482366</v>
      </c>
      <c r="E37" s="31">
        <f>E31</f>
        <v>2</v>
      </c>
      <c r="G37" s="30" t="s">
        <v>20</v>
      </c>
      <c r="H37" s="30">
        <v>2</v>
      </c>
      <c r="I37" s="30">
        <v>4</v>
      </c>
      <c r="J37" s="30">
        <f>(H33-15.5-1.5)/2</f>
        <v>53.9</v>
      </c>
      <c r="K37" s="30">
        <f>K33*2</f>
        <v>2</v>
      </c>
    </row>
    <row r="38" spans="1:11" x14ac:dyDescent="0.15">
      <c r="G38" s="32" t="s">
        <v>157</v>
      </c>
      <c r="H38" s="11"/>
      <c r="I38" s="11"/>
      <c r="J38" s="11"/>
      <c r="K38" s="11"/>
    </row>
    <row r="39" spans="1:11" x14ac:dyDescent="0.15">
      <c r="A39" s="76" t="s">
        <v>177</v>
      </c>
      <c r="B39" s="76"/>
      <c r="C39" s="76"/>
      <c r="D39" s="76"/>
      <c r="E39" s="76"/>
      <c r="G39" s="32" t="s">
        <v>158</v>
      </c>
      <c r="H39" s="32">
        <v>3</v>
      </c>
      <c r="I39" s="32">
        <v>5</v>
      </c>
      <c r="J39" s="11">
        <v>66.8</v>
      </c>
      <c r="K39" s="32">
        <f>K33*2</f>
        <v>2</v>
      </c>
    </row>
    <row r="40" spans="1:11" x14ac:dyDescent="0.15">
      <c r="A40" s="31" t="s">
        <v>170</v>
      </c>
      <c r="B40" s="31">
        <v>3</v>
      </c>
      <c r="C40" s="31">
        <v>5</v>
      </c>
      <c r="D40" s="11">
        <v>121</v>
      </c>
      <c r="E40" s="31">
        <v>2</v>
      </c>
      <c r="G40" s="32" t="s">
        <v>159</v>
      </c>
      <c r="H40" s="32">
        <v>2</v>
      </c>
      <c r="I40" s="32">
        <v>4</v>
      </c>
      <c r="J40" s="11">
        <v>64.7</v>
      </c>
      <c r="K40" s="32">
        <f>K33*1</f>
        <v>1</v>
      </c>
    </row>
    <row r="41" spans="1:11" x14ac:dyDescent="0.15">
      <c r="A41" s="31" t="s">
        <v>171</v>
      </c>
      <c r="B41" s="31">
        <v>3</v>
      </c>
      <c r="C41" s="31">
        <v>5</v>
      </c>
      <c r="D41" s="11">
        <v>158.9</v>
      </c>
      <c r="E41" s="31">
        <v>2</v>
      </c>
      <c r="G41" s="32" t="s">
        <v>160</v>
      </c>
      <c r="H41" s="32">
        <v>2</v>
      </c>
      <c r="I41" s="32">
        <v>4</v>
      </c>
      <c r="J41" s="11">
        <v>73.599999999999994</v>
      </c>
      <c r="K41" s="32">
        <f>K33*1</f>
        <v>1</v>
      </c>
    </row>
    <row r="42" spans="1:11" x14ac:dyDescent="0.15">
      <c r="A42" s="78" t="s">
        <v>176</v>
      </c>
      <c r="B42" s="79"/>
      <c r="C42" s="79"/>
      <c r="D42" s="79"/>
      <c r="E42" s="80"/>
      <c r="G42" s="32" t="s">
        <v>161</v>
      </c>
      <c r="H42" s="32">
        <v>2</v>
      </c>
      <c r="I42" s="32">
        <v>4</v>
      </c>
      <c r="J42" s="11">
        <v>62.8</v>
      </c>
      <c r="K42" s="32">
        <f>K33*1</f>
        <v>1</v>
      </c>
    </row>
    <row r="43" spans="1:11" x14ac:dyDescent="0.15">
      <c r="A43" s="31" t="s">
        <v>170</v>
      </c>
      <c r="B43" s="31">
        <v>3</v>
      </c>
      <c r="C43" s="31">
        <v>5</v>
      </c>
      <c r="D43" s="11">
        <v>157.69999999999999</v>
      </c>
      <c r="E43" s="31">
        <v>2</v>
      </c>
      <c r="G43" s="32" t="s">
        <v>162</v>
      </c>
      <c r="H43" s="32">
        <v>2</v>
      </c>
      <c r="I43" s="32">
        <v>4</v>
      </c>
      <c r="J43" s="11">
        <v>66.2</v>
      </c>
      <c r="K43" s="32">
        <f>K33*1</f>
        <v>1</v>
      </c>
    </row>
    <row r="44" spans="1:11" x14ac:dyDescent="0.15">
      <c r="A44" s="31" t="s">
        <v>171</v>
      </c>
      <c r="B44" s="31">
        <v>3</v>
      </c>
      <c r="C44" s="31">
        <v>5</v>
      </c>
      <c r="D44" s="11">
        <v>117.3</v>
      </c>
      <c r="E44" s="31">
        <v>2</v>
      </c>
    </row>
    <row r="45" spans="1:11" x14ac:dyDescent="0.15">
      <c r="A45" s="81" t="s">
        <v>172</v>
      </c>
      <c r="B45" s="82"/>
      <c r="C45" s="82"/>
      <c r="D45" s="82"/>
      <c r="E45" s="83"/>
    </row>
    <row r="46" spans="1:11" x14ac:dyDescent="0.15">
      <c r="A46" s="39" t="s">
        <v>180</v>
      </c>
      <c r="B46" s="38">
        <v>3</v>
      </c>
      <c r="C46" s="38">
        <v>5</v>
      </c>
      <c r="D46" s="38">
        <v>62.8</v>
      </c>
      <c r="E46" s="38">
        <v>4</v>
      </c>
    </row>
    <row r="47" spans="1:11" x14ac:dyDescent="0.15">
      <c r="A47" s="38" t="s">
        <v>173</v>
      </c>
      <c r="B47" s="38">
        <v>3</v>
      </c>
      <c r="C47" s="38">
        <v>5</v>
      </c>
      <c r="D47" s="38">
        <v>72.2</v>
      </c>
      <c r="E47" s="38">
        <v>2</v>
      </c>
    </row>
    <row r="48" spans="1:11" x14ac:dyDescent="0.15">
      <c r="A48" s="38" t="s">
        <v>174</v>
      </c>
      <c r="B48" s="38">
        <v>3</v>
      </c>
      <c r="C48" s="38">
        <v>5</v>
      </c>
      <c r="D48" s="38">
        <v>5.7</v>
      </c>
      <c r="E48" s="38">
        <v>4</v>
      </c>
    </row>
    <row r="49" spans="1:5" x14ac:dyDescent="0.15">
      <c r="A49" s="40" t="s">
        <v>178</v>
      </c>
      <c r="B49" s="38">
        <v>3</v>
      </c>
      <c r="C49" s="38">
        <v>5</v>
      </c>
      <c r="D49" s="38">
        <v>72</v>
      </c>
      <c r="E49" s="38">
        <v>2</v>
      </c>
    </row>
    <row r="50" spans="1:5" x14ac:dyDescent="0.15">
      <c r="A50" s="40" t="s">
        <v>179</v>
      </c>
      <c r="B50" s="38">
        <v>3</v>
      </c>
      <c r="C50" s="38">
        <v>5</v>
      </c>
      <c r="D50" s="38">
        <v>73.2</v>
      </c>
      <c r="E50" s="38">
        <v>2</v>
      </c>
    </row>
    <row r="51" spans="1:5" ht="14.25" x14ac:dyDescent="0.15">
      <c r="A51" s="41" t="s">
        <v>181</v>
      </c>
      <c r="B51" s="38">
        <v>3</v>
      </c>
      <c r="C51" s="38">
        <v>5</v>
      </c>
      <c r="D51" s="38">
        <v>10.4</v>
      </c>
      <c r="E51" s="38">
        <v>20</v>
      </c>
    </row>
    <row r="52" spans="1:5" x14ac:dyDescent="0.15">
      <c r="A52" s="77" t="s">
        <v>175</v>
      </c>
      <c r="B52" s="77"/>
      <c r="C52" s="77"/>
      <c r="D52" s="77"/>
      <c r="E52" s="77"/>
    </row>
    <row r="53" spans="1:5" x14ac:dyDescent="0.15">
      <c r="A53" s="77"/>
      <c r="B53" s="77"/>
      <c r="C53" s="77"/>
      <c r="D53" s="77"/>
      <c r="E53" s="77"/>
    </row>
    <row r="55" spans="1:5" x14ac:dyDescent="0.15">
      <c r="A55" s="75" t="s">
        <v>182</v>
      </c>
      <c r="B55" s="75"/>
      <c r="C55" s="75"/>
      <c r="D55" s="75"/>
      <c r="E55" s="75"/>
    </row>
    <row r="56" spans="1:5" x14ac:dyDescent="0.15">
      <c r="A56" s="39" t="s">
        <v>183</v>
      </c>
      <c r="B56" s="42">
        <v>3</v>
      </c>
      <c r="C56" s="42">
        <v>5</v>
      </c>
      <c r="D56" s="42">
        <v>51.4</v>
      </c>
      <c r="E56" s="42">
        <v>22</v>
      </c>
    </row>
    <row r="57" spans="1:5" x14ac:dyDescent="0.15">
      <c r="A57" s="43" t="s">
        <v>184</v>
      </c>
      <c r="B57" s="42">
        <v>3</v>
      </c>
      <c r="C57" s="42">
        <v>5</v>
      </c>
      <c r="D57" s="42">
        <v>66</v>
      </c>
      <c r="E57" s="42">
        <v>16</v>
      </c>
    </row>
    <row r="58" spans="1:5" x14ac:dyDescent="0.15">
      <c r="A58" s="43" t="s">
        <v>185</v>
      </c>
      <c r="B58" s="42">
        <v>2</v>
      </c>
      <c r="C58" s="42">
        <v>4</v>
      </c>
      <c r="D58" s="42">
        <v>45</v>
      </c>
      <c r="E58" s="42">
        <v>18</v>
      </c>
    </row>
    <row r="59" spans="1:5" x14ac:dyDescent="0.15">
      <c r="A59" s="43" t="s">
        <v>186</v>
      </c>
      <c r="B59" s="42">
        <v>2</v>
      </c>
      <c r="C59" s="42">
        <v>4</v>
      </c>
      <c r="D59" s="42">
        <v>51.6</v>
      </c>
      <c r="E59" s="42">
        <v>18</v>
      </c>
    </row>
    <row r="60" spans="1:5" x14ac:dyDescent="0.15">
      <c r="A60" s="43" t="s">
        <v>187</v>
      </c>
      <c r="B60" s="42">
        <v>2</v>
      </c>
      <c r="C60" s="42">
        <v>4</v>
      </c>
      <c r="D60" s="42">
        <v>52</v>
      </c>
      <c r="E60" s="42">
        <v>20</v>
      </c>
    </row>
    <row r="61" spans="1:5" x14ac:dyDescent="0.15">
      <c r="A61" s="43" t="s">
        <v>188</v>
      </c>
      <c r="B61" s="42">
        <v>2</v>
      </c>
      <c r="C61" s="42">
        <v>4</v>
      </c>
      <c r="D61" s="42">
        <v>53.6</v>
      </c>
      <c r="E61" s="42">
        <v>20</v>
      </c>
    </row>
    <row r="62" spans="1:5" x14ac:dyDescent="0.15">
      <c r="A62" s="43" t="s">
        <v>189</v>
      </c>
      <c r="B62" s="42">
        <v>3</v>
      </c>
      <c r="C62" s="42">
        <v>5</v>
      </c>
      <c r="D62" s="42">
        <v>11</v>
      </c>
      <c r="E62" s="42">
        <v>20</v>
      </c>
    </row>
    <row r="63" spans="1:5" x14ac:dyDescent="0.15">
      <c r="A63" s="43" t="s">
        <v>190</v>
      </c>
      <c r="B63" s="42">
        <v>2</v>
      </c>
      <c r="C63" s="42">
        <v>4</v>
      </c>
      <c r="D63" s="42">
        <v>37.9</v>
      </c>
      <c r="E63" s="42">
        <v>4</v>
      </c>
    </row>
    <row r="64" spans="1:5" x14ac:dyDescent="0.15">
      <c r="A64" s="43" t="s">
        <v>191</v>
      </c>
      <c r="B64" s="42">
        <v>3</v>
      </c>
      <c r="C64" s="42">
        <v>5</v>
      </c>
      <c r="D64" s="42">
        <v>59.5</v>
      </c>
      <c r="E64" s="42">
        <v>2</v>
      </c>
    </row>
    <row r="65" spans="1:5" x14ac:dyDescent="0.15">
      <c r="A65" s="43" t="s">
        <v>192</v>
      </c>
      <c r="B65" s="42">
        <v>3</v>
      </c>
      <c r="C65" s="42">
        <v>5</v>
      </c>
      <c r="D65" s="42">
        <v>76.5</v>
      </c>
      <c r="E65" s="42">
        <v>1</v>
      </c>
    </row>
    <row r="66" spans="1:5" x14ac:dyDescent="0.15">
      <c r="A66" s="43" t="s">
        <v>193</v>
      </c>
      <c r="B66" s="42">
        <v>3</v>
      </c>
      <c r="C66" s="42">
        <v>5</v>
      </c>
      <c r="D66" s="42">
        <v>59</v>
      </c>
      <c r="E66" s="42">
        <v>2</v>
      </c>
    </row>
    <row r="67" spans="1:5" x14ac:dyDescent="0.15">
      <c r="A67" s="43" t="s">
        <v>194</v>
      </c>
      <c r="B67" s="42">
        <v>3</v>
      </c>
      <c r="C67" s="42">
        <v>5</v>
      </c>
      <c r="D67" s="42">
        <v>75.900000000000006</v>
      </c>
      <c r="E67" s="42">
        <v>1</v>
      </c>
    </row>
  </sheetData>
  <mergeCells count="28">
    <mergeCell ref="A55:E55"/>
    <mergeCell ref="H34:I34"/>
    <mergeCell ref="A39:E39"/>
    <mergeCell ref="A52:E53"/>
    <mergeCell ref="A42:E42"/>
    <mergeCell ref="A45:E45"/>
    <mergeCell ref="H33:I33"/>
    <mergeCell ref="A17:A18"/>
    <mergeCell ref="B17:E18"/>
    <mergeCell ref="B19:C19"/>
    <mergeCell ref="B20:C20"/>
    <mergeCell ref="G17:G18"/>
    <mergeCell ref="H17:K18"/>
    <mergeCell ref="H19:I19"/>
    <mergeCell ref="H20:I20"/>
    <mergeCell ref="A25:E25"/>
    <mergeCell ref="A26:C26"/>
    <mergeCell ref="B27:C27"/>
    <mergeCell ref="G31:G32"/>
    <mergeCell ref="H31:K32"/>
    <mergeCell ref="A1:K2"/>
    <mergeCell ref="B6:C6"/>
    <mergeCell ref="G3:K3"/>
    <mergeCell ref="G4:I4"/>
    <mergeCell ref="H5:I5"/>
    <mergeCell ref="A3:A4"/>
    <mergeCell ref="B3:E4"/>
    <mergeCell ref="B5:C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lichao</dc:creator>
  <cp:lastModifiedBy>Windows 用户</cp:lastModifiedBy>
  <cp:lastPrinted>2017-11-27T00:51:16Z</cp:lastPrinted>
  <dcterms:created xsi:type="dcterms:W3CDTF">2017-11-23T06:00:32Z</dcterms:created>
  <dcterms:modified xsi:type="dcterms:W3CDTF">2017-12-02T11:00:34Z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